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-VAL-modeling\"/>
    </mc:Choice>
  </mc:AlternateContent>
  <xr:revisionPtr revIDLastSave="0" documentId="13_ncr:1_{8566B4DF-22D2-464F-AC3B-99B7F0924866}" xr6:coauthVersionLast="47" xr6:coauthVersionMax="47" xr10:uidLastSave="{00000000-0000-0000-0000-000000000000}"/>
  <bookViews>
    <workbookView xWindow="-28920" yWindow="1830" windowWidth="29040" windowHeight="16440" xr2:uid="{1028D4A1-4897-425D-A3CA-5693E70CC837}"/>
  </bookViews>
  <sheets>
    <sheet name="FedData without XCT" sheetId="7" r:id="rId1"/>
    <sheet name="FedData with XCT" sheetId="8" r:id="rId2"/>
    <sheet name="XCT-nonXCT" sheetId="9" r:id="rId3"/>
    <sheet name="Data with XCT" sheetId="5" r:id="rId4"/>
    <sheet name="Data without XCT" sheetId="6" r:id="rId5"/>
    <sheet name="All raw data" sheetId="1" r:id="rId6"/>
  </sheets>
  <externalReferences>
    <externalReference r:id="rId7"/>
  </externalReferences>
  <definedNames>
    <definedName name="_xlnm._FilterDatabase" localSheetId="5" hidden="1">'All raw data'!$A$2:$BB$424</definedName>
    <definedName name="_xlnm._FilterDatabase" localSheetId="4" hidden="1">'Data without XCT'!$A$1:$U$169</definedName>
    <definedName name="_xlnm._FilterDatabase" localSheetId="0" hidden="1">'FedData without XCT'!$A$1:$V$169</definedName>
    <definedName name="_xlchart.v1.0" hidden="1">'[1]Fatigue data'!$BD$4:$BD$9</definedName>
    <definedName name="_xlchart.v1.1" hidden="1">'[1]Fatigue data'!$BE$3</definedName>
    <definedName name="_xlchart.v1.10" hidden="1">'[1]Fatigue data'!$BE$3</definedName>
    <definedName name="_xlchart.v1.11" hidden="1">'[1]Fatigue data'!$BE$4:$BE$9</definedName>
    <definedName name="_xlchart.v1.2" hidden="1">'[1]Fatigue data'!$BE$4:$BE$9</definedName>
    <definedName name="_xlchart.v1.3" hidden="1">'[1]Fatigue data'!$BE$4:$BE$9</definedName>
    <definedName name="_xlchart.v1.4" hidden="1">'[1]Fatigue data'!$BF$3</definedName>
    <definedName name="_xlchart.v1.5" hidden="1">'[1]Fatigue data'!$BF$4:$BF$9</definedName>
    <definedName name="_xlchart.v1.6" hidden="1">'[1]Fatigue data'!$BE$4:$BE$9</definedName>
    <definedName name="_xlchart.v1.7" hidden="1">'[1]Fatigue data'!$BF$3</definedName>
    <definedName name="_xlchart.v1.8" hidden="1">'[1]Fatigue data'!$BF$4:$BF$9</definedName>
    <definedName name="_xlchart.v1.9" hidden="1">'[1]Fatigue data'!$BD$4:$BD$9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" i="9" l="1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2" i="8"/>
  <c r="F2" i="7"/>
  <c r="Q14" i="8"/>
  <c r="P14" i="8"/>
  <c r="J14" i="8"/>
  <c r="F18" i="7" l="1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2" i="5"/>
  <c r="P169" i="7"/>
  <c r="Q169" i="7" s="1"/>
  <c r="J169" i="7"/>
  <c r="P168" i="7"/>
  <c r="Q168" i="7" s="1"/>
  <c r="J168" i="7"/>
  <c r="P167" i="7"/>
  <c r="Q167" i="7" s="1"/>
  <c r="J167" i="7"/>
  <c r="P166" i="7"/>
  <c r="Q166" i="7" s="1"/>
  <c r="J166" i="7"/>
  <c r="P165" i="7"/>
  <c r="Q165" i="7" s="1"/>
  <c r="J165" i="7"/>
  <c r="P164" i="7"/>
  <c r="Q164" i="7" s="1"/>
  <c r="J164" i="7"/>
  <c r="P163" i="7"/>
  <c r="Q163" i="7" s="1"/>
  <c r="J163" i="7"/>
  <c r="P162" i="7"/>
  <c r="Q162" i="7" s="1"/>
  <c r="J162" i="7"/>
  <c r="P161" i="7"/>
  <c r="Q161" i="7" s="1"/>
  <c r="J161" i="7"/>
  <c r="P160" i="7"/>
  <c r="Q160" i="7" s="1"/>
  <c r="J160" i="7"/>
  <c r="P159" i="7"/>
  <c r="Q159" i="7" s="1"/>
  <c r="J159" i="7"/>
  <c r="P158" i="7"/>
  <c r="Q158" i="7" s="1"/>
  <c r="J158" i="7"/>
  <c r="P157" i="7"/>
  <c r="Q157" i="7" s="1"/>
  <c r="J157" i="7"/>
  <c r="P156" i="7"/>
  <c r="Q156" i="7" s="1"/>
  <c r="J156" i="7"/>
  <c r="P155" i="7"/>
  <c r="Q155" i="7" s="1"/>
  <c r="J155" i="7"/>
  <c r="P154" i="7"/>
  <c r="Q154" i="7" s="1"/>
  <c r="J154" i="7"/>
  <c r="P153" i="7"/>
  <c r="Q153" i="7" s="1"/>
  <c r="J153" i="7"/>
  <c r="Q152" i="7"/>
  <c r="P152" i="7"/>
  <c r="J152" i="7"/>
  <c r="P151" i="7"/>
  <c r="Q151" i="7" s="1"/>
  <c r="J151" i="7"/>
  <c r="P150" i="7"/>
  <c r="Q150" i="7" s="1"/>
  <c r="J150" i="7"/>
  <c r="P149" i="7"/>
  <c r="Q149" i="7" s="1"/>
  <c r="J149" i="7"/>
  <c r="P148" i="7"/>
  <c r="Q148" i="7" s="1"/>
  <c r="J148" i="7"/>
  <c r="P147" i="7"/>
  <c r="Q147" i="7" s="1"/>
  <c r="J147" i="7"/>
  <c r="P146" i="7"/>
  <c r="Q146" i="7" s="1"/>
  <c r="J146" i="7"/>
  <c r="P145" i="7"/>
  <c r="Q145" i="7" s="1"/>
  <c r="J145" i="7"/>
  <c r="P144" i="7"/>
  <c r="Q144" i="7" s="1"/>
  <c r="J144" i="7"/>
  <c r="P143" i="7"/>
  <c r="Q143" i="7" s="1"/>
  <c r="J143" i="7"/>
  <c r="P142" i="7"/>
  <c r="Q142" i="7" s="1"/>
  <c r="J142" i="7"/>
  <c r="P141" i="7"/>
  <c r="Q141" i="7" s="1"/>
  <c r="J141" i="7"/>
  <c r="P140" i="7"/>
  <c r="Q140" i="7" s="1"/>
  <c r="J140" i="7"/>
  <c r="P139" i="7"/>
  <c r="Q139" i="7" s="1"/>
  <c r="J139" i="7"/>
  <c r="P138" i="7"/>
  <c r="Q138" i="7" s="1"/>
  <c r="J138" i="7"/>
  <c r="P137" i="7"/>
  <c r="Q137" i="7" s="1"/>
  <c r="J137" i="7"/>
  <c r="P136" i="7"/>
  <c r="Q136" i="7" s="1"/>
  <c r="J136" i="7"/>
  <c r="P135" i="7"/>
  <c r="Q135" i="7" s="1"/>
  <c r="J135" i="7"/>
  <c r="P134" i="7"/>
  <c r="Q134" i="7" s="1"/>
  <c r="J134" i="7"/>
  <c r="P133" i="7"/>
  <c r="Q133" i="7" s="1"/>
  <c r="J133" i="7"/>
  <c r="P132" i="7"/>
  <c r="Q132" i="7" s="1"/>
  <c r="J132" i="7"/>
  <c r="P131" i="7"/>
  <c r="Q131" i="7" s="1"/>
  <c r="J131" i="7"/>
  <c r="P130" i="7"/>
  <c r="Q130" i="7" s="1"/>
  <c r="J130" i="7"/>
  <c r="P129" i="7"/>
  <c r="Q129" i="7" s="1"/>
  <c r="J129" i="7"/>
  <c r="P128" i="7"/>
  <c r="Q128" i="7" s="1"/>
  <c r="J128" i="7"/>
  <c r="P127" i="7"/>
  <c r="Q127" i="7" s="1"/>
  <c r="J127" i="7"/>
  <c r="P126" i="7"/>
  <c r="Q126" i="7" s="1"/>
  <c r="J126" i="7"/>
  <c r="P125" i="7"/>
  <c r="Q125" i="7" s="1"/>
  <c r="J125" i="7"/>
  <c r="P124" i="7"/>
  <c r="Q124" i="7" s="1"/>
  <c r="J124" i="7"/>
  <c r="P123" i="7"/>
  <c r="Q123" i="7" s="1"/>
  <c r="J123" i="7"/>
  <c r="P122" i="7"/>
  <c r="Q122" i="7" s="1"/>
  <c r="J122" i="7"/>
  <c r="P121" i="7"/>
  <c r="Q121" i="7" s="1"/>
  <c r="J121" i="7"/>
  <c r="P120" i="7"/>
  <c r="Q120" i="7" s="1"/>
  <c r="J120" i="7"/>
  <c r="P119" i="7"/>
  <c r="Q119" i="7" s="1"/>
  <c r="J119" i="7"/>
  <c r="P118" i="7"/>
  <c r="Q118" i="7" s="1"/>
  <c r="J118" i="7"/>
  <c r="P117" i="7"/>
  <c r="Q117" i="7" s="1"/>
  <c r="J117" i="7"/>
  <c r="Q116" i="7"/>
  <c r="P116" i="7"/>
  <c r="J116" i="7"/>
  <c r="P115" i="7"/>
  <c r="Q115" i="7" s="1"/>
  <c r="J115" i="7"/>
  <c r="P114" i="7"/>
  <c r="Q114" i="7" s="1"/>
  <c r="J114" i="7"/>
  <c r="P113" i="7"/>
  <c r="Q113" i="7" s="1"/>
  <c r="J113" i="7"/>
  <c r="P112" i="7"/>
  <c r="Q112" i="7" s="1"/>
  <c r="J112" i="7"/>
  <c r="P111" i="7"/>
  <c r="Q111" i="7" s="1"/>
  <c r="J111" i="7"/>
  <c r="P110" i="7"/>
  <c r="J110" i="7"/>
  <c r="P109" i="7"/>
  <c r="J109" i="7"/>
  <c r="P108" i="7"/>
  <c r="J108" i="7"/>
  <c r="P107" i="7"/>
  <c r="J107" i="7"/>
  <c r="P106" i="7"/>
  <c r="J106" i="7"/>
  <c r="P105" i="7"/>
  <c r="J105" i="7"/>
  <c r="P104" i="7"/>
  <c r="J104" i="7"/>
  <c r="P103" i="7"/>
  <c r="J103" i="7"/>
  <c r="P102" i="7"/>
  <c r="J102" i="7"/>
  <c r="P101" i="7"/>
  <c r="J101" i="7"/>
  <c r="P100" i="7"/>
  <c r="J100" i="7"/>
  <c r="P99" i="7"/>
  <c r="J99" i="7"/>
  <c r="P98" i="7"/>
  <c r="J98" i="7"/>
  <c r="P97" i="7"/>
  <c r="J97" i="7"/>
  <c r="P96" i="7"/>
  <c r="J96" i="7"/>
  <c r="P95" i="7"/>
  <c r="J95" i="7"/>
  <c r="P94" i="7"/>
  <c r="J94" i="7"/>
  <c r="P93" i="7"/>
  <c r="J93" i="7"/>
  <c r="P92" i="7"/>
  <c r="J92" i="7"/>
  <c r="P91" i="7"/>
  <c r="J91" i="7"/>
  <c r="P90" i="7"/>
  <c r="J90" i="7"/>
  <c r="P89" i="7"/>
  <c r="J89" i="7"/>
  <c r="P88" i="7"/>
  <c r="J88" i="7"/>
  <c r="P87" i="7"/>
  <c r="J87" i="7"/>
  <c r="P86" i="7"/>
  <c r="J86" i="7"/>
  <c r="P85" i="7"/>
  <c r="J85" i="7"/>
  <c r="P84" i="7"/>
  <c r="J84" i="7"/>
  <c r="P83" i="7"/>
  <c r="J83" i="7"/>
  <c r="P82" i="7"/>
  <c r="J82" i="7"/>
  <c r="P81" i="7"/>
  <c r="J81" i="7"/>
  <c r="P80" i="7"/>
  <c r="J80" i="7"/>
  <c r="P79" i="7"/>
  <c r="J79" i="7"/>
  <c r="P78" i="7"/>
  <c r="J78" i="7"/>
  <c r="P77" i="7"/>
  <c r="J77" i="7"/>
  <c r="P76" i="7"/>
  <c r="J76" i="7"/>
  <c r="P75" i="7"/>
  <c r="J75" i="7"/>
  <c r="P74" i="7"/>
  <c r="J74" i="7"/>
  <c r="P73" i="7"/>
  <c r="J73" i="7"/>
  <c r="P72" i="7"/>
  <c r="J72" i="7"/>
  <c r="P71" i="7"/>
  <c r="J71" i="7"/>
  <c r="P70" i="7"/>
  <c r="J70" i="7"/>
  <c r="P69" i="7"/>
  <c r="J69" i="7"/>
  <c r="P68" i="7"/>
  <c r="J68" i="7"/>
  <c r="P67" i="7"/>
  <c r="J67" i="7"/>
  <c r="P66" i="7"/>
  <c r="J66" i="7"/>
  <c r="P65" i="7"/>
  <c r="J65" i="7"/>
  <c r="P64" i="7"/>
  <c r="J64" i="7"/>
  <c r="P63" i="7"/>
  <c r="J63" i="7"/>
  <c r="P62" i="7"/>
  <c r="J62" i="7"/>
  <c r="P61" i="7"/>
  <c r="J61" i="7"/>
  <c r="P60" i="7"/>
  <c r="J60" i="7"/>
  <c r="P59" i="7"/>
  <c r="J59" i="7"/>
  <c r="P58" i="7"/>
  <c r="J58" i="7"/>
  <c r="P57" i="7"/>
  <c r="J57" i="7"/>
  <c r="P56" i="7"/>
  <c r="J56" i="7"/>
  <c r="P55" i="7"/>
  <c r="J55" i="7"/>
  <c r="P54" i="7"/>
  <c r="J54" i="7"/>
  <c r="O169" i="6"/>
  <c r="P169" i="6" s="1"/>
  <c r="I169" i="6"/>
  <c r="O168" i="6"/>
  <c r="P168" i="6" s="1"/>
  <c r="I168" i="6"/>
  <c r="O167" i="6"/>
  <c r="P167" i="6" s="1"/>
  <c r="I167" i="6"/>
  <c r="O166" i="6"/>
  <c r="P166" i="6" s="1"/>
  <c r="I166" i="6"/>
  <c r="O165" i="6"/>
  <c r="P165" i="6" s="1"/>
  <c r="I165" i="6"/>
  <c r="O164" i="6"/>
  <c r="P164" i="6" s="1"/>
  <c r="I164" i="6"/>
  <c r="O163" i="6"/>
  <c r="P163" i="6" s="1"/>
  <c r="I163" i="6"/>
  <c r="O162" i="6"/>
  <c r="P162" i="6" s="1"/>
  <c r="I162" i="6"/>
  <c r="O161" i="6"/>
  <c r="P161" i="6" s="1"/>
  <c r="I161" i="6"/>
  <c r="O160" i="6"/>
  <c r="P160" i="6" s="1"/>
  <c r="I160" i="6"/>
  <c r="O159" i="6"/>
  <c r="P159" i="6" s="1"/>
  <c r="I159" i="6"/>
  <c r="O158" i="6"/>
  <c r="P158" i="6" s="1"/>
  <c r="I158" i="6"/>
  <c r="O157" i="6"/>
  <c r="P157" i="6" s="1"/>
  <c r="I157" i="6"/>
  <c r="O156" i="6"/>
  <c r="P156" i="6" s="1"/>
  <c r="I156" i="6"/>
  <c r="O155" i="6"/>
  <c r="P155" i="6" s="1"/>
  <c r="I155" i="6"/>
  <c r="O154" i="6"/>
  <c r="P154" i="6" s="1"/>
  <c r="I154" i="6"/>
  <c r="O153" i="6"/>
  <c r="P153" i="6" s="1"/>
  <c r="I153" i="6"/>
  <c r="O152" i="6"/>
  <c r="P152" i="6" s="1"/>
  <c r="I152" i="6"/>
  <c r="O151" i="6"/>
  <c r="P151" i="6" s="1"/>
  <c r="I151" i="6"/>
  <c r="O150" i="6"/>
  <c r="P150" i="6" s="1"/>
  <c r="I150" i="6"/>
  <c r="O149" i="6"/>
  <c r="P149" i="6" s="1"/>
  <c r="I149" i="6"/>
  <c r="O148" i="6"/>
  <c r="P148" i="6" s="1"/>
  <c r="I148" i="6"/>
  <c r="O147" i="6"/>
  <c r="P147" i="6" s="1"/>
  <c r="I147" i="6"/>
  <c r="O146" i="6"/>
  <c r="P146" i="6" s="1"/>
  <c r="I146" i="6"/>
  <c r="O145" i="6"/>
  <c r="P145" i="6" s="1"/>
  <c r="I145" i="6"/>
  <c r="O144" i="6"/>
  <c r="P144" i="6" s="1"/>
  <c r="I144" i="6"/>
  <c r="O143" i="6"/>
  <c r="P143" i="6" s="1"/>
  <c r="I143" i="6"/>
  <c r="O142" i="6"/>
  <c r="P142" i="6" s="1"/>
  <c r="I142" i="6"/>
  <c r="O141" i="6"/>
  <c r="P141" i="6" s="1"/>
  <c r="I141" i="6"/>
  <c r="O140" i="6"/>
  <c r="P140" i="6" s="1"/>
  <c r="I140" i="6"/>
  <c r="O139" i="6"/>
  <c r="P139" i="6" s="1"/>
  <c r="I139" i="6"/>
  <c r="O138" i="6"/>
  <c r="P138" i="6" s="1"/>
  <c r="I138" i="6"/>
  <c r="O137" i="6"/>
  <c r="P137" i="6" s="1"/>
  <c r="I137" i="6"/>
  <c r="O136" i="6"/>
  <c r="P136" i="6" s="1"/>
  <c r="I136" i="6"/>
  <c r="O135" i="6"/>
  <c r="P135" i="6" s="1"/>
  <c r="I135" i="6"/>
  <c r="O134" i="6"/>
  <c r="P134" i="6" s="1"/>
  <c r="I134" i="6"/>
  <c r="O133" i="6"/>
  <c r="P133" i="6" s="1"/>
  <c r="I133" i="6"/>
  <c r="O132" i="6"/>
  <c r="P132" i="6" s="1"/>
  <c r="I132" i="6"/>
  <c r="O131" i="6"/>
  <c r="P131" i="6" s="1"/>
  <c r="I131" i="6"/>
  <c r="O130" i="6"/>
  <c r="P130" i="6" s="1"/>
  <c r="I130" i="6"/>
  <c r="O129" i="6"/>
  <c r="P129" i="6" s="1"/>
  <c r="I129" i="6"/>
  <c r="O128" i="6"/>
  <c r="P128" i="6" s="1"/>
  <c r="I128" i="6"/>
  <c r="O127" i="6"/>
  <c r="P127" i="6" s="1"/>
  <c r="I127" i="6"/>
  <c r="O126" i="6"/>
  <c r="P126" i="6" s="1"/>
  <c r="I126" i="6"/>
  <c r="O125" i="6"/>
  <c r="P125" i="6" s="1"/>
  <c r="I125" i="6"/>
  <c r="O124" i="6"/>
  <c r="P124" i="6" s="1"/>
  <c r="I124" i="6"/>
  <c r="O123" i="6"/>
  <c r="P123" i="6" s="1"/>
  <c r="I123" i="6"/>
  <c r="O122" i="6"/>
  <c r="P122" i="6" s="1"/>
  <c r="I122" i="6"/>
  <c r="O121" i="6"/>
  <c r="P121" i="6" s="1"/>
  <c r="I121" i="6"/>
  <c r="O120" i="6"/>
  <c r="P120" i="6" s="1"/>
  <c r="I120" i="6"/>
  <c r="O119" i="6"/>
  <c r="P119" i="6" s="1"/>
  <c r="I119" i="6"/>
  <c r="O118" i="6"/>
  <c r="P118" i="6" s="1"/>
  <c r="I118" i="6"/>
  <c r="O117" i="6"/>
  <c r="P117" i="6" s="1"/>
  <c r="I117" i="6"/>
  <c r="O116" i="6"/>
  <c r="P116" i="6" s="1"/>
  <c r="I116" i="6"/>
  <c r="O115" i="6"/>
  <c r="P115" i="6" s="1"/>
  <c r="I115" i="6"/>
  <c r="O114" i="6"/>
  <c r="P114" i="6" s="1"/>
  <c r="I114" i="6"/>
  <c r="O113" i="6"/>
  <c r="P113" i="6" s="1"/>
  <c r="I113" i="6"/>
  <c r="O112" i="6"/>
  <c r="P112" i="6" s="1"/>
  <c r="I112" i="6"/>
  <c r="O111" i="6"/>
  <c r="P111" i="6" s="1"/>
  <c r="I111" i="6"/>
  <c r="O110" i="6"/>
  <c r="I110" i="6"/>
  <c r="O109" i="6"/>
  <c r="I109" i="6"/>
  <c r="O108" i="6"/>
  <c r="I108" i="6"/>
  <c r="O107" i="6"/>
  <c r="I107" i="6"/>
  <c r="O106" i="6"/>
  <c r="I106" i="6"/>
  <c r="O105" i="6"/>
  <c r="I105" i="6"/>
  <c r="O104" i="6"/>
  <c r="I104" i="6"/>
  <c r="O103" i="6"/>
  <c r="I103" i="6"/>
  <c r="O102" i="6"/>
  <c r="I102" i="6"/>
  <c r="O101" i="6"/>
  <c r="I101" i="6"/>
  <c r="O100" i="6"/>
  <c r="I100" i="6"/>
  <c r="O99" i="6"/>
  <c r="I99" i="6"/>
  <c r="O98" i="6"/>
  <c r="I98" i="6"/>
  <c r="O97" i="6"/>
  <c r="I97" i="6"/>
  <c r="O96" i="6"/>
  <c r="I96" i="6"/>
  <c r="O95" i="6"/>
  <c r="I95" i="6"/>
  <c r="O94" i="6"/>
  <c r="I94" i="6"/>
  <c r="O93" i="6"/>
  <c r="I93" i="6"/>
  <c r="O92" i="6"/>
  <c r="I92" i="6"/>
  <c r="O91" i="6"/>
  <c r="I91" i="6"/>
  <c r="O90" i="6"/>
  <c r="I90" i="6"/>
  <c r="O89" i="6"/>
  <c r="I89" i="6"/>
  <c r="O88" i="6"/>
  <c r="I88" i="6"/>
  <c r="O87" i="6"/>
  <c r="I87" i="6"/>
  <c r="O86" i="6"/>
  <c r="I86" i="6"/>
  <c r="O85" i="6"/>
  <c r="I85" i="6"/>
  <c r="O84" i="6"/>
  <c r="I84" i="6"/>
  <c r="O83" i="6"/>
  <c r="I83" i="6"/>
  <c r="O82" i="6"/>
  <c r="I82" i="6"/>
  <c r="O81" i="6"/>
  <c r="I81" i="6"/>
  <c r="O80" i="6"/>
  <c r="I80" i="6"/>
  <c r="O79" i="6"/>
  <c r="I79" i="6"/>
  <c r="O78" i="6"/>
  <c r="I78" i="6"/>
  <c r="O77" i="6"/>
  <c r="I77" i="6"/>
  <c r="O76" i="6"/>
  <c r="I76" i="6"/>
  <c r="O75" i="6"/>
  <c r="I75" i="6"/>
  <c r="O74" i="6"/>
  <c r="I74" i="6"/>
  <c r="O73" i="6"/>
  <c r="I73" i="6"/>
  <c r="O72" i="6"/>
  <c r="I72" i="6"/>
  <c r="O71" i="6"/>
  <c r="I71" i="6"/>
  <c r="O70" i="6"/>
  <c r="I70" i="6"/>
  <c r="O69" i="6"/>
  <c r="I69" i="6"/>
  <c r="O68" i="6"/>
  <c r="I68" i="6"/>
  <c r="O67" i="6"/>
  <c r="I67" i="6"/>
  <c r="O66" i="6"/>
  <c r="I66" i="6"/>
  <c r="O65" i="6"/>
  <c r="I65" i="6"/>
  <c r="O64" i="6"/>
  <c r="I64" i="6"/>
  <c r="O63" i="6"/>
  <c r="I63" i="6"/>
  <c r="O62" i="6"/>
  <c r="I62" i="6"/>
  <c r="O61" i="6"/>
  <c r="I61" i="6"/>
  <c r="O60" i="6"/>
  <c r="I60" i="6"/>
  <c r="O59" i="6"/>
  <c r="I59" i="6"/>
  <c r="O58" i="6"/>
  <c r="I58" i="6"/>
  <c r="O57" i="6"/>
  <c r="I57" i="6"/>
  <c r="O56" i="6"/>
  <c r="I56" i="6"/>
  <c r="O55" i="6"/>
  <c r="I55" i="6"/>
  <c r="O54" i="6"/>
  <c r="I54" i="6"/>
  <c r="T198" i="1"/>
  <c r="AR424" i="1"/>
  <c r="AI424" i="1"/>
  <c r="AJ424" i="1" s="1"/>
  <c r="AF424" i="1"/>
  <c r="W424" i="1"/>
  <c r="T424" i="1"/>
  <c r="S424" i="1"/>
  <c r="AR423" i="1"/>
  <c r="AI423" i="1"/>
  <c r="AJ423" i="1" s="1"/>
  <c r="AF423" i="1"/>
  <c r="W423" i="1"/>
  <c r="X423" i="1" s="1"/>
  <c r="T423" i="1"/>
  <c r="S423" i="1"/>
  <c r="AR422" i="1"/>
  <c r="AI422" i="1"/>
  <c r="AJ422" i="1" s="1"/>
  <c r="AF422" i="1"/>
  <c r="W422" i="1"/>
  <c r="X422" i="1" s="1"/>
  <c r="T422" i="1"/>
  <c r="S422" i="1"/>
  <c r="AR421" i="1"/>
  <c r="AI421" i="1"/>
  <c r="AJ421" i="1" s="1"/>
  <c r="AF421" i="1"/>
  <c r="W421" i="1"/>
  <c r="T421" i="1"/>
  <c r="S421" i="1"/>
  <c r="AR420" i="1"/>
  <c r="AI420" i="1"/>
  <c r="AJ420" i="1" s="1"/>
  <c r="AF420" i="1"/>
  <c r="W420" i="1"/>
  <c r="X420" i="1" s="1"/>
  <c r="T420" i="1"/>
  <c r="S420" i="1"/>
  <c r="AR419" i="1"/>
  <c r="AI419" i="1"/>
  <c r="AJ419" i="1" s="1"/>
  <c r="AF419" i="1"/>
  <c r="W419" i="1"/>
  <c r="T419" i="1"/>
  <c r="S419" i="1"/>
  <c r="AR418" i="1"/>
  <c r="AI418" i="1"/>
  <c r="AJ418" i="1" s="1"/>
  <c r="AF418" i="1"/>
  <c r="W418" i="1"/>
  <c r="T418" i="1"/>
  <c r="S418" i="1"/>
  <c r="AR417" i="1"/>
  <c r="AI417" i="1"/>
  <c r="AJ417" i="1" s="1"/>
  <c r="AF417" i="1"/>
  <c r="W417" i="1"/>
  <c r="T417" i="1"/>
  <c r="S417" i="1"/>
  <c r="AR416" i="1"/>
  <c r="AI416" i="1"/>
  <c r="AJ416" i="1" s="1"/>
  <c r="AF416" i="1"/>
  <c r="W416" i="1"/>
  <c r="T416" i="1"/>
  <c r="S416" i="1"/>
  <c r="AR415" i="1"/>
  <c r="AI415" i="1"/>
  <c r="AJ415" i="1" s="1"/>
  <c r="AF415" i="1"/>
  <c r="W415" i="1"/>
  <c r="T415" i="1"/>
  <c r="S415" i="1"/>
  <c r="AR414" i="1"/>
  <c r="AI414" i="1"/>
  <c r="AJ414" i="1" s="1"/>
  <c r="AF414" i="1"/>
  <c r="W414" i="1"/>
  <c r="X414" i="1" s="1"/>
  <c r="T414" i="1"/>
  <c r="S414" i="1"/>
  <c r="AR413" i="1"/>
  <c r="AI413" i="1"/>
  <c r="AJ413" i="1" s="1"/>
  <c r="AF413" i="1"/>
  <c r="W413" i="1"/>
  <c r="T413" i="1"/>
  <c r="S413" i="1"/>
  <c r="AR412" i="1"/>
  <c r="AI412" i="1"/>
  <c r="AJ412" i="1" s="1"/>
  <c r="AF412" i="1"/>
  <c r="W412" i="1"/>
  <c r="T412" i="1"/>
  <c r="S412" i="1"/>
  <c r="AR411" i="1"/>
  <c r="AJ411" i="1"/>
  <c r="AF411" i="1"/>
  <c r="W411" i="1"/>
  <c r="X411" i="1" s="1"/>
  <c r="T411" i="1"/>
  <c r="S411" i="1"/>
  <c r="AR410" i="1"/>
  <c r="AI410" i="1"/>
  <c r="AJ410" i="1" s="1"/>
  <c r="AF410" i="1"/>
  <c r="W410" i="1"/>
  <c r="T410" i="1"/>
  <c r="S410" i="1"/>
  <c r="AR409" i="1"/>
  <c r="AI409" i="1"/>
  <c r="AJ409" i="1" s="1"/>
  <c r="AF409" i="1"/>
  <c r="W409" i="1"/>
  <c r="T409" i="1"/>
  <c r="S409" i="1"/>
  <c r="AR408" i="1"/>
  <c r="AI408" i="1"/>
  <c r="AJ408" i="1" s="1"/>
  <c r="AF408" i="1"/>
  <c r="W408" i="1"/>
  <c r="T408" i="1"/>
  <c r="S408" i="1"/>
  <c r="AR407" i="1"/>
  <c r="AI407" i="1"/>
  <c r="AJ407" i="1" s="1"/>
  <c r="AF407" i="1"/>
  <c r="W407" i="1"/>
  <c r="T407" i="1"/>
  <c r="S407" i="1"/>
  <c r="AR406" i="1"/>
  <c r="AI406" i="1"/>
  <c r="AJ406" i="1" s="1"/>
  <c r="AF406" i="1"/>
  <c r="W406" i="1"/>
  <c r="X406" i="1" s="1"/>
  <c r="T406" i="1"/>
  <c r="S406" i="1"/>
  <c r="AR405" i="1"/>
  <c r="AI405" i="1"/>
  <c r="AJ405" i="1" s="1"/>
  <c r="AF405" i="1"/>
  <c r="W405" i="1"/>
  <c r="X405" i="1" s="1"/>
  <c r="T405" i="1"/>
  <c r="S405" i="1"/>
  <c r="AR404" i="1"/>
  <c r="AI404" i="1"/>
  <c r="AJ404" i="1" s="1"/>
  <c r="AF404" i="1"/>
  <c r="W404" i="1"/>
  <c r="X404" i="1" s="1"/>
  <c r="T404" i="1"/>
  <c r="S404" i="1"/>
  <c r="AR403" i="1"/>
  <c r="AI403" i="1"/>
  <c r="AJ403" i="1" s="1"/>
  <c r="AF403" i="1"/>
  <c r="W403" i="1"/>
  <c r="X403" i="1" s="1"/>
  <c r="T403" i="1"/>
  <c r="S403" i="1"/>
  <c r="AR402" i="1"/>
  <c r="AI402" i="1"/>
  <c r="AJ402" i="1" s="1"/>
  <c r="AF402" i="1"/>
  <c r="W402" i="1"/>
  <c r="T402" i="1"/>
  <c r="S402" i="1"/>
  <c r="AR401" i="1"/>
  <c r="AI401" i="1"/>
  <c r="AJ401" i="1" s="1"/>
  <c r="AF401" i="1"/>
  <c r="W401" i="1"/>
  <c r="T401" i="1"/>
  <c r="S401" i="1"/>
  <c r="AR400" i="1"/>
  <c r="AI400" i="1"/>
  <c r="AJ400" i="1" s="1"/>
  <c r="AF400" i="1"/>
  <c r="W400" i="1"/>
  <c r="T400" i="1"/>
  <c r="S400" i="1"/>
  <c r="AR399" i="1"/>
  <c r="AI399" i="1"/>
  <c r="AJ399" i="1" s="1"/>
  <c r="AF399" i="1"/>
  <c r="W399" i="1"/>
  <c r="X399" i="1" s="1"/>
  <c r="T399" i="1"/>
  <c r="S399" i="1"/>
  <c r="AJ398" i="1"/>
  <c r="AF398" i="1"/>
  <c r="X398" i="1"/>
  <c r="T398" i="1"/>
  <c r="S398" i="1"/>
  <c r="AR397" i="1"/>
  <c r="AI397" i="1"/>
  <c r="AJ397" i="1" s="1"/>
  <c r="AF397" i="1"/>
  <c r="W397" i="1"/>
  <c r="T397" i="1"/>
  <c r="S397" i="1"/>
  <c r="AR396" i="1"/>
  <c r="AI396" i="1"/>
  <c r="AJ396" i="1" s="1"/>
  <c r="AF396" i="1"/>
  <c r="W396" i="1"/>
  <c r="T396" i="1"/>
  <c r="S396" i="1"/>
  <c r="AR395" i="1"/>
  <c r="AI395" i="1"/>
  <c r="AJ395" i="1" s="1"/>
  <c r="AF395" i="1"/>
  <c r="W395" i="1"/>
  <c r="X395" i="1" s="1"/>
  <c r="T395" i="1"/>
  <c r="S395" i="1"/>
  <c r="AR394" i="1"/>
  <c r="AI394" i="1"/>
  <c r="AJ394" i="1" s="1"/>
  <c r="AF394" i="1"/>
  <c r="W394" i="1"/>
  <c r="X394" i="1" s="1"/>
  <c r="T394" i="1"/>
  <c r="S394" i="1"/>
  <c r="AJ393" i="1"/>
  <c r="AF393" i="1"/>
  <c r="X393" i="1"/>
  <c r="T393" i="1"/>
  <c r="S393" i="1"/>
  <c r="AR392" i="1"/>
  <c r="AI392" i="1"/>
  <c r="AJ392" i="1" s="1"/>
  <c r="AF392" i="1"/>
  <c r="W392" i="1"/>
  <c r="X392" i="1" s="1"/>
  <c r="T392" i="1"/>
  <c r="S392" i="1"/>
  <c r="AR391" i="1"/>
  <c r="AI391" i="1"/>
  <c r="AJ391" i="1" s="1"/>
  <c r="AF391" i="1"/>
  <c r="W391" i="1"/>
  <c r="T391" i="1"/>
  <c r="S391" i="1"/>
  <c r="AR390" i="1"/>
  <c r="AI390" i="1"/>
  <c r="AJ390" i="1" s="1"/>
  <c r="AF390" i="1"/>
  <c r="W390" i="1"/>
  <c r="X390" i="1" s="1"/>
  <c r="T390" i="1"/>
  <c r="S390" i="1"/>
  <c r="AR389" i="1"/>
  <c r="AI389" i="1"/>
  <c r="AJ389" i="1" s="1"/>
  <c r="AF389" i="1"/>
  <c r="W389" i="1"/>
  <c r="X389" i="1" s="1"/>
  <c r="T389" i="1"/>
  <c r="S389" i="1"/>
  <c r="AR388" i="1"/>
  <c r="AI388" i="1"/>
  <c r="AJ388" i="1" s="1"/>
  <c r="AF388" i="1"/>
  <c r="W388" i="1"/>
  <c r="T388" i="1"/>
  <c r="S388" i="1"/>
  <c r="AJ387" i="1"/>
  <c r="X387" i="1"/>
  <c r="S387" i="1"/>
  <c r="AR386" i="1"/>
  <c r="AI386" i="1"/>
  <c r="AJ386" i="1" s="1"/>
  <c r="AF386" i="1"/>
  <c r="W386" i="1"/>
  <c r="T386" i="1"/>
  <c r="S386" i="1"/>
  <c r="AJ385" i="1"/>
  <c r="X385" i="1"/>
  <c r="S385" i="1"/>
  <c r="AR384" i="1"/>
  <c r="AI384" i="1"/>
  <c r="AJ384" i="1" s="1"/>
  <c r="AF384" i="1"/>
  <c r="W384" i="1"/>
  <c r="X384" i="1" s="1"/>
  <c r="T384" i="1"/>
  <c r="S384" i="1"/>
  <c r="AJ383" i="1"/>
  <c r="X383" i="1"/>
  <c r="S383" i="1"/>
  <c r="AR382" i="1"/>
  <c r="AI382" i="1"/>
  <c r="AJ382" i="1" s="1"/>
  <c r="AF382" i="1"/>
  <c r="W382" i="1"/>
  <c r="X382" i="1" s="1"/>
  <c r="T382" i="1"/>
  <c r="S382" i="1"/>
  <c r="AJ381" i="1"/>
  <c r="X381" i="1"/>
  <c r="S381" i="1"/>
  <c r="AR380" i="1"/>
  <c r="AI380" i="1"/>
  <c r="AJ380" i="1" s="1"/>
  <c r="AF380" i="1"/>
  <c r="W380" i="1"/>
  <c r="T380" i="1"/>
  <c r="S380" i="1"/>
  <c r="AR379" i="1"/>
  <c r="AI379" i="1"/>
  <c r="AJ379" i="1" s="1"/>
  <c r="AF379" i="1"/>
  <c r="W379" i="1"/>
  <c r="T379" i="1"/>
  <c r="S379" i="1"/>
  <c r="AR378" i="1"/>
  <c r="AI378" i="1"/>
  <c r="AJ378" i="1" s="1"/>
  <c r="AF378" i="1"/>
  <c r="W378" i="1"/>
  <c r="T378" i="1"/>
  <c r="S378" i="1"/>
  <c r="AR377" i="1"/>
  <c r="AI377" i="1"/>
  <c r="AJ377" i="1" s="1"/>
  <c r="AF377" i="1"/>
  <c r="W377" i="1"/>
  <c r="X377" i="1" s="1"/>
  <c r="T377" i="1"/>
  <c r="S377" i="1"/>
  <c r="AR376" i="1"/>
  <c r="AL376" i="1"/>
  <c r="AK376" i="1"/>
  <c r="AH376" i="1"/>
  <c r="AG376" i="1"/>
  <c r="AE376" i="1"/>
  <c r="AF376" i="1" s="1"/>
  <c r="AD376" i="1"/>
  <c r="AC376" i="1"/>
  <c r="AB376" i="1"/>
  <c r="AA376" i="1"/>
  <c r="W376" i="1"/>
  <c r="AI376" i="1" s="1"/>
  <c r="T376" i="1"/>
  <c r="S376" i="1"/>
  <c r="AR375" i="1"/>
  <c r="AI375" i="1"/>
  <c r="AJ375" i="1" s="1"/>
  <c r="AF375" i="1"/>
  <c r="W375" i="1"/>
  <c r="T375" i="1"/>
  <c r="S375" i="1"/>
  <c r="AR374" i="1"/>
  <c r="AI374" i="1"/>
  <c r="AJ374" i="1" s="1"/>
  <c r="AF374" i="1"/>
  <c r="W374" i="1"/>
  <c r="X374" i="1" s="1"/>
  <c r="T374" i="1"/>
  <c r="S374" i="1"/>
  <c r="AR373" i="1"/>
  <c r="AI373" i="1"/>
  <c r="AJ373" i="1" s="1"/>
  <c r="AF373" i="1"/>
  <c r="W373" i="1"/>
  <c r="T373" i="1"/>
  <c r="S373" i="1"/>
  <c r="AR372" i="1"/>
  <c r="AI372" i="1"/>
  <c r="AJ372" i="1" s="1"/>
  <c r="AF372" i="1"/>
  <c r="W372" i="1"/>
  <c r="T372" i="1"/>
  <c r="S372" i="1"/>
  <c r="AR371" i="1"/>
  <c r="AI371" i="1"/>
  <c r="AJ371" i="1" s="1"/>
  <c r="AF371" i="1"/>
  <c r="W371" i="1"/>
  <c r="T371" i="1"/>
  <c r="S371" i="1"/>
  <c r="AR370" i="1"/>
  <c r="AI370" i="1"/>
  <c r="AJ370" i="1" s="1"/>
  <c r="AF370" i="1"/>
  <c r="W370" i="1"/>
  <c r="T370" i="1"/>
  <c r="S370" i="1"/>
  <c r="AR369" i="1"/>
  <c r="AI369" i="1"/>
  <c r="AJ369" i="1" s="1"/>
  <c r="AF369" i="1"/>
  <c r="W369" i="1"/>
  <c r="T369" i="1"/>
  <c r="S369" i="1"/>
  <c r="AR368" i="1"/>
  <c r="AI368" i="1"/>
  <c r="AJ368" i="1" s="1"/>
  <c r="AF368" i="1"/>
  <c r="W368" i="1"/>
  <c r="T368" i="1"/>
  <c r="S368" i="1"/>
  <c r="AR367" i="1"/>
  <c r="AI367" i="1"/>
  <c r="AJ367" i="1" s="1"/>
  <c r="AF367" i="1"/>
  <c r="W367" i="1"/>
  <c r="T367" i="1"/>
  <c r="S367" i="1"/>
  <c r="AR366" i="1"/>
  <c r="AI366" i="1"/>
  <c r="AJ366" i="1" s="1"/>
  <c r="AF366" i="1"/>
  <c r="W366" i="1"/>
  <c r="X366" i="1" s="1"/>
  <c r="T366" i="1"/>
  <c r="S366" i="1"/>
  <c r="AR365" i="1"/>
  <c r="AL365" i="1"/>
  <c r="AK365" i="1"/>
  <c r="AH365" i="1"/>
  <c r="AG365" i="1"/>
  <c r="AE365" i="1"/>
  <c r="AF365" i="1" s="1"/>
  <c r="AD365" i="1"/>
  <c r="AC365" i="1"/>
  <c r="AB365" i="1"/>
  <c r="AA365" i="1"/>
  <c r="W365" i="1"/>
  <c r="T365" i="1"/>
  <c r="S365" i="1"/>
  <c r="AR364" i="1"/>
  <c r="AI364" i="1"/>
  <c r="AJ364" i="1" s="1"/>
  <c r="AF364" i="1"/>
  <c r="W364" i="1"/>
  <c r="T364" i="1"/>
  <c r="S364" i="1"/>
  <c r="AR363" i="1"/>
  <c r="AI363" i="1"/>
  <c r="AJ363" i="1" s="1"/>
  <c r="AF363" i="1"/>
  <c r="W363" i="1"/>
  <c r="X363" i="1" s="1"/>
  <c r="T363" i="1"/>
  <c r="S363" i="1"/>
  <c r="AR362" i="1"/>
  <c r="AI362" i="1"/>
  <c r="AJ362" i="1" s="1"/>
  <c r="AF362" i="1"/>
  <c r="W362" i="1"/>
  <c r="T362" i="1"/>
  <c r="S362" i="1"/>
  <c r="AR361" i="1"/>
  <c r="AI361" i="1"/>
  <c r="AJ361" i="1" s="1"/>
  <c r="AF361" i="1"/>
  <c r="W361" i="1"/>
  <c r="T361" i="1"/>
  <c r="S361" i="1"/>
  <c r="AR360" i="1"/>
  <c r="AI360" i="1"/>
  <c r="AJ360" i="1" s="1"/>
  <c r="AF360" i="1"/>
  <c r="W360" i="1"/>
  <c r="T360" i="1"/>
  <c r="S360" i="1"/>
  <c r="AR359" i="1"/>
  <c r="AI359" i="1"/>
  <c r="AF359" i="1"/>
  <c r="W359" i="1"/>
  <c r="T359" i="1"/>
  <c r="S359" i="1"/>
  <c r="AR358" i="1"/>
  <c r="AI358" i="1"/>
  <c r="AF358" i="1"/>
  <c r="W358" i="1"/>
  <c r="T358" i="1"/>
  <c r="S358" i="1"/>
  <c r="AR357" i="1"/>
  <c r="AI357" i="1"/>
  <c r="AF357" i="1"/>
  <c r="W357" i="1"/>
  <c r="T357" i="1"/>
  <c r="S357" i="1"/>
  <c r="AR356" i="1"/>
  <c r="AI356" i="1"/>
  <c r="AF356" i="1"/>
  <c r="W356" i="1"/>
  <c r="T356" i="1"/>
  <c r="S356" i="1"/>
  <c r="AR354" i="1"/>
  <c r="AI354" i="1"/>
  <c r="AF354" i="1"/>
  <c r="W354" i="1"/>
  <c r="T354" i="1"/>
  <c r="S354" i="1"/>
  <c r="AR353" i="1"/>
  <c r="AI353" i="1"/>
  <c r="AF353" i="1"/>
  <c r="W353" i="1"/>
  <c r="T353" i="1"/>
  <c r="S353" i="1"/>
  <c r="AR352" i="1"/>
  <c r="AI352" i="1"/>
  <c r="AF352" i="1"/>
  <c r="W352" i="1"/>
  <c r="T352" i="1"/>
  <c r="S352" i="1"/>
  <c r="AR351" i="1"/>
  <c r="AI351" i="1"/>
  <c r="AF351" i="1"/>
  <c r="W351" i="1"/>
  <c r="T351" i="1"/>
  <c r="S351" i="1"/>
  <c r="AR350" i="1"/>
  <c r="AI350" i="1"/>
  <c r="AF350" i="1"/>
  <c r="W350" i="1"/>
  <c r="T350" i="1"/>
  <c r="S350" i="1"/>
  <c r="AR349" i="1"/>
  <c r="AI349" i="1"/>
  <c r="AF349" i="1"/>
  <c r="W349" i="1"/>
  <c r="T349" i="1"/>
  <c r="S349" i="1"/>
  <c r="AR348" i="1"/>
  <c r="AI348" i="1"/>
  <c r="AF348" i="1"/>
  <c r="W348" i="1"/>
  <c r="T348" i="1"/>
  <c r="S348" i="1"/>
  <c r="AR347" i="1"/>
  <c r="AI347" i="1"/>
  <c r="AF347" i="1"/>
  <c r="W347" i="1"/>
  <c r="T347" i="1"/>
  <c r="S347" i="1"/>
  <c r="AR346" i="1"/>
  <c r="AI346" i="1"/>
  <c r="AF346" i="1"/>
  <c r="W346" i="1"/>
  <c r="T346" i="1"/>
  <c r="S346" i="1"/>
  <c r="AR345" i="1"/>
  <c r="AI345" i="1"/>
  <c r="AF345" i="1"/>
  <c r="W345" i="1"/>
  <c r="T345" i="1"/>
  <c r="S345" i="1"/>
  <c r="AR344" i="1"/>
  <c r="AI344" i="1"/>
  <c r="AF344" i="1"/>
  <c r="W344" i="1"/>
  <c r="T344" i="1"/>
  <c r="S344" i="1"/>
  <c r="AR343" i="1"/>
  <c r="AI343" i="1"/>
  <c r="AF343" i="1"/>
  <c r="W343" i="1"/>
  <c r="T343" i="1"/>
  <c r="S343" i="1"/>
  <c r="AR342" i="1"/>
  <c r="AI342" i="1"/>
  <c r="AF342" i="1"/>
  <c r="W342" i="1"/>
  <c r="T342" i="1"/>
  <c r="S342" i="1"/>
  <c r="AR341" i="1"/>
  <c r="AI341" i="1"/>
  <c r="AF341" i="1"/>
  <c r="W341" i="1"/>
  <c r="T341" i="1"/>
  <c r="S341" i="1"/>
  <c r="AR340" i="1"/>
  <c r="AI340" i="1"/>
  <c r="AF340" i="1"/>
  <c r="W340" i="1"/>
  <c r="T340" i="1"/>
  <c r="S340" i="1"/>
  <c r="AR339" i="1"/>
  <c r="AI339" i="1"/>
  <c r="AF339" i="1"/>
  <c r="W339" i="1"/>
  <c r="T339" i="1"/>
  <c r="S339" i="1"/>
  <c r="AR338" i="1"/>
  <c r="AI338" i="1"/>
  <c r="AF338" i="1"/>
  <c r="W338" i="1"/>
  <c r="T338" i="1"/>
  <c r="S338" i="1"/>
  <c r="AR337" i="1"/>
  <c r="AI337" i="1"/>
  <c r="AF337" i="1"/>
  <c r="W337" i="1"/>
  <c r="T337" i="1"/>
  <c r="S337" i="1"/>
  <c r="AR336" i="1"/>
  <c r="AI336" i="1"/>
  <c r="AF336" i="1"/>
  <c r="W336" i="1"/>
  <c r="T336" i="1"/>
  <c r="S336" i="1"/>
  <c r="AR335" i="1"/>
  <c r="AI335" i="1"/>
  <c r="AF335" i="1"/>
  <c r="W335" i="1"/>
  <c r="T335" i="1"/>
  <c r="S335" i="1"/>
  <c r="AR334" i="1"/>
  <c r="AI334" i="1"/>
  <c r="AF334" i="1"/>
  <c r="W334" i="1"/>
  <c r="T334" i="1"/>
  <c r="S334" i="1"/>
  <c r="AR333" i="1"/>
  <c r="AI333" i="1"/>
  <c r="AF333" i="1"/>
  <c r="W333" i="1"/>
  <c r="T333" i="1"/>
  <c r="S333" i="1"/>
  <c r="AR332" i="1"/>
  <c r="AI332" i="1"/>
  <c r="AF332" i="1"/>
  <c r="W332" i="1"/>
  <c r="T332" i="1"/>
  <c r="S332" i="1"/>
  <c r="AR331" i="1"/>
  <c r="AI331" i="1"/>
  <c r="AF331" i="1"/>
  <c r="W331" i="1"/>
  <c r="T331" i="1"/>
  <c r="S331" i="1"/>
  <c r="AR330" i="1"/>
  <c r="AI330" i="1"/>
  <c r="AF330" i="1"/>
  <c r="W330" i="1"/>
  <c r="T330" i="1"/>
  <c r="S330" i="1"/>
  <c r="AR329" i="1"/>
  <c r="AI329" i="1"/>
  <c r="AF329" i="1"/>
  <c r="W329" i="1"/>
  <c r="T329" i="1"/>
  <c r="S329" i="1"/>
  <c r="AR328" i="1"/>
  <c r="AI328" i="1"/>
  <c r="AF328" i="1"/>
  <c r="W328" i="1"/>
  <c r="T328" i="1"/>
  <c r="S328" i="1"/>
  <c r="AR327" i="1"/>
  <c r="AI327" i="1"/>
  <c r="AF327" i="1"/>
  <c r="W327" i="1"/>
  <c r="T327" i="1"/>
  <c r="S327" i="1"/>
  <c r="AR326" i="1"/>
  <c r="AI326" i="1"/>
  <c r="AF326" i="1"/>
  <c r="W326" i="1"/>
  <c r="T326" i="1"/>
  <c r="S326" i="1"/>
  <c r="AR325" i="1"/>
  <c r="AI325" i="1"/>
  <c r="AF325" i="1"/>
  <c r="W325" i="1"/>
  <c r="T325" i="1"/>
  <c r="S325" i="1"/>
  <c r="AR324" i="1"/>
  <c r="AI324" i="1"/>
  <c r="AF324" i="1"/>
  <c r="W324" i="1"/>
  <c r="T324" i="1"/>
  <c r="S324" i="1"/>
  <c r="AR323" i="1"/>
  <c r="AI323" i="1"/>
  <c r="AF323" i="1"/>
  <c r="W323" i="1"/>
  <c r="T323" i="1"/>
  <c r="S323" i="1"/>
  <c r="AR322" i="1"/>
  <c r="AI322" i="1"/>
  <c r="AF322" i="1"/>
  <c r="W322" i="1"/>
  <c r="T322" i="1"/>
  <c r="S322" i="1"/>
  <c r="AR321" i="1"/>
  <c r="AI321" i="1"/>
  <c r="AF321" i="1"/>
  <c r="W321" i="1"/>
  <c r="T321" i="1"/>
  <c r="S321" i="1"/>
  <c r="AR320" i="1"/>
  <c r="AI320" i="1"/>
  <c r="AF320" i="1"/>
  <c r="W320" i="1"/>
  <c r="T320" i="1"/>
  <c r="S320" i="1"/>
  <c r="AR319" i="1"/>
  <c r="AI319" i="1"/>
  <c r="AF319" i="1"/>
  <c r="W319" i="1"/>
  <c r="T319" i="1"/>
  <c r="S319" i="1"/>
  <c r="AR318" i="1"/>
  <c r="AI318" i="1"/>
  <c r="AF318" i="1"/>
  <c r="W318" i="1"/>
  <c r="T318" i="1"/>
  <c r="S318" i="1"/>
  <c r="AR317" i="1"/>
  <c r="AI317" i="1"/>
  <c r="AF317" i="1"/>
  <c r="W317" i="1"/>
  <c r="T317" i="1"/>
  <c r="S317" i="1"/>
  <c r="AR316" i="1"/>
  <c r="AI316" i="1"/>
  <c r="AF316" i="1"/>
  <c r="W316" i="1"/>
  <c r="T316" i="1"/>
  <c r="S316" i="1"/>
  <c r="AR315" i="1"/>
  <c r="AI315" i="1"/>
  <c r="AF315" i="1"/>
  <c r="W315" i="1"/>
  <c r="T315" i="1"/>
  <c r="S315" i="1"/>
  <c r="AR314" i="1"/>
  <c r="AI314" i="1"/>
  <c r="AF314" i="1"/>
  <c r="W314" i="1"/>
  <c r="S314" i="1"/>
  <c r="AS313" i="1"/>
  <c r="AV313" i="1" s="1"/>
  <c r="AR313" i="1"/>
  <c r="AI313" i="1"/>
  <c r="AF313" i="1"/>
  <c r="W313" i="1"/>
  <c r="T313" i="1"/>
  <c r="S313" i="1"/>
  <c r="AS312" i="1"/>
  <c r="AV312" i="1" s="1"/>
  <c r="AR312" i="1"/>
  <c r="AI312" i="1"/>
  <c r="AF312" i="1"/>
  <c r="W312" i="1"/>
  <c r="T312" i="1"/>
  <c r="S312" i="1"/>
  <c r="AR311" i="1"/>
  <c r="AI311" i="1"/>
  <c r="AF311" i="1"/>
  <c r="W311" i="1"/>
  <c r="T311" i="1"/>
  <c r="S311" i="1"/>
  <c r="AR310" i="1"/>
  <c r="AI310" i="1"/>
  <c r="AF310" i="1"/>
  <c r="W310" i="1"/>
  <c r="T310" i="1"/>
  <c r="S310" i="1"/>
  <c r="AR309" i="1"/>
  <c r="AI309" i="1"/>
  <c r="AF309" i="1"/>
  <c r="W309" i="1"/>
  <c r="T309" i="1"/>
  <c r="S309" i="1"/>
  <c r="AR308" i="1"/>
  <c r="AI308" i="1"/>
  <c r="AF308" i="1"/>
  <c r="W308" i="1"/>
  <c r="T308" i="1"/>
  <c r="S308" i="1"/>
  <c r="AR307" i="1"/>
  <c r="AI307" i="1"/>
  <c r="AF307" i="1"/>
  <c r="W307" i="1"/>
  <c r="T307" i="1"/>
  <c r="S307" i="1"/>
  <c r="AR306" i="1"/>
  <c r="AI306" i="1"/>
  <c r="AF306" i="1"/>
  <c r="W306" i="1"/>
  <c r="T306" i="1"/>
  <c r="S306" i="1"/>
  <c r="AR305" i="1"/>
  <c r="AI305" i="1"/>
  <c r="AF305" i="1"/>
  <c r="W305" i="1"/>
  <c r="T305" i="1"/>
  <c r="S305" i="1"/>
  <c r="AR304" i="1"/>
  <c r="AI304" i="1"/>
  <c r="AF304" i="1"/>
  <c r="W304" i="1"/>
  <c r="T304" i="1"/>
  <c r="S304" i="1"/>
  <c r="AR303" i="1"/>
  <c r="AI303" i="1"/>
  <c r="AF303" i="1"/>
  <c r="W303" i="1"/>
  <c r="T303" i="1"/>
  <c r="S303" i="1"/>
  <c r="AR302" i="1"/>
  <c r="AI302" i="1"/>
  <c r="AF302" i="1"/>
  <c r="W302" i="1"/>
  <c r="T302" i="1"/>
  <c r="S302" i="1"/>
  <c r="AR301" i="1"/>
  <c r="AI301" i="1"/>
  <c r="AF301" i="1"/>
  <c r="W301" i="1"/>
  <c r="T301" i="1"/>
  <c r="S301" i="1"/>
  <c r="AR300" i="1"/>
  <c r="AI300" i="1"/>
  <c r="AF300" i="1"/>
  <c r="W300" i="1"/>
  <c r="T300" i="1"/>
  <c r="S300" i="1"/>
  <c r="AR299" i="1"/>
  <c r="AI299" i="1"/>
  <c r="AF299" i="1"/>
  <c r="W299" i="1"/>
  <c r="T299" i="1"/>
  <c r="S299" i="1"/>
  <c r="AR298" i="1"/>
  <c r="AI298" i="1"/>
  <c r="AF298" i="1"/>
  <c r="W298" i="1"/>
  <c r="T298" i="1"/>
  <c r="S298" i="1"/>
  <c r="AR297" i="1"/>
  <c r="AI297" i="1"/>
  <c r="AF297" i="1"/>
  <c r="W297" i="1"/>
  <c r="T297" i="1"/>
  <c r="S297" i="1"/>
  <c r="AR296" i="1"/>
  <c r="AI296" i="1"/>
  <c r="AF296" i="1"/>
  <c r="W296" i="1"/>
  <c r="T296" i="1"/>
  <c r="S296" i="1"/>
  <c r="AR295" i="1"/>
  <c r="AI295" i="1"/>
  <c r="AF295" i="1"/>
  <c r="W295" i="1"/>
  <c r="T295" i="1"/>
  <c r="S295" i="1"/>
  <c r="AR294" i="1"/>
  <c r="AI294" i="1"/>
  <c r="AF294" i="1"/>
  <c r="W294" i="1"/>
  <c r="T294" i="1"/>
  <c r="S294" i="1"/>
  <c r="AR293" i="1"/>
  <c r="AI293" i="1"/>
  <c r="AF293" i="1"/>
  <c r="W293" i="1"/>
  <c r="T293" i="1"/>
  <c r="S293" i="1"/>
  <c r="AR292" i="1"/>
  <c r="AI292" i="1"/>
  <c r="AF292" i="1"/>
  <c r="W292" i="1"/>
  <c r="T292" i="1"/>
  <c r="S292" i="1"/>
  <c r="AR291" i="1"/>
  <c r="AI291" i="1"/>
  <c r="AF291" i="1"/>
  <c r="W291" i="1"/>
  <c r="T291" i="1"/>
  <c r="S291" i="1"/>
  <c r="AR290" i="1"/>
  <c r="AI290" i="1"/>
  <c r="AF290" i="1"/>
  <c r="W290" i="1"/>
  <c r="T290" i="1"/>
  <c r="S290" i="1"/>
  <c r="AR289" i="1"/>
  <c r="AI289" i="1"/>
  <c r="AF289" i="1"/>
  <c r="W289" i="1"/>
  <c r="T289" i="1"/>
  <c r="S289" i="1"/>
  <c r="AR288" i="1"/>
  <c r="AI288" i="1"/>
  <c r="AF288" i="1"/>
  <c r="W288" i="1"/>
  <c r="T288" i="1"/>
  <c r="S288" i="1"/>
  <c r="AR287" i="1"/>
  <c r="AI287" i="1"/>
  <c r="AF287" i="1"/>
  <c r="W287" i="1"/>
  <c r="T287" i="1"/>
  <c r="S287" i="1"/>
  <c r="AR286" i="1"/>
  <c r="AI286" i="1"/>
  <c r="AF286" i="1"/>
  <c r="W286" i="1"/>
  <c r="T286" i="1"/>
  <c r="S286" i="1"/>
  <c r="AR285" i="1"/>
  <c r="AI285" i="1"/>
  <c r="AF285" i="1"/>
  <c r="W285" i="1"/>
  <c r="T285" i="1"/>
  <c r="S285" i="1"/>
  <c r="AR284" i="1"/>
  <c r="AI284" i="1"/>
  <c r="AF284" i="1"/>
  <c r="W284" i="1"/>
  <c r="T284" i="1"/>
  <c r="S284" i="1"/>
  <c r="AR283" i="1"/>
  <c r="AI283" i="1"/>
  <c r="AF283" i="1"/>
  <c r="W283" i="1"/>
  <c r="T283" i="1"/>
  <c r="S283" i="1"/>
  <c r="AR282" i="1"/>
  <c r="AI282" i="1"/>
  <c r="AF282" i="1"/>
  <c r="W282" i="1"/>
  <c r="T282" i="1"/>
  <c r="S282" i="1"/>
  <c r="AR281" i="1"/>
  <c r="AI281" i="1"/>
  <c r="AF281" i="1"/>
  <c r="W281" i="1"/>
  <c r="T281" i="1"/>
  <c r="S281" i="1"/>
  <c r="AR280" i="1"/>
  <c r="AI280" i="1"/>
  <c r="AF280" i="1"/>
  <c r="W280" i="1"/>
  <c r="T280" i="1"/>
  <c r="S280" i="1"/>
  <c r="AR279" i="1"/>
  <c r="AI279" i="1"/>
  <c r="AF279" i="1"/>
  <c r="W279" i="1"/>
  <c r="T279" i="1"/>
  <c r="S279" i="1"/>
  <c r="AR278" i="1"/>
  <c r="AI278" i="1"/>
  <c r="AF278" i="1"/>
  <c r="W278" i="1"/>
  <c r="T278" i="1"/>
  <c r="S278" i="1"/>
  <c r="AR277" i="1"/>
  <c r="AI277" i="1"/>
  <c r="AF277" i="1"/>
  <c r="W277" i="1"/>
  <c r="T277" i="1"/>
  <c r="S277" i="1"/>
  <c r="AR276" i="1"/>
  <c r="AI276" i="1"/>
  <c r="AF276" i="1"/>
  <c r="W276" i="1"/>
  <c r="T276" i="1"/>
  <c r="S276" i="1"/>
  <c r="AR275" i="1"/>
  <c r="AI275" i="1"/>
  <c r="AF275" i="1"/>
  <c r="W275" i="1"/>
  <c r="T275" i="1"/>
  <c r="S275" i="1"/>
  <c r="AR274" i="1"/>
  <c r="AI274" i="1"/>
  <c r="AF274" i="1"/>
  <c r="W274" i="1"/>
  <c r="T274" i="1"/>
  <c r="S274" i="1"/>
  <c r="AR273" i="1"/>
  <c r="AI273" i="1"/>
  <c r="AF273" i="1"/>
  <c r="W273" i="1"/>
  <c r="T273" i="1"/>
  <c r="S273" i="1"/>
  <c r="AR272" i="1"/>
  <c r="AI272" i="1"/>
  <c r="AF272" i="1"/>
  <c r="W272" i="1"/>
  <c r="T272" i="1"/>
  <c r="S272" i="1"/>
  <c r="AR271" i="1"/>
  <c r="AI271" i="1"/>
  <c r="AF271" i="1"/>
  <c r="W271" i="1"/>
  <c r="T271" i="1"/>
  <c r="S271" i="1"/>
  <c r="AR270" i="1"/>
  <c r="AI270" i="1"/>
  <c r="AF270" i="1"/>
  <c r="W270" i="1"/>
  <c r="T270" i="1"/>
  <c r="S270" i="1"/>
  <c r="AR269" i="1"/>
  <c r="AI269" i="1"/>
  <c r="AF269" i="1"/>
  <c r="W269" i="1"/>
  <c r="T269" i="1"/>
  <c r="S269" i="1"/>
  <c r="AR268" i="1"/>
  <c r="AI268" i="1"/>
  <c r="AF268" i="1"/>
  <c r="W268" i="1"/>
  <c r="T268" i="1"/>
  <c r="S268" i="1"/>
  <c r="AR267" i="1"/>
  <c r="AI267" i="1"/>
  <c r="AF267" i="1"/>
  <c r="W267" i="1"/>
  <c r="T267" i="1"/>
  <c r="S267" i="1"/>
  <c r="AR266" i="1"/>
  <c r="AI266" i="1"/>
  <c r="AF266" i="1"/>
  <c r="W266" i="1"/>
  <c r="T266" i="1"/>
  <c r="S266" i="1"/>
  <c r="AR265" i="1"/>
  <c r="AI265" i="1"/>
  <c r="AF265" i="1"/>
  <c r="W265" i="1"/>
  <c r="T265" i="1"/>
  <c r="S265" i="1"/>
  <c r="AR264" i="1"/>
  <c r="AI264" i="1"/>
  <c r="AF264" i="1"/>
  <c r="W264" i="1"/>
  <c r="T264" i="1"/>
  <c r="S264" i="1"/>
  <c r="AR263" i="1"/>
  <c r="AI263" i="1"/>
  <c r="AF263" i="1"/>
  <c r="W263" i="1"/>
  <c r="T263" i="1"/>
  <c r="S263" i="1"/>
  <c r="AR262" i="1"/>
  <c r="AI262" i="1"/>
  <c r="AF262" i="1"/>
  <c r="W262" i="1"/>
  <c r="T262" i="1"/>
  <c r="S262" i="1"/>
  <c r="AR261" i="1"/>
  <c r="AI261" i="1"/>
  <c r="AF261" i="1"/>
  <c r="W261" i="1"/>
  <c r="T261" i="1"/>
  <c r="S261" i="1"/>
  <c r="AR260" i="1"/>
  <c r="AI260" i="1"/>
  <c r="AF260" i="1"/>
  <c r="W260" i="1"/>
  <c r="T260" i="1"/>
  <c r="S260" i="1"/>
  <c r="AR259" i="1"/>
  <c r="AI259" i="1"/>
  <c r="AF259" i="1"/>
  <c r="W259" i="1"/>
  <c r="T259" i="1"/>
  <c r="S259" i="1"/>
  <c r="AR258" i="1"/>
  <c r="AI258" i="1"/>
  <c r="AF258" i="1"/>
  <c r="W258" i="1"/>
  <c r="T258" i="1"/>
  <c r="S258" i="1"/>
  <c r="AR257" i="1"/>
  <c r="AI257" i="1"/>
  <c r="AF257" i="1"/>
  <c r="W257" i="1"/>
  <c r="T257" i="1"/>
  <c r="S257" i="1"/>
  <c r="AR256" i="1"/>
  <c r="AI256" i="1"/>
  <c r="AF256" i="1"/>
  <c r="W256" i="1"/>
  <c r="T256" i="1"/>
  <c r="S256" i="1"/>
  <c r="AR255" i="1"/>
  <c r="AI255" i="1"/>
  <c r="AF255" i="1"/>
  <c r="W255" i="1"/>
  <c r="T255" i="1"/>
  <c r="S255" i="1"/>
  <c r="AR254" i="1"/>
  <c r="AI254" i="1"/>
  <c r="AF254" i="1"/>
  <c r="W254" i="1"/>
  <c r="T254" i="1"/>
  <c r="S254" i="1"/>
  <c r="AR253" i="1"/>
  <c r="AI253" i="1"/>
  <c r="AF253" i="1"/>
  <c r="W253" i="1"/>
  <c r="T253" i="1"/>
  <c r="S253" i="1"/>
  <c r="AR252" i="1"/>
  <c r="AI252" i="1"/>
  <c r="AF252" i="1"/>
  <c r="W252" i="1"/>
  <c r="T252" i="1"/>
  <c r="S252" i="1"/>
  <c r="AR251" i="1"/>
  <c r="AI251" i="1"/>
  <c r="AF251" i="1"/>
  <c r="W251" i="1"/>
  <c r="T251" i="1"/>
  <c r="S251" i="1"/>
  <c r="AR250" i="1"/>
  <c r="AI250" i="1"/>
  <c r="AF250" i="1"/>
  <c r="W250" i="1"/>
  <c r="T250" i="1"/>
  <c r="S250" i="1"/>
  <c r="AR249" i="1"/>
  <c r="AI249" i="1"/>
  <c r="AF249" i="1"/>
  <c r="W249" i="1"/>
  <c r="T249" i="1"/>
  <c r="S249" i="1"/>
  <c r="AR248" i="1"/>
  <c r="AI248" i="1"/>
  <c r="AF248" i="1"/>
  <c r="W248" i="1"/>
  <c r="T248" i="1"/>
  <c r="S248" i="1"/>
  <c r="AR247" i="1"/>
  <c r="AI247" i="1"/>
  <c r="AF247" i="1"/>
  <c r="W247" i="1"/>
  <c r="T247" i="1"/>
  <c r="S247" i="1"/>
  <c r="AR246" i="1"/>
  <c r="AI246" i="1"/>
  <c r="AF246" i="1"/>
  <c r="W246" i="1"/>
  <c r="T246" i="1"/>
  <c r="S246" i="1"/>
  <c r="AR245" i="1"/>
  <c r="AI245" i="1"/>
  <c r="AF245" i="1"/>
  <c r="W245" i="1"/>
  <c r="T245" i="1"/>
  <c r="S245" i="1"/>
  <c r="AR244" i="1"/>
  <c r="AI244" i="1"/>
  <c r="AF244" i="1"/>
  <c r="W244" i="1"/>
  <c r="T244" i="1"/>
  <c r="S244" i="1"/>
  <c r="AR243" i="1"/>
  <c r="AI243" i="1"/>
  <c r="AJ243" i="1" s="1"/>
  <c r="AF243" i="1"/>
  <c r="W243" i="1"/>
  <c r="X243" i="1" s="1"/>
  <c r="T243" i="1"/>
  <c r="S243" i="1"/>
  <c r="I243" i="1"/>
  <c r="AR242" i="1"/>
  <c r="AI242" i="1"/>
  <c r="AJ242" i="1" s="1"/>
  <c r="AF242" i="1"/>
  <c r="W242" i="1"/>
  <c r="T242" i="1"/>
  <c r="S242" i="1"/>
  <c r="I242" i="1"/>
  <c r="AS241" i="1"/>
  <c r="AV241" i="1" s="1"/>
  <c r="AR241" i="1"/>
  <c r="AI241" i="1"/>
  <c r="AJ241" i="1" s="1"/>
  <c r="AF241" i="1"/>
  <c r="W241" i="1"/>
  <c r="T241" i="1"/>
  <c r="S241" i="1"/>
  <c r="I241" i="1"/>
  <c r="AR240" i="1"/>
  <c r="AI240" i="1"/>
  <c r="AJ240" i="1" s="1"/>
  <c r="AF240" i="1"/>
  <c r="W240" i="1"/>
  <c r="T240" i="1"/>
  <c r="S240" i="1"/>
  <c r="I240" i="1"/>
  <c r="AS239" i="1"/>
  <c r="AV239" i="1" s="1"/>
  <c r="AR239" i="1"/>
  <c r="AI239" i="1"/>
  <c r="AJ239" i="1" s="1"/>
  <c r="AF239" i="1"/>
  <c r="W239" i="1"/>
  <c r="X239" i="1" s="1"/>
  <c r="T239" i="1"/>
  <c r="S239" i="1"/>
  <c r="I239" i="1"/>
  <c r="AR238" i="1"/>
  <c r="AI238" i="1"/>
  <c r="AJ238" i="1" s="1"/>
  <c r="AF238" i="1"/>
  <c r="W238" i="1"/>
  <c r="T238" i="1"/>
  <c r="S238" i="1"/>
  <c r="I238" i="1"/>
  <c r="AS237" i="1"/>
  <c r="AV237" i="1" s="1"/>
  <c r="AR237" i="1"/>
  <c r="AI237" i="1"/>
  <c r="AJ237" i="1" s="1"/>
  <c r="AF237" i="1"/>
  <c r="W237" i="1"/>
  <c r="X237" i="1" s="1"/>
  <c r="T237" i="1"/>
  <c r="S237" i="1"/>
  <c r="I237" i="1"/>
  <c r="AR236" i="1"/>
  <c r="AI236" i="1"/>
  <c r="AJ236" i="1" s="1"/>
  <c r="AF236" i="1"/>
  <c r="W236" i="1"/>
  <c r="T236" i="1"/>
  <c r="S236" i="1"/>
  <c r="I236" i="1"/>
  <c r="AR235" i="1"/>
  <c r="AI235" i="1"/>
  <c r="AJ235" i="1" s="1"/>
  <c r="AF235" i="1"/>
  <c r="W235" i="1"/>
  <c r="T235" i="1"/>
  <c r="S235" i="1"/>
  <c r="I235" i="1"/>
  <c r="AJ234" i="1"/>
  <c r="AF234" i="1"/>
  <c r="X234" i="1"/>
  <c r="T234" i="1"/>
  <c r="S234" i="1"/>
  <c r="AR233" i="1"/>
  <c r="AI233" i="1"/>
  <c r="AJ233" i="1" s="1"/>
  <c r="AF233" i="1"/>
  <c r="W233" i="1"/>
  <c r="X233" i="1" s="1"/>
  <c r="T233" i="1"/>
  <c r="S233" i="1"/>
  <c r="I233" i="1"/>
  <c r="AR232" i="1"/>
  <c r="AI232" i="1"/>
  <c r="AJ232" i="1" s="1"/>
  <c r="AF232" i="1"/>
  <c r="W232" i="1"/>
  <c r="T232" i="1"/>
  <c r="S232" i="1"/>
  <c r="I232" i="1"/>
  <c r="AR231" i="1"/>
  <c r="AI231" i="1"/>
  <c r="AJ231" i="1" s="1"/>
  <c r="AF231" i="1"/>
  <c r="W231" i="1"/>
  <c r="T231" i="1"/>
  <c r="S231" i="1"/>
  <c r="AR230" i="1"/>
  <c r="AI230" i="1"/>
  <c r="AJ230" i="1" s="1"/>
  <c r="AF230" i="1"/>
  <c r="W230" i="1"/>
  <c r="T230" i="1"/>
  <c r="S230" i="1"/>
  <c r="I230" i="1"/>
  <c r="AS229" i="1"/>
  <c r="AV229" i="1" s="1"/>
  <c r="AR229" i="1"/>
  <c r="AI229" i="1"/>
  <c r="AJ229" i="1" s="1"/>
  <c r="AF229" i="1"/>
  <c r="W229" i="1"/>
  <c r="T229" i="1"/>
  <c r="S229" i="1"/>
  <c r="I229" i="1"/>
  <c r="AS228" i="1"/>
  <c r="AV228" i="1" s="1"/>
  <c r="AR228" i="1"/>
  <c r="AI228" i="1"/>
  <c r="AJ228" i="1" s="1"/>
  <c r="AF228" i="1"/>
  <c r="W228" i="1"/>
  <c r="X228" i="1" s="1"/>
  <c r="T228" i="1"/>
  <c r="S228" i="1"/>
  <c r="I228" i="1"/>
  <c r="AR227" i="1"/>
  <c r="AI227" i="1"/>
  <c r="AJ227" i="1" s="1"/>
  <c r="AF227" i="1"/>
  <c r="W227" i="1"/>
  <c r="X227" i="1" s="1"/>
  <c r="T227" i="1"/>
  <c r="S227" i="1"/>
  <c r="I227" i="1"/>
  <c r="AR226" i="1"/>
  <c r="AI226" i="1"/>
  <c r="AJ226" i="1" s="1"/>
  <c r="AF226" i="1"/>
  <c r="W226" i="1"/>
  <c r="X226" i="1" s="1"/>
  <c r="T226" i="1"/>
  <c r="S226" i="1"/>
  <c r="I226" i="1"/>
  <c r="AR225" i="1"/>
  <c r="AI225" i="1"/>
  <c r="AJ225" i="1" s="1"/>
  <c r="AF225" i="1"/>
  <c r="W225" i="1"/>
  <c r="T225" i="1"/>
  <c r="S225" i="1"/>
  <c r="I225" i="1"/>
  <c r="AR224" i="1"/>
  <c r="AI224" i="1"/>
  <c r="AJ224" i="1" s="1"/>
  <c r="AF224" i="1"/>
  <c r="W224" i="1"/>
  <c r="T224" i="1"/>
  <c r="S224" i="1"/>
  <c r="I224" i="1"/>
  <c r="AR223" i="1"/>
  <c r="AI223" i="1"/>
  <c r="AJ223" i="1" s="1"/>
  <c r="AF223" i="1"/>
  <c r="W223" i="1"/>
  <c r="T223" i="1"/>
  <c r="S223" i="1"/>
  <c r="I223" i="1"/>
  <c r="AS222" i="1"/>
  <c r="AV222" i="1" s="1"/>
  <c r="AR222" i="1"/>
  <c r="AI222" i="1"/>
  <c r="AJ222" i="1" s="1"/>
  <c r="AF222" i="1"/>
  <c r="W222" i="1"/>
  <c r="T222" i="1"/>
  <c r="S222" i="1"/>
  <c r="I222" i="1"/>
  <c r="AR221" i="1"/>
  <c r="AI221" i="1"/>
  <c r="AF221" i="1"/>
  <c r="W221" i="1"/>
  <c r="T221" i="1"/>
  <c r="S221" i="1"/>
  <c r="I221" i="1"/>
  <c r="AR220" i="1"/>
  <c r="AI220" i="1"/>
  <c r="AJ220" i="1" s="1"/>
  <c r="AF220" i="1"/>
  <c r="W220" i="1"/>
  <c r="T220" i="1"/>
  <c r="S220" i="1"/>
  <c r="I220" i="1"/>
  <c r="AS219" i="1"/>
  <c r="AV219" i="1" s="1"/>
  <c r="AR219" i="1"/>
  <c r="AI219" i="1"/>
  <c r="AJ219" i="1" s="1"/>
  <c r="AF219" i="1"/>
  <c r="W219" i="1"/>
  <c r="T219" i="1"/>
  <c r="S219" i="1"/>
  <c r="I219" i="1"/>
  <c r="AR218" i="1"/>
  <c r="AI218" i="1"/>
  <c r="AJ218" i="1" s="1"/>
  <c r="AF218" i="1"/>
  <c r="W218" i="1"/>
  <c r="T218" i="1"/>
  <c r="S218" i="1"/>
  <c r="I218" i="1"/>
  <c r="AR217" i="1"/>
  <c r="AI217" i="1"/>
  <c r="AJ217" i="1" s="1"/>
  <c r="AF217" i="1"/>
  <c r="W217" i="1"/>
  <c r="X217" i="1" s="1"/>
  <c r="T217" i="1"/>
  <c r="S217" i="1"/>
  <c r="I217" i="1"/>
  <c r="AR216" i="1"/>
  <c r="AI216" i="1"/>
  <c r="AJ216" i="1" s="1"/>
  <c r="AF216" i="1"/>
  <c r="W216" i="1"/>
  <c r="X216" i="1" s="1"/>
  <c r="T216" i="1"/>
  <c r="S216" i="1"/>
  <c r="I216" i="1"/>
  <c r="AR215" i="1"/>
  <c r="AI215" i="1"/>
  <c r="AJ215" i="1" s="1"/>
  <c r="AF215" i="1"/>
  <c r="W215" i="1"/>
  <c r="X215" i="1" s="1"/>
  <c r="T215" i="1"/>
  <c r="S215" i="1"/>
  <c r="I215" i="1"/>
  <c r="AJ214" i="1"/>
  <c r="AF214" i="1"/>
  <c r="X214" i="1"/>
  <c r="T214" i="1"/>
  <c r="S214" i="1"/>
  <c r="AR213" i="1"/>
  <c r="AI213" i="1"/>
  <c r="AJ213" i="1" s="1"/>
  <c r="AF213" i="1"/>
  <c r="W213" i="1"/>
  <c r="T213" i="1"/>
  <c r="S213" i="1"/>
  <c r="I213" i="1"/>
  <c r="AR212" i="1"/>
  <c r="AI212" i="1"/>
  <c r="AJ212" i="1" s="1"/>
  <c r="AF212" i="1"/>
  <c r="W212" i="1"/>
  <c r="X212" i="1" s="1"/>
  <c r="T212" i="1"/>
  <c r="S212" i="1"/>
  <c r="I212" i="1"/>
  <c r="AR211" i="1"/>
  <c r="AI211" i="1"/>
  <c r="AJ211" i="1" s="1"/>
  <c r="AF211" i="1"/>
  <c r="W211" i="1"/>
  <c r="X211" i="1" s="1"/>
  <c r="T211" i="1"/>
  <c r="S211" i="1"/>
  <c r="I211" i="1"/>
  <c r="AR210" i="1"/>
  <c r="AI210" i="1"/>
  <c r="AJ210" i="1" s="1"/>
  <c r="AF210" i="1"/>
  <c r="W210" i="1"/>
  <c r="T210" i="1"/>
  <c r="S210" i="1"/>
  <c r="I210" i="1"/>
  <c r="AR209" i="1"/>
  <c r="AI209" i="1"/>
  <c r="AJ209" i="1" s="1"/>
  <c r="AF209" i="1"/>
  <c r="W209" i="1"/>
  <c r="X209" i="1" s="1"/>
  <c r="T209" i="1"/>
  <c r="S209" i="1"/>
  <c r="I209" i="1"/>
  <c r="AS208" i="1"/>
  <c r="AV208" i="1" s="1"/>
  <c r="AR208" i="1"/>
  <c r="AI208" i="1"/>
  <c r="AJ208" i="1" s="1"/>
  <c r="AF208" i="1"/>
  <c r="W208" i="1"/>
  <c r="T208" i="1"/>
  <c r="S208" i="1"/>
  <c r="I208" i="1"/>
  <c r="AR207" i="1"/>
  <c r="AI207" i="1"/>
  <c r="AJ207" i="1" s="1"/>
  <c r="AF207" i="1"/>
  <c r="W207" i="1"/>
  <c r="T207" i="1"/>
  <c r="S207" i="1"/>
  <c r="I207" i="1"/>
  <c r="AR206" i="1"/>
  <c r="AI206" i="1"/>
  <c r="AJ206" i="1" s="1"/>
  <c r="AF206" i="1"/>
  <c r="W206" i="1"/>
  <c r="T206" i="1"/>
  <c r="S206" i="1"/>
  <c r="I206" i="1"/>
  <c r="AS205" i="1"/>
  <c r="AV205" i="1" s="1"/>
  <c r="AR205" i="1"/>
  <c r="AI205" i="1"/>
  <c r="AJ205" i="1" s="1"/>
  <c r="AF205" i="1"/>
  <c r="W205" i="1"/>
  <c r="X205" i="1" s="1"/>
  <c r="T205" i="1"/>
  <c r="S205" i="1"/>
  <c r="I205" i="1"/>
  <c r="AR204" i="1"/>
  <c r="AI204" i="1"/>
  <c r="AJ204" i="1" s="1"/>
  <c r="AF204" i="1"/>
  <c r="W204" i="1"/>
  <c r="T204" i="1"/>
  <c r="S204" i="1"/>
  <c r="I204" i="1"/>
  <c r="AR203" i="1"/>
  <c r="AI203" i="1"/>
  <c r="AF203" i="1"/>
  <c r="W203" i="1"/>
  <c r="T203" i="1"/>
  <c r="S203" i="1"/>
  <c r="I203" i="1"/>
  <c r="AR202" i="1"/>
  <c r="AI202" i="1"/>
  <c r="AF202" i="1"/>
  <c r="W202" i="1"/>
  <c r="X202" i="1" s="1"/>
  <c r="T202" i="1"/>
  <c r="S202" i="1"/>
  <c r="I202" i="1"/>
  <c r="AR201" i="1"/>
  <c r="AI201" i="1"/>
  <c r="AF201" i="1"/>
  <c r="W201" i="1"/>
  <c r="T201" i="1"/>
  <c r="S201" i="1"/>
  <c r="I201" i="1"/>
  <c r="AR200" i="1"/>
  <c r="AI200" i="1"/>
  <c r="AF200" i="1"/>
  <c r="W200" i="1"/>
  <c r="X200" i="1" s="1"/>
  <c r="T200" i="1"/>
  <c r="S200" i="1"/>
  <c r="I200" i="1"/>
  <c r="AR199" i="1"/>
  <c r="AI199" i="1"/>
  <c r="AF199" i="1"/>
  <c r="W199" i="1"/>
  <c r="X199" i="1" s="1"/>
  <c r="T199" i="1"/>
  <c r="S199" i="1"/>
  <c r="I199" i="1"/>
  <c r="AR198" i="1"/>
  <c r="AI198" i="1"/>
  <c r="AF198" i="1"/>
  <c r="W198" i="1"/>
  <c r="S198" i="1"/>
  <c r="I198" i="1"/>
  <c r="AR197" i="1"/>
  <c r="AI197" i="1"/>
  <c r="AJ197" i="1" s="1"/>
  <c r="AF197" i="1"/>
  <c r="W197" i="1"/>
  <c r="X197" i="1" s="1"/>
  <c r="T197" i="1"/>
  <c r="S197" i="1"/>
  <c r="I197" i="1"/>
  <c r="AR196" i="1"/>
  <c r="AI196" i="1"/>
  <c r="AJ196" i="1" s="1"/>
  <c r="AF196" i="1"/>
  <c r="W196" i="1"/>
  <c r="T196" i="1"/>
  <c r="S196" i="1"/>
  <c r="I196" i="1"/>
  <c r="AR195" i="1"/>
  <c r="AI195" i="1"/>
  <c r="AJ195" i="1" s="1"/>
  <c r="AF195" i="1"/>
  <c r="W195" i="1"/>
  <c r="T195" i="1"/>
  <c r="S195" i="1"/>
  <c r="I195" i="1"/>
  <c r="AR194" i="1"/>
  <c r="AI194" i="1"/>
  <c r="AJ194" i="1" s="1"/>
  <c r="AF194" i="1"/>
  <c r="W194" i="1"/>
  <c r="T194" i="1"/>
  <c r="S194" i="1"/>
  <c r="I194" i="1"/>
  <c r="AR193" i="1"/>
  <c r="AI193" i="1"/>
  <c r="AJ193" i="1" s="1"/>
  <c r="AF193" i="1"/>
  <c r="W193" i="1"/>
  <c r="T193" i="1"/>
  <c r="S193" i="1"/>
  <c r="I193" i="1"/>
  <c r="AR192" i="1"/>
  <c r="AI192" i="1"/>
  <c r="AJ192" i="1" s="1"/>
  <c r="AF192" i="1"/>
  <c r="W192" i="1"/>
  <c r="T192" i="1"/>
  <c r="S192" i="1"/>
  <c r="I192" i="1"/>
  <c r="AR191" i="1"/>
  <c r="AI191" i="1"/>
  <c r="AJ191" i="1" s="1"/>
  <c r="AF191" i="1"/>
  <c r="W191" i="1"/>
  <c r="X191" i="1" s="1"/>
  <c r="T191" i="1"/>
  <c r="S191" i="1"/>
  <c r="I191" i="1"/>
  <c r="AR190" i="1"/>
  <c r="AI190" i="1"/>
  <c r="AJ190" i="1" s="1"/>
  <c r="AF190" i="1"/>
  <c r="W190" i="1"/>
  <c r="T190" i="1"/>
  <c r="S190" i="1"/>
  <c r="I190" i="1"/>
  <c r="AJ189" i="1"/>
  <c r="AF189" i="1"/>
  <c r="X189" i="1"/>
  <c r="T189" i="1"/>
  <c r="S189" i="1"/>
  <c r="I189" i="1"/>
  <c r="AR188" i="1"/>
  <c r="AI188" i="1"/>
  <c r="AJ188" i="1" s="1"/>
  <c r="AF188" i="1"/>
  <c r="W188" i="1"/>
  <c r="T188" i="1"/>
  <c r="S188" i="1"/>
  <c r="I188" i="1"/>
  <c r="AR187" i="1"/>
  <c r="AI187" i="1"/>
  <c r="AJ187" i="1" s="1"/>
  <c r="AF187" i="1"/>
  <c r="W187" i="1"/>
  <c r="T187" i="1"/>
  <c r="S187" i="1"/>
  <c r="I187" i="1"/>
  <c r="AR186" i="1"/>
  <c r="AI186" i="1"/>
  <c r="AJ186" i="1" s="1"/>
  <c r="AF186" i="1"/>
  <c r="W186" i="1"/>
  <c r="T186" i="1"/>
  <c r="S186" i="1"/>
  <c r="I186" i="1"/>
  <c r="AR185" i="1"/>
  <c r="AI185" i="1"/>
  <c r="AJ185" i="1" s="1"/>
  <c r="AF185" i="1"/>
  <c r="W185" i="1"/>
  <c r="X185" i="1" s="1"/>
  <c r="T185" i="1"/>
  <c r="S185" i="1"/>
  <c r="I185" i="1"/>
  <c r="AR184" i="1"/>
  <c r="AI184" i="1"/>
  <c r="AJ184" i="1" s="1"/>
  <c r="AF184" i="1"/>
  <c r="W184" i="1"/>
  <c r="X184" i="1" s="1"/>
  <c r="T184" i="1"/>
  <c r="S184" i="1"/>
  <c r="I184" i="1"/>
  <c r="AR183" i="1"/>
  <c r="AI183" i="1"/>
  <c r="AJ183" i="1" s="1"/>
  <c r="AF183" i="1"/>
  <c r="W183" i="1"/>
  <c r="T183" i="1"/>
  <c r="S183" i="1"/>
  <c r="I183" i="1"/>
  <c r="AR182" i="1"/>
  <c r="AI182" i="1"/>
  <c r="AJ182" i="1" s="1"/>
  <c r="AF182" i="1"/>
  <c r="W182" i="1"/>
  <c r="X182" i="1" s="1"/>
  <c r="T182" i="1"/>
  <c r="S182" i="1"/>
  <c r="I182" i="1"/>
  <c r="AR181" i="1"/>
  <c r="AI181" i="1"/>
  <c r="AJ181" i="1" s="1"/>
  <c r="AF181" i="1"/>
  <c r="W181" i="1"/>
  <c r="X181" i="1" s="1"/>
  <c r="T181" i="1"/>
  <c r="S181" i="1"/>
  <c r="I181" i="1"/>
  <c r="AR180" i="1"/>
  <c r="AI180" i="1"/>
  <c r="AJ180" i="1" s="1"/>
  <c r="AF180" i="1"/>
  <c r="W180" i="1"/>
  <c r="X180" i="1" s="1"/>
  <c r="T180" i="1"/>
  <c r="S180" i="1"/>
  <c r="I180" i="1"/>
  <c r="AR179" i="1"/>
  <c r="AI179" i="1"/>
  <c r="AJ179" i="1" s="1"/>
  <c r="AF179" i="1"/>
  <c r="W179" i="1"/>
  <c r="T179" i="1"/>
  <c r="S179" i="1"/>
  <c r="I179" i="1"/>
  <c r="AR178" i="1"/>
  <c r="AI178" i="1"/>
  <c r="AJ178" i="1" s="1"/>
  <c r="AF178" i="1"/>
  <c r="W178" i="1"/>
  <c r="T178" i="1"/>
  <c r="S178" i="1"/>
  <c r="I178" i="1"/>
  <c r="AR177" i="1"/>
  <c r="AI177" i="1"/>
  <c r="AJ177" i="1" s="1"/>
  <c r="AF177" i="1"/>
  <c r="W177" i="1"/>
  <c r="T177" i="1"/>
  <c r="S177" i="1"/>
  <c r="I177" i="1"/>
  <c r="AR176" i="1"/>
  <c r="AI176" i="1"/>
  <c r="AJ176" i="1" s="1"/>
  <c r="AF176" i="1"/>
  <c r="W176" i="1"/>
  <c r="X176" i="1" s="1"/>
  <c r="T176" i="1"/>
  <c r="S176" i="1"/>
  <c r="I176" i="1"/>
  <c r="AR175" i="1"/>
  <c r="AI175" i="1"/>
  <c r="AJ175" i="1" s="1"/>
  <c r="AF175" i="1"/>
  <c r="W175" i="1"/>
  <c r="X175" i="1" s="1"/>
  <c r="T175" i="1"/>
  <c r="S175" i="1"/>
  <c r="I175" i="1"/>
  <c r="AR174" i="1"/>
  <c r="AI174" i="1"/>
  <c r="AJ174" i="1" s="1"/>
  <c r="AF174" i="1"/>
  <c r="W174" i="1"/>
  <c r="X174" i="1" s="1"/>
  <c r="T174" i="1"/>
  <c r="S174" i="1"/>
  <c r="I174" i="1"/>
  <c r="AR173" i="1"/>
  <c r="AI173" i="1"/>
  <c r="AJ173" i="1" s="1"/>
  <c r="AF173" i="1"/>
  <c r="W173" i="1"/>
  <c r="T173" i="1"/>
  <c r="S173" i="1"/>
  <c r="I173" i="1"/>
  <c r="AR172" i="1"/>
  <c r="AI172" i="1"/>
  <c r="AJ172" i="1" s="1"/>
  <c r="AF172" i="1"/>
  <c r="W172" i="1"/>
  <c r="T172" i="1"/>
  <c r="S172" i="1"/>
  <c r="I172" i="1"/>
  <c r="AR171" i="1"/>
  <c r="AI171" i="1"/>
  <c r="AJ171" i="1" s="1"/>
  <c r="AF171" i="1"/>
  <c r="W171" i="1"/>
  <c r="T171" i="1"/>
  <c r="S171" i="1"/>
  <c r="I171" i="1"/>
  <c r="AR170" i="1"/>
  <c r="AI170" i="1"/>
  <c r="AJ170" i="1" s="1"/>
  <c r="AF170" i="1"/>
  <c r="W170" i="1"/>
  <c r="X170" i="1" s="1"/>
  <c r="T170" i="1"/>
  <c r="S170" i="1"/>
  <c r="I170" i="1"/>
  <c r="AR169" i="1"/>
  <c r="AI169" i="1"/>
  <c r="AJ169" i="1" s="1"/>
  <c r="AF169" i="1"/>
  <c r="W169" i="1"/>
  <c r="T169" i="1"/>
  <c r="S169" i="1"/>
  <c r="I169" i="1"/>
  <c r="AR168" i="1"/>
  <c r="AI168" i="1"/>
  <c r="AF168" i="1"/>
  <c r="W168" i="1"/>
  <c r="T168" i="1"/>
  <c r="S168" i="1"/>
  <c r="I168" i="1"/>
  <c r="AR167" i="1"/>
  <c r="AI167" i="1"/>
  <c r="AF167" i="1"/>
  <c r="W167" i="1"/>
  <c r="T167" i="1"/>
  <c r="S167" i="1"/>
  <c r="AR166" i="1"/>
  <c r="AI166" i="1"/>
  <c r="AF166" i="1"/>
  <c r="W166" i="1"/>
  <c r="T166" i="1"/>
  <c r="S166" i="1"/>
  <c r="I166" i="1"/>
  <c r="AR165" i="1"/>
  <c r="AI165" i="1"/>
  <c r="AF165" i="1"/>
  <c r="W165" i="1"/>
  <c r="T165" i="1"/>
  <c r="S165" i="1"/>
  <c r="I165" i="1"/>
  <c r="AR164" i="1"/>
  <c r="AI164" i="1"/>
  <c r="AF164" i="1"/>
  <c r="W164" i="1"/>
  <c r="T164" i="1"/>
  <c r="S164" i="1"/>
  <c r="I164" i="1"/>
  <c r="AR163" i="1"/>
  <c r="AI163" i="1"/>
  <c r="AF163" i="1"/>
  <c r="W163" i="1"/>
  <c r="T163" i="1"/>
  <c r="S163" i="1"/>
  <c r="I163" i="1"/>
  <c r="AR162" i="1"/>
  <c r="AI162" i="1"/>
  <c r="AF162" i="1"/>
  <c r="W162" i="1"/>
  <c r="T162" i="1"/>
  <c r="S162" i="1"/>
  <c r="I162" i="1"/>
  <c r="AR161" i="1"/>
  <c r="AI161" i="1"/>
  <c r="AF161" i="1"/>
  <c r="W161" i="1"/>
  <c r="T161" i="1"/>
  <c r="S161" i="1"/>
  <c r="I161" i="1"/>
  <c r="AR160" i="1"/>
  <c r="AI160" i="1"/>
  <c r="AF160" i="1"/>
  <c r="W160" i="1"/>
  <c r="T160" i="1"/>
  <c r="S160" i="1"/>
  <c r="I160" i="1"/>
  <c r="AR159" i="1"/>
  <c r="AI159" i="1"/>
  <c r="AF159" i="1"/>
  <c r="W159" i="1"/>
  <c r="T159" i="1"/>
  <c r="S159" i="1"/>
  <c r="I159" i="1"/>
  <c r="AR158" i="1"/>
  <c r="AI158" i="1"/>
  <c r="AF158" i="1"/>
  <c r="W158" i="1"/>
  <c r="T158" i="1"/>
  <c r="S158" i="1"/>
  <c r="I158" i="1"/>
  <c r="AR157" i="1"/>
  <c r="AI157" i="1"/>
  <c r="AF157" i="1"/>
  <c r="W157" i="1"/>
  <c r="T157" i="1"/>
  <c r="S157" i="1"/>
  <c r="I157" i="1"/>
  <c r="AS156" i="1"/>
  <c r="AV156" i="1" s="1"/>
  <c r="AR156" i="1"/>
  <c r="AI156" i="1"/>
  <c r="AF156" i="1"/>
  <c r="W156" i="1"/>
  <c r="T156" i="1"/>
  <c r="S156" i="1"/>
  <c r="I156" i="1"/>
  <c r="AR155" i="1"/>
  <c r="AI155" i="1"/>
  <c r="AF155" i="1"/>
  <c r="W155" i="1"/>
  <c r="T155" i="1"/>
  <c r="S155" i="1"/>
  <c r="I155" i="1"/>
  <c r="AR154" i="1"/>
  <c r="AI154" i="1"/>
  <c r="AF154" i="1"/>
  <c r="W154" i="1"/>
  <c r="T154" i="1"/>
  <c r="AY154" i="1" s="1"/>
  <c r="S154" i="1"/>
  <c r="I154" i="1"/>
  <c r="AR153" i="1"/>
  <c r="AI153" i="1"/>
  <c r="AF153" i="1"/>
  <c r="W153" i="1"/>
  <c r="T153" i="1"/>
  <c r="S153" i="1"/>
  <c r="I153" i="1"/>
  <c r="AR152" i="1"/>
  <c r="AI152" i="1"/>
  <c r="AF152" i="1"/>
  <c r="W152" i="1"/>
  <c r="T152" i="1"/>
  <c r="S152" i="1"/>
  <c r="I152" i="1"/>
  <c r="AR151" i="1"/>
  <c r="AI151" i="1"/>
  <c r="AF151" i="1"/>
  <c r="W151" i="1"/>
  <c r="T151" i="1"/>
  <c r="S151" i="1"/>
  <c r="I151" i="1"/>
  <c r="AS150" i="1"/>
  <c r="AV150" i="1" s="1"/>
  <c r="AR150" i="1"/>
  <c r="AI150" i="1"/>
  <c r="AF150" i="1"/>
  <c r="W150" i="1"/>
  <c r="T150" i="1"/>
  <c r="S150" i="1"/>
  <c r="I150" i="1"/>
  <c r="AR149" i="1"/>
  <c r="AI149" i="1"/>
  <c r="AF149" i="1"/>
  <c r="W149" i="1"/>
  <c r="T149" i="1"/>
  <c r="S149" i="1"/>
  <c r="I149" i="1"/>
  <c r="AR148" i="1"/>
  <c r="AI148" i="1"/>
  <c r="AF148" i="1"/>
  <c r="W148" i="1"/>
  <c r="T148" i="1"/>
  <c r="S148" i="1"/>
  <c r="I148" i="1"/>
  <c r="AR147" i="1"/>
  <c r="AI147" i="1"/>
  <c r="AF147" i="1"/>
  <c r="W147" i="1"/>
  <c r="T147" i="1"/>
  <c r="S147" i="1"/>
  <c r="I147" i="1"/>
  <c r="AR146" i="1"/>
  <c r="AI146" i="1"/>
  <c r="AF146" i="1"/>
  <c r="W146" i="1"/>
  <c r="T146" i="1"/>
  <c r="S146" i="1"/>
  <c r="I146" i="1"/>
  <c r="AR145" i="1"/>
  <c r="AI145" i="1"/>
  <c r="AF145" i="1"/>
  <c r="W145" i="1"/>
  <c r="T145" i="1"/>
  <c r="S145" i="1"/>
  <c r="I145" i="1"/>
  <c r="AR144" i="1"/>
  <c r="AI144" i="1"/>
  <c r="AF144" i="1"/>
  <c r="W144" i="1"/>
  <c r="T144" i="1"/>
  <c r="S144" i="1"/>
  <c r="I144" i="1"/>
  <c r="AR143" i="1"/>
  <c r="AI143" i="1"/>
  <c r="AF143" i="1"/>
  <c r="W143" i="1"/>
  <c r="T143" i="1"/>
  <c r="S143" i="1"/>
  <c r="I143" i="1"/>
  <c r="AR142" i="1"/>
  <c r="AI142" i="1"/>
  <c r="AF142" i="1"/>
  <c r="W142" i="1"/>
  <c r="T142" i="1"/>
  <c r="S142" i="1"/>
  <c r="I142" i="1"/>
  <c r="AR141" i="1"/>
  <c r="AI141" i="1"/>
  <c r="AF141" i="1"/>
  <c r="W141" i="1"/>
  <c r="T141" i="1"/>
  <c r="S141" i="1"/>
  <c r="I141" i="1"/>
  <c r="AR140" i="1"/>
  <c r="AI140" i="1"/>
  <c r="AF140" i="1"/>
  <c r="W140" i="1"/>
  <c r="T140" i="1"/>
  <c r="S140" i="1"/>
  <c r="I140" i="1"/>
  <c r="AR139" i="1"/>
  <c r="AI139" i="1"/>
  <c r="AF139" i="1"/>
  <c r="W139" i="1"/>
  <c r="T139" i="1"/>
  <c r="S139" i="1"/>
  <c r="I139" i="1"/>
  <c r="AR138" i="1"/>
  <c r="AI138" i="1"/>
  <c r="AF138" i="1"/>
  <c r="W138" i="1"/>
  <c r="T138" i="1"/>
  <c r="S138" i="1"/>
  <c r="I138" i="1"/>
  <c r="AR137" i="1"/>
  <c r="AI137" i="1"/>
  <c r="AF137" i="1"/>
  <c r="W137" i="1"/>
  <c r="T137" i="1"/>
  <c r="S137" i="1"/>
  <c r="I137" i="1"/>
  <c r="AR136" i="1"/>
  <c r="AI136" i="1"/>
  <c r="AF136" i="1"/>
  <c r="W136" i="1"/>
  <c r="T136" i="1"/>
  <c r="S136" i="1"/>
  <c r="I136" i="1"/>
  <c r="AR135" i="1"/>
  <c r="AI135" i="1"/>
  <c r="AJ135" i="1" s="1"/>
  <c r="AF135" i="1"/>
  <c r="W135" i="1"/>
  <c r="X135" i="1" s="1"/>
  <c r="T135" i="1"/>
  <c r="S135" i="1"/>
  <c r="I135" i="1"/>
  <c r="AR134" i="1"/>
  <c r="AI134" i="1"/>
  <c r="AJ134" i="1" s="1"/>
  <c r="AF134" i="1"/>
  <c r="W134" i="1"/>
  <c r="T134" i="1"/>
  <c r="S134" i="1"/>
  <c r="I134" i="1"/>
  <c r="AR133" i="1"/>
  <c r="AI133" i="1"/>
  <c r="AJ133" i="1" s="1"/>
  <c r="AF133" i="1"/>
  <c r="W133" i="1"/>
  <c r="T133" i="1"/>
  <c r="S133" i="1"/>
  <c r="I133" i="1"/>
  <c r="AR132" i="1"/>
  <c r="AI132" i="1"/>
  <c r="AJ132" i="1" s="1"/>
  <c r="AF132" i="1"/>
  <c r="W132" i="1"/>
  <c r="T132" i="1"/>
  <c r="S132" i="1"/>
  <c r="I132" i="1"/>
  <c r="AR131" i="1"/>
  <c r="AI131" i="1"/>
  <c r="AJ131" i="1" s="1"/>
  <c r="AF131" i="1"/>
  <c r="W131" i="1"/>
  <c r="T131" i="1"/>
  <c r="S131" i="1"/>
  <c r="I131" i="1"/>
  <c r="AR130" i="1"/>
  <c r="AI130" i="1"/>
  <c r="AJ130" i="1" s="1"/>
  <c r="AF130" i="1"/>
  <c r="W130" i="1"/>
  <c r="T130" i="1"/>
  <c r="S130" i="1"/>
  <c r="I130" i="1"/>
  <c r="AR129" i="1"/>
  <c r="AI129" i="1"/>
  <c r="AJ129" i="1" s="1"/>
  <c r="AF129" i="1"/>
  <c r="W129" i="1"/>
  <c r="T129" i="1"/>
  <c r="S129" i="1"/>
  <c r="I129" i="1"/>
  <c r="AR128" i="1"/>
  <c r="AI128" i="1"/>
  <c r="AJ128" i="1" s="1"/>
  <c r="AF128" i="1"/>
  <c r="W128" i="1"/>
  <c r="T128" i="1"/>
  <c r="S128" i="1"/>
  <c r="I128" i="1"/>
  <c r="AR127" i="1"/>
  <c r="AI127" i="1"/>
  <c r="AJ127" i="1" s="1"/>
  <c r="AF127" i="1"/>
  <c r="W127" i="1"/>
  <c r="X127" i="1" s="1"/>
  <c r="T127" i="1"/>
  <c r="S127" i="1"/>
  <c r="I127" i="1"/>
  <c r="AR126" i="1"/>
  <c r="AI126" i="1"/>
  <c r="AJ126" i="1" s="1"/>
  <c r="AF126" i="1"/>
  <c r="W126" i="1"/>
  <c r="T126" i="1"/>
  <c r="S126" i="1"/>
  <c r="I126" i="1"/>
  <c r="AR125" i="1"/>
  <c r="AI125" i="1"/>
  <c r="AJ125" i="1" s="1"/>
  <c r="AF125" i="1"/>
  <c r="W125" i="1"/>
  <c r="T125" i="1"/>
  <c r="S125" i="1"/>
  <c r="I125" i="1"/>
  <c r="AR124" i="1"/>
  <c r="AI124" i="1"/>
  <c r="AJ124" i="1" s="1"/>
  <c r="AF124" i="1"/>
  <c r="W124" i="1"/>
  <c r="T124" i="1"/>
  <c r="S124" i="1"/>
  <c r="I124" i="1"/>
  <c r="AR123" i="1"/>
  <c r="AI123" i="1"/>
  <c r="AJ123" i="1" s="1"/>
  <c r="AF123" i="1"/>
  <c r="W123" i="1"/>
  <c r="X123" i="1" s="1"/>
  <c r="T123" i="1"/>
  <c r="S123" i="1"/>
  <c r="I123" i="1"/>
  <c r="AS122" i="1"/>
  <c r="AV122" i="1" s="1"/>
  <c r="AR122" i="1"/>
  <c r="AI122" i="1"/>
  <c r="AJ122" i="1" s="1"/>
  <c r="AF122" i="1"/>
  <c r="W122" i="1"/>
  <c r="X122" i="1" s="1"/>
  <c r="T122" i="1"/>
  <c r="S122" i="1"/>
  <c r="I122" i="1"/>
  <c r="AR121" i="1"/>
  <c r="AI121" i="1"/>
  <c r="AJ121" i="1" s="1"/>
  <c r="AF121" i="1"/>
  <c r="W121" i="1"/>
  <c r="X121" i="1" s="1"/>
  <c r="T121" i="1"/>
  <c r="S121" i="1"/>
  <c r="I121" i="1"/>
  <c r="AR120" i="1"/>
  <c r="AI120" i="1"/>
  <c r="AJ120" i="1" s="1"/>
  <c r="AF120" i="1"/>
  <c r="W120" i="1"/>
  <c r="X120" i="1" s="1"/>
  <c r="T120" i="1"/>
  <c r="S120" i="1"/>
  <c r="I120" i="1"/>
  <c r="AR119" i="1"/>
  <c r="AI119" i="1"/>
  <c r="AJ119" i="1" s="1"/>
  <c r="AF119" i="1"/>
  <c r="W119" i="1"/>
  <c r="X119" i="1" s="1"/>
  <c r="T119" i="1"/>
  <c r="S119" i="1"/>
  <c r="I119" i="1"/>
  <c r="AR118" i="1"/>
  <c r="AI118" i="1"/>
  <c r="AJ118" i="1" s="1"/>
  <c r="AF118" i="1"/>
  <c r="W118" i="1"/>
  <c r="X118" i="1" s="1"/>
  <c r="T118" i="1"/>
  <c r="S118" i="1"/>
  <c r="I118" i="1"/>
  <c r="AR117" i="1"/>
  <c r="AI117" i="1"/>
  <c r="AJ117" i="1" s="1"/>
  <c r="AF117" i="1"/>
  <c r="W117" i="1"/>
  <c r="X117" i="1" s="1"/>
  <c r="T117" i="1"/>
  <c r="S117" i="1"/>
  <c r="I117" i="1"/>
  <c r="AR116" i="1"/>
  <c r="AI116" i="1"/>
  <c r="AJ116" i="1" s="1"/>
  <c r="AF116" i="1"/>
  <c r="W116" i="1"/>
  <c r="T116" i="1"/>
  <c r="S116" i="1"/>
  <c r="I116" i="1"/>
  <c r="AR115" i="1"/>
  <c r="AI115" i="1"/>
  <c r="AJ115" i="1" s="1"/>
  <c r="AF115" i="1"/>
  <c r="W115" i="1"/>
  <c r="X115" i="1" s="1"/>
  <c r="T115" i="1"/>
  <c r="S115" i="1"/>
  <c r="I115" i="1"/>
  <c r="AR114" i="1"/>
  <c r="AI114" i="1"/>
  <c r="AF114" i="1"/>
  <c r="W114" i="1"/>
  <c r="T114" i="1"/>
  <c r="S114" i="1"/>
  <c r="I114" i="1"/>
  <c r="AR113" i="1"/>
  <c r="AI113" i="1"/>
  <c r="AF113" i="1"/>
  <c r="W113" i="1"/>
  <c r="T113" i="1"/>
  <c r="S113" i="1"/>
  <c r="I113" i="1"/>
  <c r="AR112" i="1"/>
  <c r="AI112" i="1"/>
  <c r="AF112" i="1"/>
  <c r="W112" i="1"/>
  <c r="T112" i="1"/>
  <c r="AY112" i="1" s="1"/>
  <c r="S112" i="1"/>
  <c r="I112" i="1"/>
  <c r="AR111" i="1"/>
  <c r="AI111" i="1"/>
  <c r="AF111" i="1"/>
  <c r="W111" i="1"/>
  <c r="T111" i="1"/>
  <c r="AY111" i="1" s="1"/>
  <c r="S111" i="1"/>
  <c r="I111" i="1"/>
  <c r="AR110" i="1"/>
  <c r="AI110" i="1"/>
  <c r="AF110" i="1"/>
  <c r="W110" i="1"/>
  <c r="T110" i="1"/>
  <c r="S110" i="1"/>
  <c r="I110" i="1"/>
  <c r="AR109" i="1"/>
  <c r="AI109" i="1"/>
  <c r="AF109" i="1"/>
  <c r="W109" i="1"/>
  <c r="T109" i="1"/>
  <c r="S109" i="1"/>
  <c r="I109" i="1"/>
  <c r="AR108" i="1"/>
  <c r="AI108" i="1"/>
  <c r="AF108" i="1"/>
  <c r="W108" i="1"/>
  <c r="T108" i="1"/>
  <c r="S108" i="1"/>
  <c r="I108" i="1"/>
  <c r="AR107" i="1"/>
  <c r="AI107" i="1"/>
  <c r="AF107" i="1"/>
  <c r="W107" i="1"/>
  <c r="T107" i="1"/>
  <c r="S107" i="1"/>
  <c r="I107" i="1"/>
  <c r="AR106" i="1"/>
  <c r="AI106" i="1"/>
  <c r="AF106" i="1"/>
  <c r="W106" i="1"/>
  <c r="T106" i="1"/>
  <c r="S106" i="1"/>
  <c r="I106" i="1"/>
  <c r="AR105" i="1"/>
  <c r="AI105" i="1"/>
  <c r="AF105" i="1"/>
  <c r="W105" i="1"/>
  <c r="T105" i="1"/>
  <c r="S105" i="1"/>
  <c r="I105" i="1"/>
  <c r="AR104" i="1"/>
  <c r="AI104" i="1"/>
  <c r="AF104" i="1"/>
  <c r="W104" i="1"/>
  <c r="T104" i="1"/>
  <c r="S104" i="1"/>
  <c r="I104" i="1"/>
  <c r="AR103" i="1"/>
  <c r="AI103" i="1"/>
  <c r="AF103" i="1"/>
  <c r="W103" i="1"/>
  <c r="T103" i="1"/>
  <c r="S103" i="1"/>
  <c r="I103" i="1"/>
  <c r="AR102" i="1"/>
  <c r="AI102" i="1"/>
  <c r="AF102" i="1"/>
  <c r="W102" i="1"/>
  <c r="T102" i="1"/>
  <c r="S102" i="1"/>
  <c r="I102" i="1"/>
  <c r="AR101" i="1"/>
  <c r="AI101" i="1"/>
  <c r="AF101" i="1"/>
  <c r="W101" i="1"/>
  <c r="T101" i="1"/>
  <c r="S101" i="1"/>
  <c r="I101" i="1"/>
  <c r="AR100" i="1"/>
  <c r="AI100" i="1"/>
  <c r="AF100" i="1"/>
  <c r="W100" i="1"/>
  <c r="T100" i="1"/>
  <c r="S100" i="1"/>
  <c r="I100" i="1"/>
  <c r="AR99" i="1"/>
  <c r="AI99" i="1"/>
  <c r="AF99" i="1"/>
  <c r="W99" i="1"/>
  <c r="T99" i="1"/>
  <c r="S99" i="1"/>
  <c r="I99" i="1"/>
  <c r="AR98" i="1"/>
  <c r="AI98" i="1"/>
  <c r="AF98" i="1"/>
  <c r="W98" i="1"/>
  <c r="T98" i="1"/>
  <c r="S98" i="1"/>
  <c r="I98" i="1"/>
  <c r="AR97" i="1"/>
  <c r="AI97" i="1"/>
  <c r="AF97" i="1"/>
  <c r="W97" i="1"/>
  <c r="T97" i="1"/>
  <c r="S97" i="1"/>
  <c r="I97" i="1"/>
  <c r="AR96" i="1"/>
  <c r="AI96" i="1"/>
  <c r="AF96" i="1"/>
  <c r="W96" i="1"/>
  <c r="T96" i="1"/>
  <c r="S96" i="1"/>
  <c r="I96" i="1"/>
  <c r="AR95" i="1"/>
  <c r="AI95" i="1"/>
  <c r="AF95" i="1"/>
  <c r="W95" i="1"/>
  <c r="T95" i="1"/>
  <c r="S95" i="1"/>
  <c r="I95" i="1"/>
  <c r="AR94" i="1"/>
  <c r="AI94" i="1"/>
  <c r="AF94" i="1"/>
  <c r="W94" i="1"/>
  <c r="T94" i="1"/>
  <c r="S94" i="1"/>
  <c r="I94" i="1"/>
  <c r="AR93" i="1"/>
  <c r="AI93" i="1"/>
  <c r="AF93" i="1"/>
  <c r="W93" i="1"/>
  <c r="T93" i="1"/>
  <c r="S93" i="1"/>
  <c r="I93" i="1"/>
  <c r="AR92" i="1"/>
  <c r="AI92" i="1"/>
  <c r="AF92" i="1"/>
  <c r="W92" i="1"/>
  <c r="T92" i="1"/>
  <c r="S92" i="1"/>
  <c r="I92" i="1"/>
  <c r="AR91" i="1"/>
  <c r="AL91" i="1"/>
  <c r="AK91" i="1"/>
  <c r="AH91" i="1"/>
  <c r="AG91" i="1"/>
  <c r="AE91" i="1"/>
  <c r="AD91" i="1"/>
  <c r="AC91" i="1"/>
  <c r="AB91" i="1"/>
  <c r="AA91" i="1"/>
  <c r="W91" i="1"/>
  <c r="AI91" i="1" s="1"/>
  <c r="T91" i="1"/>
  <c r="AF91" i="1" s="1"/>
  <c r="S91" i="1"/>
  <c r="I91" i="1"/>
  <c r="AR90" i="1"/>
  <c r="AL90" i="1"/>
  <c r="AK90" i="1"/>
  <c r="AH90" i="1"/>
  <c r="AG90" i="1"/>
  <c r="AE90" i="1"/>
  <c r="AF90" i="1" s="1"/>
  <c r="AD90" i="1"/>
  <c r="AC90" i="1"/>
  <c r="AB90" i="1"/>
  <c r="AA90" i="1"/>
  <c r="W90" i="1"/>
  <c r="T90" i="1"/>
  <c r="S90" i="1"/>
  <c r="I90" i="1"/>
  <c r="AR89" i="1"/>
  <c r="AI89" i="1"/>
  <c r="AF89" i="1"/>
  <c r="W89" i="1"/>
  <c r="T89" i="1"/>
  <c r="S89" i="1"/>
  <c r="I89" i="1"/>
  <c r="AR88" i="1"/>
  <c r="AI88" i="1"/>
  <c r="AF88" i="1"/>
  <c r="W88" i="1"/>
  <c r="T88" i="1"/>
  <c r="S88" i="1"/>
  <c r="I88" i="1"/>
  <c r="AR87" i="1"/>
  <c r="AI87" i="1"/>
  <c r="AF87" i="1"/>
  <c r="W87" i="1"/>
  <c r="T87" i="1"/>
  <c r="S87" i="1"/>
  <c r="I87" i="1"/>
  <c r="AR86" i="1"/>
  <c r="AL86" i="1"/>
  <c r="AK86" i="1"/>
  <c r="AH86" i="1"/>
  <c r="AG86" i="1"/>
  <c r="AE86" i="1"/>
  <c r="AF86" i="1" s="1"/>
  <c r="AD86" i="1"/>
  <c r="AC86" i="1"/>
  <c r="AB86" i="1"/>
  <c r="AA86" i="1"/>
  <c r="W86" i="1"/>
  <c r="T86" i="1"/>
  <c r="S86" i="1"/>
  <c r="I86" i="1"/>
  <c r="AR85" i="1"/>
  <c r="AI85" i="1"/>
  <c r="AJ85" i="1" s="1"/>
  <c r="AF85" i="1"/>
  <c r="W85" i="1"/>
  <c r="T85" i="1"/>
  <c r="S85" i="1"/>
  <c r="I85" i="1"/>
  <c r="AR84" i="1"/>
  <c r="AI84" i="1"/>
  <c r="AF84" i="1"/>
  <c r="W84" i="1"/>
  <c r="T84" i="1"/>
  <c r="S84" i="1"/>
  <c r="I84" i="1"/>
  <c r="AR83" i="1"/>
  <c r="AI83" i="1"/>
  <c r="AF83" i="1"/>
  <c r="W83" i="1"/>
  <c r="T83" i="1"/>
  <c r="S83" i="1"/>
  <c r="I83" i="1"/>
  <c r="AR82" i="1"/>
  <c r="AL82" i="1"/>
  <c r="AK82" i="1"/>
  <c r="AH82" i="1"/>
  <c r="AG82" i="1"/>
  <c r="AE82" i="1"/>
  <c r="AF82" i="1" s="1"/>
  <c r="AD82" i="1"/>
  <c r="AC82" i="1"/>
  <c r="AB82" i="1"/>
  <c r="AA82" i="1"/>
  <c r="W82" i="1"/>
  <c r="T82" i="1"/>
  <c r="S82" i="1"/>
  <c r="I82" i="1"/>
  <c r="AR81" i="1"/>
  <c r="AI81" i="1"/>
  <c r="AF81" i="1"/>
  <c r="W81" i="1"/>
  <c r="T81" i="1"/>
  <c r="S81" i="1"/>
  <c r="I81" i="1"/>
  <c r="AR80" i="1"/>
  <c r="AI80" i="1"/>
  <c r="AJ80" i="1" s="1"/>
  <c r="AF80" i="1"/>
  <c r="W80" i="1"/>
  <c r="X80" i="1" s="1"/>
  <c r="T80" i="1"/>
  <c r="S80" i="1"/>
  <c r="I80" i="1"/>
  <c r="AR79" i="1"/>
  <c r="AI79" i="1"/>
  <c r="AJ79" i="1" s="1"/>
  <c r="AF79" i="1"/>
  <c r="W79" i="1"/>
  <c r="T79" i="1"/>
  <c r="S79" i="1"/>
  <c r="I79" i="1"/>
  <c r="AR78" i="1"/>
  <c r="AI78" i="1"/>
  <c r="AJ78" i="1" s="1"/>
  <c r="AF78" i="1"/>
  <c r="W78" i="1"/>
  <c r="X78" i="1" s="1"/>
  <c r="T78" i="1"/>
  <c r="S78" i="1"/>
  <c r="I78" i="1"/>
  <c r="AR77" i="1"/>
  <c r="AI77" i="1"/>
  <c r="AJ77" i="1" s="1"/>
  <c r="AF77" i="1"/>
  <c r="W77" i="1"/>
  <c r="X77" i="1" s="1"/>
  <c r="T77" i="1"/>
  <c r="S77" i="1"/>
  <c r="I77" i="1"/>
  <c r="AR76" i="1"/>
  <c r="AI76" i="1"/>
  <c r="AJ76" i="1" s="1"/>
  <c r="AF76" i="1"/>
  <c r="W76" i="1"/>
  <c r="X76" i="1" s="1"/>
  <c r="T76" i="1"/>
  <c r="AY76" i="1" s="1"/>
  <c r="S76" i="1"/>
  <c r="I76" i="1"/>
  <c r="AR75" i="1"/>
  <c r="AI75" i="1"/>
  <c r="AJ75" i="1" s="1"/>
  <c r="AF75" i="1"/>
  <c r="W75" i="1"/>
  <c r="X75" i="1" s="1"/>
  <c r="T75" i="1"/>
  <c r="S75" i="1"/>
  <c r="I75" i="1"/>
  <c r="AR74" i="1"/>
  <c r="AI74" i="1"/>
  <c r="AJ74" i="1" s="1"/>
  <c r="AF74" i="1"/>
  <c r="W74" i="1"/>
  <c r="T74" i="1"/>
  <c r="S74" i="1"/>
  <c r="I74" i="1"/>
  <c r="AS73" i="1"/>
  <c r="AV73" i="1" s="1"/>
  <c r="AR73" i="1"/>
  <c r="AI73" i="1"/>
  <c r="AJ73" i="1" s="1"/>
  <c r="AF73" i="1"/>
  <c r="W73" i="1"/>
  <c r="X73" i="1" s="1"/>
  <c r="T73" i="1"/>
  <c r="AY73" i="1" s="1"/>
  <c r="S73" i="1"/>
  <c r="I73" i="1"/>
  <c r="AR72" i="1"/>
  <c r="AI72" i="1"/>
  <c r="AJ72" i="1" s="1"/>
  <c r="AF72" i="1"/>
  <c r="W72" i="1"/>
  <c r="T72" i="1"/>
  <c r="S72" i="1"/>
  <c r="I72" i="1"/>
  <c r="AR71" i="1"/>
  <c r="AI71" i="1"/>
  <c r="AJ71" i="1" s="1"/>
  <c r="AF71" i="1"/>
  <c r="W71" i="1"/>
  <c r="T71" i="1"/>
  <c r="S71" i="1"/>
  <c r="I71" i="1"/>
  <c r="AR70" i="1"/>
  <c r="AI70" i="1"/>
  <c r="AJ70" i="1" s="1"/>
  <c r="AF70" i="1"/>
  <c r="W70" i="1"/>
  <c r="X70" i="1" s="1"/>
  <c r="T70" i="1"/>
  <c r="S70" i="1"/>
  <c r="I70" i="1"/>
  <c r="AR69" i="1"/>
  <c r="AI69" i="1"/>
  <c r="AJ69" i="1" s="1"/>
  <c r="AF69" i="1"/>
  <c r="W69" i="1"/>
  <c r="T69" i="1"/>
  <c r="S69" i="1"/>
  <c r="I69" i="1"/>
  <c r="AR68" i="1"/>
  <c r="AI68" i="1"/>
  <c r="AJ68" i="1" s="1"/>
  <c r="AF68" i="1"/>
  <c r="W68" i="1"/>
  <c r="T68" i="1"/>
  <c r="AY68" i="1" s="1"/>
  <c r="S68" i="1"/>
  <c r="I68" i="1"/>
  <c r="AR67" i="1"/>
  <c r="AI67" i="1"/>
  <c r="AJ67" i="1" s="1"/>
  <c r="AF67" i="1"/>
  <c r="W67" i="1"/>
  <c r="T67" i="1"/>
  <c r="AY67" i="1" s="1"/>
  <c r="S67" i="1"/>
  <c r="I67" i="1"/>
  <c r="AR66" i="1"/>
  <c r="AI66" i="1"/>
  <c r="AJ66" i="1" s="1"/>
  <c r="AF66" i="1"/>
  <c r="W66" i="1"/>
  <c r="T66" i="1"/>
  <c r="S66" i="1"/>
  <c r="I66" i="1"/>
  <c r="AR65" i="1"/>
  <c r="AI65" i="1"/>
  <c r="AJ65" i="1" s="1"/>
  <c r="AF65" i="1"/>
  <c r="W65" i="1"/>
  <c r="T65" i="1"/>
  <c r="S65" i="1"/>
  <c r="I65" i="1"/>
  <c r="AR64" i="1"/>
  <c r="AI64" i="1"/>
  <c r="AJ64" i="1" s="1"/>
  <c r="AF64" i="1"/>
  <c r="W64" i="1"/>
  <c r="X64" i="1" s="1"/>
  <c r="T64" i="1"/>
  <c r="S64" i="1"/>
  <c r="I64" i="1"/>
  <c r="AR63" i="1"/>
  <c r="AI63" i="1"/>
  <c r="AJ63" i="1" s="1"/>
  <c r="AF63" i="1"/>
  <c r="W63" i="1"/>
  <c r="T63" i="1"/>
  <c r="S63" i="1"/>
  <c r="I63" i="1"/>
  <c r="AR62" i="1"/>
  <c r="AI62" i="1"/>
  <c r="AJ62" i="1" s="1"/>
  <c r="AF62" i="1"/>
  <c r="W62" i="1"/>
  <c r="X62" i="1" s="1"/>
  <c r="T62" i="1"/>
  <c r="S62" i="1"/>
  <c r="I62" i="1"/>
  <c r="AR61" i="1"/>
  <c r="AI61" i="1"/>
  <c r="AJ61" i="1" s="1"/>
  <c r="AF61" i="1"/>
  <c r="W61" i="1"/>
  <c r="T61" i="1"/>
  <c r="S61" i="1"/>
  <c r="I61" i="1"/>
  <c r="AR60" i="1"/>
  <c r="AI60" i="1"/>
  <c r="AJ60" i="1" s="1"/>
  <c r="AF60" i="1"/>
  <c r="W60" i="1"/>
  <c r="T60" i="1"/>
  <c r="S60" i="1"/>
  <c r="I60" i="1"/>
  <c r="AR59" i="1"/>
  <c r="AI59" i="1"/>
  <c r="AJ59" i="1" s="1"/>
  <c r="AF59" i="1"/>
  <c r="W59" i="1"/>
  <c r="X59" i="1" s="1"/>
  <c r="T59" i="1"/>
  <c r="S59" i="1"/>
  <c r="I59" i="1"/>
  <c r="AR58" i="1"/>
  <c r="AI58" i="1"/>
  <c r="AJ58" i="1" s="1"/>
  <c r="AF58" i="1"/>
  <c r="W58" i="1"/>
  <c r="T58" i="1"/>
  <c r="S58" i="1"/>
  <c r="I58" i="1"/>
  <c r="AR57" i="1"/>
  <c r="AI57" i="1"/>
  <c r="AJ57" i="1" s="1"/>
  <c r="AF57" i="1"/>
  <c r="W57" i="1"/>
  <c r="T57" i="1"/>
  <c r="S57" i="1"/>
  <c r="I57" i="1"/>
  <c r="AR56" i="1"/>
  <c r="AI56" i="1"/>
  <c r="AJ56" i="1" s="1"/>
  <c r="AF56" i="1"/>
  <c r="W56" i="1"/>
  <c r="X56" i="1" s="1"/>
  <c r="T56" i="1"/>
  <c r="S56" i="1"/>
  <c r="I56" i="1"/>
  <c r="AR55" i="1"/>
  <c r="AJ55" i="1"/>
  <c r="AF55" i="1"/>
  <c r="W55" i="1"/>
  <c r="T55" i="1"/>
  <c r="AY55" i="1" s="1"/>
  <c r="S55" i="1"/>
  <c r="I55" i="1"/>
  <c r="AR54" i="1"/>
  <c r="AI54" i="1"/>
  <c r="AJ54" i="1" s="1"/>
  <c r="AF54" i="1"/>
  <c r="W54" i="1"/>
  <c r="T54" i="1"/>
  <c r="S54" i="1"/>
  <c r="I54" i="1"/>
  <c r="AR53" i="1"/>
  <c r="AI53" i="1"/>
  <c r="AJ53" i="1" s="1"/>
  <c r="AF53" i="1"/>
  <c r="W53" i="1"/>
  <c r="T53" i="1"/>
  <c r="S53" i="1"/>
  <c r="I53" i="1"/>
  <c r="AR52" i="1"/>
  <c r="AI52" i="1"/>
  <c r="AJ52" i="1" s="1"/>
  <c r="AF52" i="1"/>
  <c r="W52" i="1"/>
  <c r="X52" i="1" s="1"/>
  <c r="T52" i="1"/>
  <c r="AY52" i="1" s="1"/>
  <c r="S52" i="1"/>
  <c r="I52" i="1"/>
  <c r="AR51" i="1"/>
  <c r="AI51" i="1"/>
  <c r="AJ51" i="1" s="1"/>
  <c r="AF51" i="1"/>
  <c r="W51" i="1"/>
  <c r="X51" i="1" s="1"/>
  <c r="T51" i="1"/>
  <c r="AY51" i="1" s="1"/>
  <c r="S51" i="1"/>
  <c r="I51" i="1"/>
  <c r="AR50" i="1"/>
  <c r="AI50" i="1"/>
  <c r="AJ50" i="1" s="1"/>
  <c r="AF50" i="1"/>
  <c r="W50" i="1"/>
  <c r="T50" i="1"/>
  <c r="S50" i="1"/>
  <c r="I50" i="1"/>
  <c r="AR49" i="1"/>
  <c r="AI49" i="1"/>
  <c r="AJ49" i="1" s="1"/>
  <c r="AF49" i="1"/>
  <c r="W49" i="1"/>
  <c r="T49" i="1"/>
  <c r="S49" i="1"/>
  <c r="I49" i="1"/>
  <c r="AR48" i="1"/>
  <c r="AJ48" i="1"/>
  <c r="AF48" i="1"/>
  <c r="W48" i="1"/>
  <c r="T48" i="1"/>
  <c r="S48" i="1"/>
  <c r="I48" i="1"/>
  <c r="AR47" i="1"/>
  <c r="AI47" i="1"/>
  <c r="AJ47" i="1" s="1"/>
  <c r="AF47" i="1"/>
  <c r="W47" i="1"/>
  <c r="T47" i="1"/>
  <c r="S47" i="1"/>
  <c r="I47" i="1"/>
  <c r="AR46" i="1"/>
  <c r="AI46" i="1"/>
  <c r="AJ46" i="1" s="1"/>
  <c r="AF46" i="1"/>
  <c r="W46" i="1"/>
  <c r="T46" i="1"/>
  <c r="S46" i="1"/>
  <c r="I46" i="1"/>
  <c r="AR45" i="1"/>
  <c r="AI45" i="1"/>
  <c r="AJ45" i="1" s="1"/>
  <c r="AF45" i="1"/>
  <c r="W45" i="1"/>
  <c r="T45" i="1"/>
  <c r="S45" i="1"/>
  <c r="I45" i="1"/>
  <c r="AR44" i="1"/>
  <c r="AI44" i="1"/>
  <c r="AJ44" i="1" s="1"/>
  <c r="AF44" i="1"/>
  <c r="W44" i="1"/>
  <c r="X44" i="1" s="1"/>
  <c r="T44" i="1"/>
  <c r="S44" i="1"/>
  <c r="I44" i="1"/>
  <c r="AR42" i="1"/>
  <c r="AI42" i="1"/>
  <c r="AJ42" i="1" s="1"/>
  <c r="AF42" i="1"/>
  <c r="W42" i="1"/>
  <c r="X42" i="1" s="1"/>
  <c r="T42" i="1"/>
  <c r="S42" i="1"/>
  <c r="I42" i="1"/>
  <c r="AR41" i="1"/>
  <c r="AI41" i="1"/>
  <c r="AJ41" i="1" s="1"/>
  <c r="AF41" i="1"/>
  <c r="W41" i="1"/>
  <c r="X41" i="1" s="1"/>
  <c r="T41" i="1"/>
  <c r="S41" i="1"/>
  <c r="I41" i="1"/>
  <c r="AS40" i="1"/>
  <c r="AV40" i="1" s="1"/>
  <c r="AR40" i="1"/>
  <c r="AL40" i="1"/>
  <c r="AK40" i="1"/>
  <c r="AH40" i="1"/>
  <c r="AG40" i="1"/>
  <c r="AE40" i="1"/>
  <c r="AF40" i="1" s="1"/>
  <c r="AD40" i="1"/>
  <c r="AC40" i="1"/>
  <c r="AB40" i="1"/>
  <c r="AA40" i="1"/>
  <c r="W40" i="1"/>
  <c r="X40" i="1" s="1"/>
  <c r="AJ40" i="1" s="1"/>
  <c r="T40" i="1"/>
  <c r="S40" i="1"/>
  <c r="I40" i="1"/>
  <c r="AR39" i="1"/>
  <c r="AL39" i="1"/>
  <c r="AK39" i="1"/>
  <c r="AH39" i="1"/>
  <c r="AG39" i="1"/>
  <c r="AE39" i="1"/>
  <c r="AF39" i="1" s="1"/>
  <c r="AD39" i="1"/>
  <c r="AC39" i="1"/>
  <c r="AB39" i="1"/>
  <c r="AA39" i="1"/>
  <c r="W39" i="1"/>
  <c r="AI39" i="1" s="1"/>
  <c r="AJ39" i="1" s="1"/>
  <c r="T39" i="1"/>
  <c r="S39" i="1"/>
  <c r="I39" i="1"/>
  <c r="AR38" i="1"/>
  <c r="AL38" i="1"/>
  <c r="AK38" i="1"/>
  <c r="AH38" i="1"/>
  <c r="AG38" i="1"/>
  <c r="AE38" i="1"/>
  <c r="AF38" i="1" s="1"/>
  <c r="AD38" i="1"/>
  <c r="AC38" i="1"/>
  <c r="AB38" i="1"/>
  <c r="AA38" i="1"/>
  <c r="W38" i="1"/>
  <c r="T38" i="1"/>
  <c r="S38" i="1"/>
  <c r="I38" i="1"/>
  <c r="AR37" i="1"/>
  <c r="AL37" i="1"/>
  <c r="AK37" i="1"/>
  <c r="AH37" i="1"/>
  <c r="AG37" i="1"/>
  <c r="AE37" i="1"/>
  <c r="AF37" i="1" s="1"/>
  <c r="AD37" i="1"/>
  <c r="AC37" i="1"/>
  <c r="AB37" i="1"/>
  <c r="AA37" i="1"/>
  <c r="W37" i="1"/>
  <c r="T37" i="1"/>
  <c r="S37" i="1"/>
  <c r="I37" i="1"/>
  <c r="AR36" i="1"/>
  <c r="AL36" i="1"/>
  <c r="AK36" i="1"/>
  <c r="AH36" i="1"/>
  <c r="AG36" i="1"/>
  <c r="AE36" i="1"/>
  <c r="AF36" i="1" s="1"/>
  <c r="AD36" i="1"/>
  <c r="AC36" i="1"/>
  <c r="AB36" i="1"/>
  <c r="AA36" i="1"/>
  <c r="W36" i="1"/>
  <c r="T36" i="1"/>
  <c r="S36" i="1"/>
  <c r="I36" i="1"/>
  <c r="AR35" i="1"/>
  <c r="AL35" i="1"/>
  <c r="AK35" i="1"/>
  <c r="AH35" i="1"/>
  <c r="AG35" i="1"/>
  <c r="AE35" i="1"/>
  <c r="AF35" i="1" s="1"/>
  <c r="AD35" i="1"/>
  <c r="AC35" i="1"/>
  <c r="AB35" i="1"/>
  <c r="AA35" i="1"/>
  <c r="W35" i="1"/>
  <c r="T35" i="1"/>
  <c r="S35" i="1"/>
  <c r="I35" i="1"/>
  <c r="AR34" i="1"/>
  <c r="AL34" i="1"/>
  <c r="AK34" i="1"/>
  <c r="AH34" i="1"/>
  <c r="AG34" i="1"/>
  <c r="AE34" i="1"/>
  <c r="AF34" i="1" s="1"/>
  <c r="AD34" i="1"/>
  <c r="AC34" i="1"/>
  <c r="AB34" i="1"/>
  <c r="AA34" i="1"/>
  <c r="W34" i="1"/>
  <c r="T34" i="1"/>
  <c r="S34" i="1"/>
  <c r="I34" i="1"/>
  <c r="AR33" i="1"/>
  <c r="AL33" i="1"/>
  <c r="AK33" i="1"/>
  <c r="AH33" i="1"/>
  <c r="AG33" i="1"/>
  <c r="AE33" i="1"/>
  <c r="AF33" i="1" s="1"/>
  <c r="AD33" i="1"/>
  <c r="AC33" i="1"/>
  <c r="AB33" i="1"/>
  <c r="AA33" i="1"/>
  <c r="W33" i="1"/>
  <c r="T33" i="1"/>
  <c r="S33" i="1"/>
  <c r="I33" i="1"/>
  <c r="AR32" i="1"/>
  <c r="AL32" i="1"/>
  <c r="AK32" i="1"/>
  <c r="AH32" i="1"/>
  <c r="AG32" i="1"/>
  <c r="AE32" i="1"/>
  <c r="AF32" i="1" s="1"/>
  <c r="AD32" i="1"/>
  <c r="AC32" i="1"/>
  <c r="AB32" i="1"/>
  <c r="AA32" i="1"/>
  <c r="W32" i="1"/>
  <c r="X32" i="1" s="1"/>
  <c r="AJ32" i="1" s="1"/>
  <c r="T32" i="1"/>
  <c r="S32" i="1"/>
  <c r="I32" i="1"/>
  <c r="AR31" i="1"/>
  <c r="AL31" i="1"/>
  <c r="AK31" i="1"/>
  <c r="AH31" i="1"/>
  <c r="AG31" i="1"/>
  <c r="AE31" i="1"/>
  <c r="AF31" i="1" s="1"/>
  <c r="AD31" i="1"/>
  <c r="AC31" i="1"/>
  <c r="AB31" i="1"/>
  <c r="AA31" i="1"/>
  <c r="W31" i="1"/>
  <c r="AI31" i="1" s="1"/>
  <c r="T31" i="1"/>
  <c r="S31" i="1"/>
  <c r="I31" i="1"/>
  <c r="AR29" i="1"/>
  <c r="AI29" i="1"/>
  <c r="AJ29" i="1" s="1"/>
  <c r="AF29" i="1"/>
  <c r="W29" i="1"/>
  <c r="T29" i="1"/>
  <c r="S29" i="1"/>
  <c r="I29" i="1"/>
  <c r="AR28" i="1"/>
  <c r="AL28" i="1"/>
  <c r="AK28" i="1"/>
  <c r="AH28" i="1"/>
  <c r="AG28" i="1"/>
  <c r="AE28" i="1"/>
  <c r="AF28" i="1" s="1"/>
  <c r="AD28" i="1"/>
  <c r="AC28" i="1"/>
  <c r="AB28" i="1"/>
  <c r="AA28" i="1"/>
  <c r="W28" i="1"/>
  <c r="AI28" i="1" s="1"/>
  <c r="T28" i="1"/>
  <c r="S28" i="1"/>
  <c r="I28" i="1"/>
  <c r="AR27" i="1"/>
  <c r="AI27" i="1"/>
  <c r="AJ27" i="1" s="1"/>
  <c r="AF27" i="1"/>
  <c r="W27" i="1"/>
  <c r="T27" i="1"/>
  <c r="S27" i="1"/>
  <c r="I27" i="1"/>
  <c r="AR26" i="1"/>
  <c r="AI26" i="1"/>
  <c r="AF26" i="1"/>
  <c r="W26" i="1"/>
  <c r="T26" i="1"/>
  <c r="S26" i="1"/>
  <c r="I26" i="1"/>
  <c r="AR25" i="1"/>
  <c r="AL25" i="1"/>
  <c r="AK25" i="1"/>
  <c r="AH25" i="1"/>
  <c r="AG25" i="1"/>
  <c r="AE25" i="1"/>
  <c r="AF25" i="1" s="1"/>
  <c r="AD25" i="1"/>
  <c r="AC25" i="1"/>
  <c r="AB25" i="1"/>
  <c r="AA25" i="1"/>
  <c r="W25" i="1"/>
  <c r="T25" i="1"/>
  <c r="S25" i="1"/>
  <c r="I25" i="1"/>
  <c r="AR24" i="1"/>
  <c r="AL24" i="1"/>
  <c r="AK24" i="1"/>
  <c r="AH24" i="1"/>
  <c r="AG24" i="1"/>
  <c r="AE24" i="1"/>
  <c r="AF24" i="1" s="1"/>
  <c r="AD24" i="1"/>
  <c r="AC24" i="1"/>
  <c r="AB24" i="1"/>
  <c r="AA24" i="1"/>
  <c r="W24" i="1"/>
  <c r="T24" i="1"/>
  <c r="S24" i="1"/>
  <c r="I24" i="1"/>
  <c r="AR23" i="1"/>
  <c r="AL23" i="1"/>
  <c r="AK23" i="1"/>
  <c r="AH23" i="1"/>
  <c r="AG23" i="1"/>
  <c r="AE23" i="1"/>
  <c r="AF23" i="1" s="1"/>
  <c r="AD23" i="1"/>
  <c r="AC23" i="1"/>
  <c r="AB23" i="1"/>
  <c r="AA23" i="1"/>
  <c r="W23" i="1"/>
  <c r="AI23" i="1" s="1"/>
  <c r="T23" i="1"/>
  <c r="S23" i="1"/>
  <c r="I23" i="1"/>
  <c r="AR22" i="1"/>
  <c r="AL22" i="1"/>
  <c r="AK22" i="1"/>
  <c r="AH22" i="1"/>
  <c r="AG22" i="1"/>
  <c r="AE22" i="1"/>
  <c r="AF22" i="1" s="1"/>
  <c r="AD22" i="1"/>
  <c r="AC22" i="1"/>
  <c r="AB22" i="1"/>
  <c r="AA22" i="1"/>
  <c r="W22" i="1"/>
  <c r="X22" i="1" s="1"/>
  <c r="AJ22" i="1" s="1"/>
  <c r="T22" i="1"/>
  <c r="S22" i="1"/>
  <c r="I22" i="1"/>
  <c r="AR21" i="1"/>
  <c r="AL21" i="1"/>
  <c r="AK21" i="1"/>
  <c r="AH21" i="1"/>
  <c r="AG21" i="1"/>
  <c r="AE21" i="1"/>
  <c r="AF21" i="1" s="1"/>
  <c r="AD21" i="1"/>
  <c r="AC21" i="1"/>
  <c r="AB21" i="1"/>
  <c r="AA21" i="1"/>
  <c r="W21" i="1"/>
  <c r="T21" i="1"/>
  <c r="S21" i="1"/>
  <c r="I21" i="1"/>
  <c r="AR20" i="1"/>
  <c r="AL20" i="1"/>
  <c r="AK20" i="1"/>
  <c r="AH20" i="1"/>
  <c r="AG20" i="1"/>
  <c r="AE20" i="1"/>
  <c r="AF20" i="1" s="1"/>
  <c r="AD20" i="1"/>
  <c r="AC20" i="1"/>
  <c r="AB20" i="1"/>
  <c r="AA20" i="1"/>
  <c r="W20" i="1"/>
  <c r="T20" i="1"/>
  <c r="S20" i="1"/>
  <c r="AR19" i="1"/>
  <c r="AL19" i="1"/>
  <c r="AK19" i="1"/>
  <c r="AH19" i="1"/>
  <c r="AG19" i="1"/>
  <c r="AE19" i="1"/>
  <c r="AF19" i="1" s="1"/>
  <c r="AD19" i="1"/>
  <c r="AC19" i="1"/>
  <c r="AB19" i="1"/>
  <c r="AA19" i="1"/>
  <c r="W19" i="1"/>
  <c r="T19" i="1"/>
  <c r="S19" i="1"/>
  <c r="I19" i="1"/>
  <c r="AR18" i="1"/>
  <c r="AL18" i="1"/>
  <c r="AK18" i="1"/>
  <c r="AH18" i="1"/>
  <c r="AG18" i="1"/>
  <c r="AE18" i="1"/>
  <c r="AF18" i="1" s="1"/>
  <c r="AD18" i="1"/>
  <c r="AC18" i="1"/>
  <c r="AB18" i="1"/>
  <c r="AA18" i="1"/>
  <c r="W18" i="1"/>
  <c r="T18" i="1"/>
  <c r="S18" i="1"/>
  <c r="I18" i="1"/>
  <c r="AR17" i="1"/>
  <c r="AI17" i="1"/>
  <c r="AJ17" i="1" s="1"/>
  <c r="AF17" i="1"/>
  <c r="W17" i="1"/>
  <c r="T17" i="1"/>
  <c r="S17" i="1"/>
  <c r="I17" i="1"/>
  <c r="AR16" i="1"/>
  <c r="AI16" i="1"/>
  <c r="AJ16" i="1" s="1"/>
  <c r="AF16" i="1"/>
  <c r="W16" i="1"/>
  <c r="X16" i="1" s="1"/>
  <c r="T16" i="1"/>
  <c r="S16" i="1"/>
  <c r="I16" i="1"/>
  <c r="AR15" i="1"/>
  <c r="AI15" i="1"/>
  <c r="AJ15" i="1" s="1"/>
  <c r="AF15" i="1"/>
  <c r="W15" i="1"/>
  <c r="T15" i="1"/>
  <c r="S15" i="1"/>
  <c r="I15" i="1"/>
  <c r="AR14" i="1"/>
  <c r="AI14" i="1"/>
  <c r="AJ14" i="1" s="1"/>
  <c r="AF14" i="1"/>
  <c r="W14" i="1"/>
  <c r="X14" i="1" s="1"/>
  <c r="T14" i="1"/>
  <c r="S14" i="1"/>
  <c r="I14" i="1"/>
  <c r="AR13" i="1"/>
  <c r="AI13" i="1"/>
  <c r="AJ13" i="1" s="1"/>
  <c r="AF13" i="1"/>
  <c r="W13" i="1"/>
  <c r="X13" i="1" s="1"/>
  <c r="T13" i="1"/>
  <c r="AY13" i="1" s="1"/>
  <c r="S13" i="1"/>
  <c r="I13" i="1"/>
  <c r="AR12" i="1"/>
  <c r="AI12" i="1"/>
  <c r="AJ12" i="1" s="1"/>
  <c r="AF12" i="1"/>
  <c r="W12" i="1"/>
  <c r="T12" i="1"/>
  <c r="S12" i="1"/>
  <c r="I12" i="1"/>
  <c r="AR11" i="1"/>
  <c r="AI11" i="1"/>
  <c r="AJ11" i="1" s="1"/>
  <c r="AF11" i="1"/>
  <c r="W11" i="1"/>
  <c r="T11" i="1"/>
  <c r="S11" i="1"/>
  <c r="I11" i="1"/>
  <c r="AR10" i="1"/>
  <c r="AI10" i="1"/>
  <c r="AJ10" i="1" s="1"/>
  <c r="AF10" i="1"/>
  <c r="W10" i="1"/>
  <c r="T10" i="1"/>
  <c r="S10" i="1"/>
  <c r="I10" i="1"/>
  <c r="AR9" i="1"/>
  <c r="AI9" i="1"/>
  <c r="AJ9" i="1" s="1"/>
  <c r="AF9" i="1"/>
  <c r="W9" i="1"/>
  <c r="X9" i="1" s="1"/>
  <c r="T9" i="1"/>
  <c r="S9" i="1"/>
  <c r="I9" i="1"/>
  <c r="AR8" i="1"/>
  <c r="AI8" i="1"/>
  <c r="AJ8" i="1" s="1"/>
  <c r="AF8" i="1"/>
  <c r="W8" i="1"/>
  <c r="X8" i="1" s="1"/>
  <c r="T8" i="1"/>
  <c r="S8" i="1"/>
  <c r="I8" i="1"/>
  <c r="AR7" i="1"/>
  <c r="AI7" i="1"/>
  <c r="AJ7" i="1" s="1"/>
  <c r="AF7" i="1"/>
  <c r="W7" i="1"/>
  <c r="T7" i="1"/>
  <c r="S7" i="1"/>
  <c r="I7" i="1"/>
  <c r="AR6" i="1"/>
  <c r="AI6" i="1"/>
  <c r="AJ6" i="1" s="1"/>
  <c r="AF6" i="1"/>
  <c r="W6" i="1"/>
  <c r="T6" i="1"/>
  <c r="S6" i="1"/>
  <c r="I6" i="1"/>
  <c r="AR5" i="1"/>
  <c r="AI5" i="1"/>
  <c r="AJ5" i="1" s="1"/>
  <c r="AF5" i="1"/>
  <c r="W5" i="1"/>
  <c r="X5" i="1" s="1"/>
  <c r="T5" i="1"/>
  <c r="S5" i="1"/>
  <c r="I5" i="1"/>
  <c r="X15" i="1" l="1"/>
  <c r="X68" i="1"/>
  <c r="X187" i="1"/>
  <c r="X19" i="1"/>
  <c r="AJ19" i="1" s="1"/>
  <c r="X61" i="1"/>
  <c r="AI24" i="1"/>
  <c r="X67" i="1"/>
  <c r="X179" i="1"/>
  <c r="X192" i="1"/>
  <c r="X57" i="1"/>
  <c r="X231" i="1"/>
  <c r="AY74" i="1"/>
  <c r="AT237" i="1"/>
  <c r="AU237" i="1" s="1"/>
  <c r="AW237" i="1" s="1"/>
  <c r="X198" i="1"/>
  <c r="X367" i="1"/>
  <c r="X375" i="1"/>
  <c r="AI19" i="1"/>
  <c r="AT229" i="1"/>
  <c r="AU229" i="1" s="1"/>
  <c r="AW229" i="1" s="1"/>
  <c r="AI86" i="1"/>
  <c r="X63" i="1"/>
  <c r="X27" i="1"/>
  <c r="X129" i="1"/>
  <c r="X421" i="1"/>
  <c r="X36" i="1"/>
  <c r="X47" i="1"/>
  <c r="X60" i="1"/>
  <c r="X190" i="1"/>
  <c r="X242" i="1"/>
  <c r="X186" i="1"/>
  <c r="X134" i="1"/>
  <c r="AT208" i="1"/>
  <c r="AU208" i="1" s="1"/>
  <c r="AW208" i="1" s="1"/>
  <c r="X417" i="1"/>
  <c r="X33" i="1"/>
  <c r="AJ33" i="1" s="1"/>
  <c r="X416" i="1"/>
  <c r="X362" i="1"/>
  <c r="AT239" i="1"/>
  <c r="AU239" i="1" s="1"/>
  <c r="AW239" i="1" s="1"/>
  <c r="X380" i="1"/>
  <c r="AI90" i="1"/>
  <c r="X124" i="1"/>
  <c r="AI33" i="1"/>
  <c r="X49" i="1"/>
  <c r="X230" i="1"/>
  <c r="X74" i="1"/>
  <c r="X133" i="1"/>
  <c r="X171" i="1"/>
  <c r="X207" i="1"/>
  <c r="X208" i="1"/>
  <c r="X409" i="1"/>
  <c r="X413" i="1"/>
  <c r="X18" i="1"/>
  <c r="AJ18" i="1" s="1"/>
  <c r="X21" i="1"/>
  <c r="AJ21" i="1" s="1"/>
  <c r="AI22" i="1"/>
  <c r="AI32" i="1"/>
  <c r="X206" i="1"/>
  <c r="X223" i="1"/>
  <c r="X224" i="1"/>
  <c r="X240" i="1"/>
  <c r="X408" i="1"/>
  <c r="AT156" i="1"/>
  <c r="AU156" i="1" s="1"/>
  <c r="AW156" i="1" s="1"/>
  <c r="X204" i="1"/>
  <c r="X361" i="1"/>
  <c r="AI37" i="1"/>
  <c r="AJ37" i="1" s="1"/>
  <c r="X203" i="1"/>
  <c r="AT228" i="1"/>
  <c r="AU228" i="1" s="1"/>
  <c r="AW228" i="1" s="1"/>
  <c r="AI40" i="1"/>
  <c r="X116" i="1"/>
  <c r="X183" i="1"/>
  <c r="X194" i="1"/>
  <c r="X195" i="1"/>
  <c r="X236" i="1"/>
  <c r="X368" i="1"/>
  <c r="X371" i="1"/>
  <c r="X376" i="1"/>
  <c r="AJ376" i="1" s="1"/>
  <c r="X397" i="1"/>
  <c r="X407" i="1"/>
  <c r="X412" i="1"/>
  <c r="X58" i="1"/>
  <c r="X24" i="1"/>
  <c r="AJ24" i="1" s="1"/>
  <c r="X50" i="1"/>
  <c r="X66" i="1"/>
  <c r="X79" i="1"/>
  <c r="X128" i="1"/>
  <c r="X173" i="1"/>
  <c r="X219" i="1"/>
  <c r="X235" i="1"/>
  <c r="X378" i="1"/>
  <c r="AI18" i="1"/>
  <c r="AI21" i="1"/>
  <c r="AT73" i="1"/>
  <c r="AU73" i="1" s="1"/>
  <c r="AW73" i="1" s="1"/>
  <c r="X177" i="1"/>
  <c r="X12" i="1"/>
  <c r="AY14" i="1"/>
  <c r="X53" i="1"/>
  <c r="AI82" i="1"/>
  <c r="X201" i="1"/>
  <c r="X360" i="1"/>
  <c r="X400" i="1"/>
  <c r="X54" i="1"/>
  <c r="X72" i="1"/>
  <c r="X71" i="1"/>
  <c r="X69" i="1"/>
  <c r="X410" i="1"/>
  <c r="X37" i="1"/>
  <c r="AI36" i="1"/>
  <c r="AJ36" i="1" s="1"/>
  <c r="X7" i="1"/>
  <c r="AT122" i="1"/>
  <c r="AU122" i="1" s="1"/>
  <c r="AW122" i="1" s="1"/>
  <c r="AT205" i="1"/>
  <c r="AU205" i="1" s="1"/>
  <c r="AW205" i="1" s="1"/>
  <c r="AT241" i="1"/>
  <c r="AU241" i="1" s="1"/>
  <c r="AW241" i="1" s="1"/>
  <c r="AI25" i="1"/>
  <c r="X29" i="1"/>
  <c r="AI34" i="1"/>
  <c r="X34" i="1"/>
  <c r="AJ34" i="1" s="1"/>
  <c r="X35" i="1"/>
  <c r="AJ35" i="1" s="1"/>
  <c r="X39" i="1"/>
  <c r="X10" i="1"/>
  <c r="X222" i="1"/>
  <c r="X31" i="1"/>
  <c r="AJ31" i="1" s="1"/>
  <c r="X45" i="1"/>
  <c r="X46" i="1"/>
  <c r="X6" i="1"/>
  <c r="AI20" i="1"/>
  <c r="X65" i="1"/>
  <c r="X132" i="1"/>
  <c r="X17" i="1"/>
  <c r="X23" i="1"/>
  <c r="AJ23" i="1" s="1"/>
  <c r="X25" i="1"/>
  <c r="AJ25" i="1" s="1"/>
  <c r="AI38" i="1"/>
  <c r="AJ38" i="1" s="1"/>
  <c r="AI35" i="1"/>
  <c r="X55" i="1"/>
  <c r="X28" i="1"/>
  <c r="AJ28" i="1" s="1"/>
  <c r="X131" i="1"/>
  <c r="X20" i="1"/>
  <c r="AJ20" i="1" s="1"/>
  <c r="X11" i="1"/>
  <c r="AT40" i="1"/>
  <c r="AU40" i="1" s="1"/>
  <c r="AW40" i="1" s="1"/>
  <c r="X130" i="1"/>
  <c r="X38" i="1"/>
  <c r="AY95" i="1"/>
  <c r="X85" i="1"/>
  <c r="X48" i="1"/>
  <c r="X125" i="1"/>
  <c r="AY78" i="1"/>
  <c r="X178" i="1"/>
  <c r="X229" i="1"/>
  <c r="AT150" i="1"/>
  <c r="AU150" i="1" s="1"/>
  <c r="AW150" i="1" s="1"/>
  <c r="AY156" i="1"/>
  <c r="AT312" i="1"/>
  <c r="AU312" i="1" s="1"/>
  <c r="AW312" i="1" s="1"/>
  <c r="X172" i="1"/>
  <c r="X188" i="1"/>
  <c r="X210" i="1"/>
  <c r="X213" i="1"/>
  <c r="AT222" i="1"/>
  <c r="AU222" i="1" s="1"/>
  <c r="AW222" i="1" s="1"/>
  <c r="X218" i="1"/>
  <c r="X220" i="1"/>
  <c r="X193" i="1"/>
  <c r="X225" i="1"/>
  <c r="X126" i="1"/>
  <c r="X169" i="1"/>
  <c r="X196" i="1"/>
  <c r="AT219" i="1"/>
  <c r="AU219" i="1" s="1"/>
  <c r="AW219" i="1" s="1"/>
  <c r="AT313" i="1"/>
  <c r="AU313" i="1" s="1"/>
  <c r="AW313" i="1" s="1"/>
  <c r="X238" i="1"/>
  <c r="X241" i="1"/>
  <c r="X386" i="1"/>
  <c r="X396" i="1"/>
  <c r="X418" i="1"/>
  <c r="X419" i="1"/>
  <c r="X369" i="1"/>
  <c r="X372" i="1"/>
  <c r="X379" i="1"/>
  <c r="X415" i="1"/>
  <c r="X401" i="1"/>
  <c r="X424" i="1"/>
  <c r="X364" i="1"/>
  <c r="X370" i="1"/>
  <c r="X373" i="1"/>
  <c r="X388" i="1"/>
  <c r="AI365" i="1"/>
  <c r="X391" i="1"/>
  <c r="X402" i="1"/>
  <c r="X365" i="1"/>
  <c r="AJ3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</authors>
  <commentList>
    <comment ref="A13" authorId="0" shapeId="0" xr:uid="{DEACC3D8-02CF-4168-8D7B-B854A73FC132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9" authorId="0" shapeId="0" xr:uid="{099B9753-EAC1-4570-9E6E-C223F789D7B7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30" authorId="0" shapeId="0" xr:uid="{2349D65F-1E98-455E-87BE-39CE007F9720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Max axis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</authors>
  <commentList>
    <comment ref="A26" authorId="0" shapeId="0" xr:uid="{FA0FCD91-A26E-484B-8B0E-23672B7854DD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32" authorId="0" shapeId="0" xr:uid="{FCC79174-8467-4F1D-A6BC-302854DEEE69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43" authorId="0" shapeId="0" xr:uid="{5B58CFB4-63E5-494D-9D0D-2D064178E6DE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Max axis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</authors>
  <commentList>
    <comment ref="A11" authorId="0" shapeId="0" xr:uid="{66AC9074-23F4-41E7-BD2D-DF8C9D17AE14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26" authorId="0" shapeId="0" xr:uid="{E1E07215-3275-4DBA-B1A3-C5A838948F2F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32" authorId="0" shapeId="0" xr:uid="{A8276DC3-FF4C-441C-957F-E08FCD2362E0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</authors>
  <commentList>
    <comment ref="A13" authorId="0" shapeId="0" xr:uid="{D8503F34-45E1-4261-8687-B07417AB3AEB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9" authorId="0" shapeId="0" xr:uid="{0590A3A8-228B-4133-AC79-21E6C1840AF7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A130" authorId="0" shapeId="0" xr:uid="{F0DA8C8F-9EFC-4C59-9C65-6B262A6FBB6A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Max axis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Muztahid Muhammad</author>
    <author>Salman</author>
  </authors>
  <commentList>
    <comment ref="B20" authorId="0" shapeId="0" xr:uid="{898D88CE-C86A-478B-A620-683BAD4510D2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Wrong</t>
        </r>
      </text>
    </comment>
    <comment ref="B28" authorId="0" shapeId="0" xr:uid="{8BFF5EAF-ED28-47C3-8292-342A410CE58C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29" authorId="0" shapeId="0" xr:uid="{80CF7E77-C956-4C45-9D11-69A8841CF2F0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40" authorId="0" shapeId="0" xr:uid="{1C881172-6A43-4661-92E4-CEA9C55CF5EF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Axis,
Wrong specimen</t>
        </r>
      </text>
    </comment>
    <comment ref="B42" authorId="0" shapeId="0" xr:uid="{052A566E-49E2-45AA-94E9-5805133101DD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43" authorId="0" shapeId="0" xr:uid="{DF7BBF2D-A065-4934-82B7-7511AFD8904B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Specimen failed at grip</t>
        </r>
      </text>
    </comment>
    <comment ref="B67" authorId="0" shapeId="0" xr:uid="{2F0E8638-FDB3-4997-AA7F-221879FC144F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80" authorId="0" shapeId="0" xr:uid="{8A1690BD-6D78-4620-A974-4A4D2F643838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Min Axis</t>
        </r>
      </text>
    </comment>
    <comment ref="B81" authorId="0" shapeId="0" xr:uid="{BD2883BA-5928-4BA7-ADFB-78C95461C8D6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Might need to redo after sonicating</t>
        </r>
      </text>
    </comment>
    <comment ref="L94" authorId="0" shapeId="0" xr:uid="{E59F8A7F-6A78-4BAA-9513-6842A86299D9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decide what to do with it</t>
        </r>
      </text>
    </comment>
    <comment ref="F140" authorId="0" shapeId="0" xr:uid="{6BFE2CF0-687E-4183-9333-B28E762D09DD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Probably failed outside of the scanned length</t>
        </r>
      </text>
    </comment>
    <comment ref="B167" authorId="0" shapeId="0" xr:uid="{77F34F9D-F5EB-4DDF-85AD-63F4AB68BCEB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recheck after sonicating</t>
        </r>
      </text>
    </comment>
    <comment ref="B214" authorId="0" shapeId="0" xr:uid="{17571506-6C3E-49D1-83F4-6DBEB02E1357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Grip failure</t>
        </r>
      </text>
    </comment>
    <comment ref="B215" authorId="0" shapeId="0" xr:uid="{9D8119B3-EDBA-4831-B4F5-18AE11B80C15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SP64?
</t>
        </r>
      </text>
    </comment>
    <comment ref="B217" authorId="0" shapeId="0" xr:uid="{07A2D601-9FF5-4659-84B7-BA9D13547BA9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do again after sonicating</t>
        </r>
      </text>
    </comment>
    <comment ref="B221" authorId="0" shapeId="0" xr:uid="{0191CB5D-8B75-4293-9AD4-8A8105EA0120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Was recalculated</t>
        </r>
      </text>
    </comment>
    <comment ref="R228" authorId="0" shapeId="0" xr:uid="{BA4519C7-184C-41CA-A441-BEB9CBB30F24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recheck after sonicating
</t>
        </r>
      </text>
    </comment>
    <comment ref="B231" authorId="0" shapeId="0" xr:uid="{0F629E95-8C44-43AD-8100-194492FB23C9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Unclear image</t>
        </r>
      </text>
    </comment>
    <comment ref="R231" authorId="0" shapeId="0" xr:uid="{A3330983-5898-44B0-B4D6-AA98796A49E5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check the distance</t>
        </r>
      </text>
    </comment>
    <comment ref="B232" authorId="0" shapeId="0" xr:uid="{DDCD880C-3A54-43A9-B9A5-25A3D1C34DF6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I updated it</t>
        </r>
      </text>
    </comment>
    <comment ref="B314" authorId="0" shapeId="0" xr:uid="{C684CB50-BD0C-4DC8-BE9B-FB0226244751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recheck</t>
        </r>
      </text>
    </comment>
    <comment ref="B326" authorId="0" shapeId="0" xr:uid="{6C27F642-7F2A-4541-A73B-42F0199C3124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Need to recheck, I don't see any defect</t>
        </r>
      </text>
    </comment>
    <comment ref="B355" authorId="1" shapeId="0" xr:uid="{FA42504C-D61A-42F4-878B-0F06AB8771FC}">
      <text>
        <r>
          <rPr>
            <b/>
            <sz val="9"/>
            <color indexed="81"/>
            <rFont val="Tahoma"/>
            <family val="2"/>
          </rPr>
          <t>Salman:</t>
        </r>
        <r>
          <rPr>
            <sz val="9"/>
            <color indexed="81"/>
            <rFont val="Tahoma"/>
            <family val="2"/>
          </rPr>
          <t xml:space="preserve">
Need to redo</t>
        </r>
      </text>
    </comment>
    <comment ref="B379" authorId="0" shapeId="0" xr:uid="{3E4BF5FA-A915-4570-A151-7BD020AD3D7E}">
      <text>
        <r>
          <rPr>
            <b/>
            <sz val="9"/>
            <color indexed="81"/>
            <rFont val="Tahoma"/>
            <family val="2"/>
          </rPr>
          <t>Muztahid Muhammad:</t>
        </r>
        <r>
          <rPr>
            <sz val="9"/>
            <color indexed="81"/>
            <rFont val="Tahoma"/>
            <family val="2"/>
          </rPr>
          <t xml:space="preserve">
Max axis
</t>
        </r>
      </text>
    </comment>
  </commentList>
</comments>
</file>

<file path=xl/sharedStrings.xml><?xml version="1.0" encoding="utf-8"?>
<sst xmlns="http://schemas.openxmlformats.org/spreadsheetml/2006/main" count="2914" uniqueCount="579">
  <si>
    <t>Actual Defect</t>
  </si>
  <si>
    <t>Murakami's</t>
  </si>
  <si>
    <t xml:space="preserve">Vertical </t>
  </si>
  <si>
    <t>Sp#</t>
  </si>
  <si>
    <t>UTS (MPa)</t>
  </si>
  <si>
    <t>Stress amplitude</t>
  </si>
  <si>
    <t>Frequency (Hz)</t>
  </si>
  <si>
    <t>Scanned (Y/N)</t>
  </si>
  <si>
    <t>Machine</t>
  </si>
  <si>
    <t>Cycles to Failure</t>
  </si>
  <si>
    <t>Reversals</t>
  </si>
  <si>
    <t>Location</t>
  </si>
  <si>
    <t>Type</t>
  </si>
  <si>
    <t>Comment</t>
  </si>
  <si>
    <t>Max axis</t>
  </si>
  <si>
    <t>min axis</t>
  </si>
  <si>
    <t>Max Ferret</t>
  </si>
  <si>
    <t>Min Ferret</t>
  </si>
  <si>
    <t>Area</t>
  </si>
  <si>
    <t>Distance</t>
  </si>
  <si>
    <t>Equivalent radius, a</t>
  </si>
  <si>
    <t>Sq rt area</t>
  </si>
  <si>
    <t>Actual perimeter</t>
  </si>
  <si>
    <t>Circularity</t>
  </si>
  <si>
    <t>Aspect ratio</t>
  </si>
  <si>
    <t>Elongation</t>
  </si>
  <si>
    <t>Roundness</t>
  </si>
  <si>
    <t>Solidity</t>
  </si>
  <si>
    <t>Y value</t>
  </si>
  <si>
    <t>Rileys' Circularity</t>
  </si>
  <si>
    <t>c</t>
  </si>
  <si>
    <t>c_Surface</t>
  </si>
  <si>
    <t>a</t>
  </si>
  <si>
    <t>c/a</t>
  </si>
  <si>
    <t>C_a ratio</t>
  </si>
  <si>
    <t>D</t>
  </si>
  <si>
    <t>Q</t>
  </si>
  <si>
    <t>a/Q</t>
  </si>
  <si>
    <t>Height</t>
  </si>
  <si>
    <t>Out-of-plane AR</t>
  </si>
  <si>
    <t>RV</t>
  </si>
  <si>
    <t>RV03</t>
  </si>
  <si>
    <t>MTS 810</t>
  </si>
  <si>
    <t>LoF</t>
  </si>
  <si>
    <t>Multiple</t>
  </si>
  <si>
    <t>RV01</t>
  </si>
  <si>
    <t>Y (Inverted)</t>
  </si>
  <si>
    <t>Dep 2</t>
  </si>
  <si>
    <t>RV05</t>
  </si>
  <si>
    <t>Y</t>
  </si>
  <si>
    <t>RV10</t>
  </si>
  <si>
    <t>RV14</t>
  </si>
  <si>
    <t>RV09</t>
  </si>
  <si>
    <t>RV06</t>
  </si>
  <si>
    <t>RV15</t>
  </si>
  <si>
    <t>Surface</t>
  </si>
  <si>
    <t>RV11</t>
  </si>
  <si>
    <t>RV08</t>
  </si>
  <si>
    <t>RV12</t>
  </si>
  <si>
    <t>RV02</t>
  </si>
  <si>
    <t>2 defects</t>
  </si>
  <si>
    <t>RV04</t>
  </si>
  <si>
    <t>KaV</t>
  </si>
  <si>
    <t>KaV04</t>
  </si>
  <si>
    <t>KH</t>
  </si>
  <si>
    <t>KaV14</t>
  </si>
  <si>
    <t>KaV11</t>
  </si>
  <si>
    <t>KaV06</t>
  </si>
  <si>
    <t>KaV10</t>
  </si>
  <si>
    <t>KaV09</t>
  </si>
  <si>
    <t>KaV13</t>
  </si>
  <si>
    <t>KaV08</t>
  </si>
  <si>
    <t>KaV12</t>
  </si>
  <si>
    <t>Dep2</t>
  </si>
  <si>
    <t>2 Defects</t>
  </si>
  <si>
    <t>KaV15</t>
  </si>
  <si>
    <t>KaV07</t>
  </si>
  <si>
    <t>KaV05</t>
  </si>
  <si>
    <t>KbV</t>
  </si>
  <si>
    <t>KbV10</t>
  </si>
  <si>
    <t>KbV09</t>
  </si>
  <si>
    <t>KbV01</t>
  </si>
  <si>
    <t>KbV15</t>
  </si>
  <si>
    <t>KbV08</t>
  </si>
  <si>
    <t>KbV11</t>
  </si>
  <si>
    <t>KbV03</t>
  </si>
  <si>
    <t>KbV04</t>
  </si>
  <si>
    <t>KbV07</t>
  </si>
  <si>
    <t>KbV06</t>
  </si>
  <si>
    <t>KbV02</t>
  </si>
  <si>
    <t>KbV14</t>
  </si>
  <si>
    <t>KbV13</t>
  </si>
  <si>
    <t>LaV</t>
  </si>
  <si>
    <t>LaV10</t>
  </si>
  <si>
    <t>LaV14</t>
  </si>
  <si>
    <t>LaV05</t>
  </si>
  <si>
    <t>LaV13</t>
  </si>
  <si>
    <t>LaV11</t>
  </si>
  <si>
    <t>LaV02</t>
  </si>
  <si>
    <t>LaV04</t>
  </si>
  <si>
    <t>LaV03</t>
  </si>
  <si>
    <t>LaV06</t>
  </si>
  <si>
    <t>LaV01</t>
  </si>
  <si>
    <t>LaV09</t>
  </si>
  <si>
    <t>Coalesced (need to discuss)</t>
  </si>
  <si>
    <t>LaV15</t>
  </si>
  <si>
    <t>LaV07</t>
  </si>
  <si>
    <t>Coalesced/Branched</t>
  </si>
  <si>
    <t>LbV</t>
  </si>
  <si>
    <t>LbV03</t>
  </si>
  <si>
    <t>LbV15</t>
  </si>
  <si>
    <t>LbV06</t>
  </si>
  <si>
    <t>LbV04</t>
  </si>
  <si>
    <t>LbV09</t>
  </si>
  <si>
    <t>LbV02</t>
  </si>
  <si>
    <t>LbV07</t>
  </si>
  <si>
    <t>5 Hz</t>
  </si>
  <si>
    <t>LbV11</t>
  </si>
  <si>
    <t>Branch (prob)</t>
  </si>
  <si>
    <t>LbV01</t>
  </si>
  <si>
    <t>Multiple_effective</t>
  </si>
  <si>
    <t>LbV12</t>
  </si>
  <si>
    <t>LbV05</t>
  </si>
  <si>
    <t>LbV13</t>
  </si>
  <si>
    <t>LcV</t>
  </si>
  <si>
    <t>LcV10</t>
  </si>
  <si>
    <t>LcV08</t>
  </si>
  <si>
    <t>LcV02</t>
  </si>
  <si>
    <t>LcV13</t>
  </si>
  <si>
    <t>LcV01</t>
  </si>
  <si>
    <t>LcV11</t>
  </si>
  <si>
    <t>LcV07</t>
  </si>
  <si>
    <t>LcV14</t>
  </si>
  <si>
    <t>LcV03</t>
  </si>
  <si>
    <t>LcV09</t>
  </si>
  <si>
    <t>Coalesced</t>
  </si>
  <si>
    <t>LcV15</t>
  </si>
  <si>
    <t>LcV04</t>
  </si>
  <si>
    <t>LdV</t>
  </si>
  <si>
    <t>LdV12</t>
  </si>
  <si>
    <t>LdV07</t>
  </si>
  <si>
    <t>GE</t>
  </si>
  <si>
    <t>LdV11</t>
  </si>
  <si>
    <t>LdV06</t>
  </si>
  <si>
    <t xml:space="preserve">Y </t>
  </si>
  <si>
    <t>LdV15</t>
  </si>
  <si>
    <t>LeV</t>
  </si>
  <si>
    <t>LeV04</t>
  </si>
  <si>
    <t>LeV03</t>
  </si>
  <si>
    <t>LeV05</t>
  </si>
  <si>
    <t>LeV14</t>
  </si>
  <si>
    <t>LeV06</t>
  </si>
  <si>
    <t>RD</t>
  </si>
  <si>
    <t>RD09</t>
  </si>
  <si>
    <t>Y(Inverted)</t>
  </si>
  <si>
    <t>RD10</t>
  </si>
  <si>
    <t>RD08</t>
  </si>
  <si>
    <t>RD05</t>
  </si>
  <si>
    <t>RD01</t>
  </si>
  <si>
    <t>273..599</t>
  </si>
  <si>
    <t>RD06</t>
  </si>
  <si>
    <t>RD07</t>
  </si>
  <si>
    <t>RD14</t>
  </si>
  <si>
    <t>RD11</t>
  </si>
  <si>
    <t>RD12</t>
  </si>
  <si>
    <t>2 defects (multiple connected defects for main one)</t>
  </si>
  <si>
    <t>RD15</t>
  </si>
  <si>
    <t>RD02</t>
  </si>
  <si>
    <t>RD03</t>
  </si>
  <si>
    <t>LaD</t>
  </si>
  <si>
    <t>LaD11</t>
  </si>
  <si>
    <t>LaD14</t>
  </si>
  <si>
    <t>LaD06</t>
  </si>
  <si>
    <t>LaD07</t>
  </si>
  <si>
    <t>LaD10</t>
  </si>
  <si>
    <t>LaD09</t>
  </si>
  <si>
    <t>LaD02</t>
  </si>
  <si>
    <t>LaD08</t>
  </si>
  <si>
    <t>LaD12</t>
  </si>
  <si>
    <t>LaD04</t>
  </si>
  <si>
    <t>Multiple defects</t>
  </si>
  <si>
    <t>LaD05</t>
  </si>
  <si>
    <t>LbD</t>
  </si>
  <si>
    <t>LbD11</t>
  </si>
  <si>
    <t>LM02</t>
  </si>
  <si>
    <t>Branch (made it internal defect)</t>
  </si>
  <si>
    <t>LbD06</t>
  </si>
  <si>
    <t>Dep 3</t>
  </si>
  <si>
    <t>LbD04</t>
  </si>
  <si>
    <t>Branched</t>
  </si>
  <si>
    <t>LbD01</t>
  </si>
  <si>
    <t>LbD07</t>
  </si>
  <si>
    <t>AT TT</t>
  </si>
  <si>
    <t>LbD03</t>
  </si>
  <si>
    <t>Multiple/connecting defect</t>
  </si>
  <si>
    <t>LbD05</t>
  </si>
  <si>
    <t>LbD08</t>
  </si>
  <si>
    <t>LcD</t>
  </si>
  <si>
    <t>LcD05</t>
  </si>
  <si>
    <t>LcD02</t>
  </si>
  <si>
    <t>Dep 03</t>
  </si>
  <si>
    <t>LcD09</t>
  </si>
  <si>
    <t>LcD13</t>
  </si>
  <si>
    <t>LcD04</t>
  </si>
  <si>
    <t>Multiple, connected</t>
  </si>
  <si>
    <t>LcD06</t>
  </si>
  <si>
    <t>LcD15</t>
  </si>
  <si>
    <t>Multiple/connected</t>
  </si>
  <si>
    <t>LcD12</t>
  </si>
  <si>
    <t>LcD01</t>
  </si>
  <si>
    <t>LcD08</t>
  </si>
  <si>
    <t>LcD07</t>
  </si>
  <si>
    <t>Multiple prob.</t>
  </si>
  <si>
    <t>LcD10</t>
  </si>
  <si>
    <t>LdD</t>
  </si>
  <si>
    <t>LdD14</t>
  </si>
  <si>
    <t>KH/LoF?</t>
  </si>
  <si>
    <t>LdD02</t>
  </si>
  <si>
    <t>LdD12</t>
  </si>
  <si>
    <t>LdD09</t>
  </si>
  <si>
    <t>LdD11</t>
  </si>
  <si>
    <t>LeD</t>
  </si>
  <si>
    <t>LeD15</t>
  </si>
  <si>
    <t>LM01</t>
  </si>
  <si>
    <t>LoF??</t>
  </si>
  <si>
    <t>LeD03</t>
  </si>
  <si>
    <t>LeD11</t>
  </si>
  <si>
    <t>LeD02</t>
  </si>
  <si>
    <t>RH</t>
  </si>
  <si>
    <t>RH06</t>
  </si>
  <si>
    <t>RH07</t>
  </si>
  <si>
    <t>RH14</t>
  </si>
  <si>
    <t>RH10</t>
  </si>
  <si>
    <t>RH01</t>
  </si>
  <si>
    <t>RH12</t>
  </si>
  <si>
    <t>RH02</t>
  </si>
  <si>
    <t>RH04</t>
  </si>
  <si>
    <t>RH13</t>
  </si>
  <si>
    <t>RH05</t>
  </si>
  <si>
    <t>RH08</t>
  </si>
  <si>
    <t>RH15</t>
  </si>
  <si>
    <t>LaH</t>
  </si>
  <si>
    <t>LaH03</t>
  </si>
  <si>
    <t>LaH15</t>
  </si>
  <si>
    <t>LaH08</t>
  </si>
  <si>
    <t>LaH11</t>
  </si>
  <si>
    <t>LaH10</t>
  </si>
  <si>
    <t>LaH02</t>
  </si>
  <si>
    <t>LaH04</t>
  </si>
  <si>
    <t>LaH07</t>
  </si>
  <si>
    <t>LaH01</t>
  </si>
  <si>
    <t>LaH05</t>
  </si>
  <si>
    <t>LaH13</t>
  </si>
  <si>
    <t>LaH12</t>
  </si>
  <si>
    <t>LbH</t>
  </si>
  <si>
    <t>LbH01</t>
  </si>
  <si>
    <t>LbH09</t>
  </si>
  <si>
    <t>LbH14</t>
  </si>
  <si>
    <t>May be multiple</t>
  </si>
  <si>
    <t>LbH15</t>
  </si>
  <si>
    <t>May be connected</t>
  </si>
  <si>
    <t>LbH04</t>
  </si>
  <si>
    <t>LbH06</t>
  </si>
  <si>
    <t>LbH07</t>
  </si>
  <si>
    <t>LbH13</t>
  </si>
  <si>
    <t>LbH05</t>
  </si>
  <si>
    <t>LbH10</t>
  </si>
  <si>
    <t>LbH11</t>
  </si>
  <si>
    <t>May be multiple/connected</t>
  </si>
  <si>
    <t>LcH</t>
  </si>
  <si>
    <t>LcH06</t>
  </si>
  <si>
    <t>LcH15</t>
  </si>
  <si>
    <t>LcH09</t>
  </si>
  <si>
    <t>LcH04</t>
  </si>
  <si>
    <t>LcH01</t>
  </si>
  <si>
    <t>LcH05</t>
  </si>
  <si>
    <t>LcH12</t>
  </si>
  <si>
    <t>LcH10</t>
  </si>
  <si>
    <t>LcH02</t>
  </si>
  <si>
    <t>LcH03</t>
  </si>
  <si>
    <t>LcH14</t>
  </si>
  <si>
    <t>LcH07</t>
  </si>
  <si>
    <t>LdH</t>
  </si>
  <si>
    <t>LdH11</t>
  </si>
  <si>
    <t>LdH06</t>
  </si>
  <si>
    <t>LdH12</t>
  </si>
  <si>
    <t>LdH15</t>
  </si>
  <si>
    <t>LdH13</t>
  </si>
  <si>
    <t>LdH08</t>
  </si>
  <si>
    <t>LeH</t>
  </si>
  <si>
    <t>LeH13</t>
  </si>
  <si>
    <t>LeH15</t>
  </si>
  <si>
    <t>LeH09</t>
  </si>
  <si>
    <t>LeH02</t>
  </si>
  <si>
    <t>LeH08</t>
  </si>
  <si>
    <t>LeH03</t>
  </si>
  <si>
    <t>Salman</t>
  </si>
  <si>
    <t>SP-B78</t>
  </si>
  <si>
    <t>Filter change before</t>
  </si>
  <si>
    <t>SP-B83</t>
  </si>
  <si>
    <t>SP-B81</t>
  </si>
  <si>
    <t>SP-B80</t>
  </si>
  <si>
    <t>3 defects (Major and minors), even connecting defects for the major crack initiation</t>
  </si>
  <si>
    <t>SP-B70</t>
  </si>
  <si>
    <t>SP-B64</t>
  </si>
  <si>
    <t>SP-B66</t>
  </si>
  <si>
    <t>SP-B68</t>
  </si>
  <si>
    <t>SP-B54</t>
  </si>
  <si>
    <t>Need to redo</t>
  </si>
  <si>
    <t>SP-B40</t>
  </si>
  <si>
    <t>SP-B53</t>
  </si>
  <si>
    <t>SP-B38</t>
  </si>
  <si>
    <t>SP-B15</t>
  </si>
  <si>
    <t>SP-B10</t>
  </si>
  <si>
    <t>SP-B13</t>
  </si>
  <si>
    <t>SP-B12</t>
  </si>
  <si>
    <t>SP-B23</t>
  </si>
  <si>
    <t>SP-B29</t>
  </si>
  <si>
    <t>SP-B25</t>
  </si>
  <si>
    <t>SP-B27</t>
  </si>
  <si>
    <t>2 defects (Major and Minor)</t>
  </si>
  <si>
    <t>SP-A78</t>
  </si>
  <si>
    <t xml:space="preserve">after filter change </t>
  </si>
  <si>
    <t>SP-A83</t>
  </si>
  <si>
    <t>SP-A81</t>
  </si>
  <si>
    <t>SP-A80</t>
  </si>
  <si>
    <t>SP-A70</t>
  </si>
  <si>
    <t>SP-A64</t>
  </si>
  <si>
    <t>SP-A66</t>
  </si>
  <si>
    <t>SP-A68</t>
  </si>
  <si>
    <t>SP-A54</t>
  </si>
  <si>
    <t>Subject to debate</t>
  </si>
  <si>
    <t>SP-A40</t>
  </si>
  <si>
    <t>SP-A53</t>
  </si>
  <si>
    <t>SP-A38</t>
  </si>
  <si>
    <t>Need to redo after sonicating</t>
  </si>
  <si>
    <t>SP-A15</t>
  </si>
  <si>
    <t>SP-A10</t>
  </si>
  <si>
    <t>May be coalesced, need to redo after sonicating</t>
  </si>
  <si>
    <t>SP-A13</t>
  </si>
  <si>
    <t>SP-A12</t>
  </si>
  <si>
    <t>SP-A23</t>
  </si>
  <si>
    <t>SP-A29</t>
  </si>
  <si>
    <t>SP-A25</t>
  </si>
  <si>
    <t>SP-A27</t>
  </si>
  <si>
    <t>KPV</t>
  </si>
  <si>
    <t>SP-a13</t>
  </si>
  <si>
    <t>Multiple defects nearby</t>
  </si>
  <si>
    <t>SP-a14</t>
  </si>
  <si>
    <t>SP-a15</t>
  </si>
  <si>
    <t>SP-a18</t>
  </si>
  <si>
    <t>SP-a19</t>
  </si>
  <si>
    <t>SP-a20</t>
  </si>
  <si>
    <t>SP-a21</t>
  </si>
  <si>
    <t>SP-a23</t>
  </si>
  <si>
    <t>SP-a26</t>
  </si>
  <si>
    <t>SP-a27</t>
  </si>
  <si>
    <t>SP-a28</t>
  </si>
  <si>
    <t>SP-a5</t>
  </si>
  <si>
    <t>SP-a6</t>
  </si>
  <si>
    <t>One small near</t>
  </si>
  <si>
    <t>SP-a7</t>
  </si>
  <si>
    <t>Small defect closeby</t>
  </si>
  <si>
    <t>SP-b1</t>
  </si>
  <si>
    <t>SP-b10</t>
  </si>
  <si>
    <t>SP-b11</t>
  </si>
  <si>
    <t>SP-b17</t>
  </si>
  <si>
    <t>Blisters</t>
  </si>
  <si>
    <t>SP-b18</t>
  </si>
  <si>
    <t>Possible defects might have contributed</t>
  </si>
  <si>
    <t>SP-b19</t>
  </si>
  <si>
    <t>SP-b2</t>
  </si>
  <si>
    <t>SP-b22</t>
  </si>
  <si>
    <t>SP-b23</t>
  </si>
  <si>
    <t>2 Pore coalesced</t>
  </si>
  <si>
    <t>SP-b24</t>
  </si>
  <si>
    <t>SP-b25</t>
  </si>
  <si>
    <t>SP-b27</t>
  </si>
  <si>
    <t>SP-b7</t>
  </si>
  <si>
    <t>SP-b8</t>
  </si>
  <si>
    <t>SP-c2_1</t>
  </si>
  <si>
    <t>SP-c2_10</t>
  </si>
  <si>
    <t>2 connected</t>
  </si>
  <si>
    <t>SP-c2_17</t>
  </si>
  <si>
    <t>SP-c2_19</t>
  </si>
  <si>
    <t>SP-c2_2</t>
  </si>
  <si>
    <t>2 connected, 1 small defect nearby</t>
  </si>
  <si>
    <t>SP-c2_21</t>
  </si>
  <si>
    <t>SP-c2_22</t>
  </si>
  <si>
    <t>SP-c2_23</t>
  </si>
  <si>
    <t>I think it is multiple, please recheck</t>
  </si>
  <si>
    <t>SP-c2_26</t>
  </si>
  <si>
    <t>SP-c2_28</t>
  </si>
  <si>
    <t>Weird</t>
  </si>
  <si>
    <t>SP-c2_3</t>
  </si>
  <si>
    <t>SP-c2_6</t>
  </si>
  <si>
    <t>SP-c2_7</t>
  </si>
  <si>
    <t>SP-c2_8</t>
  </si>
  <si>
    <t>2 adjoining</t>
  </si>
  <si>
    <t>SP-cf_10</t>
  </si>
  <si>
    <t>SP-cf_11</t>
  </si>
  <si>
    <t>Not confirm about shape</t>
  </si>
  <si>
    <t>SP-cf_17</t>
  </si>
  <si>
    <t>SP-cf_2</t>
  </si>
  <si>
    <t>SP-cf_21</t>
  </si>
  <si>
    <t>SP-cf_23</t>
  </si>
  <si>
    <t>SP-cf_26</t>
  </si>
  <si>
    <t>SP-cf_28</t>
  </si>
  <si>
    <t>SP-cf_3</t>
  </si>
  <si>
    <t>SP-cf_7</t>
  </si>
  <si>
    <t>SP-cf1</t>
  </si>
  <si>
    <t>SP-cf19</t>
  </si>
  <si>
    <t>SP-cf22</t>
  </si>
  <si>
    <t>SP-cf27</t>
  </si>
  <si>
    <t>SP-cf8</t>
  </si>
  <si>
    <t>SP-d_v2_1</t>
  </si>
  <si>
    <t>SP-d_v2_10</t>
  </si>
  <si>
    <t>SP-d_v2_17</t>
  </si>
  <si>
    <t>SP-d_v2_19</t>
  </si>
  <si>
    <t>SP-d_v2_2</t>
  </si>
  <si>
    <t>SP-d_v2_21</t>
  </si>
  <si>
    <t>SP-d_v2_22</t>
  </si>
  <si>
    <t>SP-d_v2_24</t>
  </si>
  <si>
    <t>SP-d_v2_26</t>
  </si>
  <si>
    <t>SP-d_v2_28</t>
  </si>
  <si>
    <t>SP-d_v2_3</t>
  </si>
  <si>
    <t>SP-d_v2_6</t>
  </si>
  <si>
    <t>SP-d_v2_7</t>
  </si>
  <si>
    <t>Need to check if it is multiple</t>
  </si>
  <si>
    <t>SP-d_v2_8</t>
  </si>
  <si>
    <t>SP-e1</t>
  </si>
  <si>
    <t>SP-e10</t>
  </si>
  <si>
    <t>SP-e11</t>
  </si>
  <si>
    <t>SP-e17</t>
  </si>
  <si>
    <t>SP-e19</t>
  </si>
  <si>
    <t>SP-e2</t>
  </si>
  <si>
    <t>SP-e21</t>
  </si>
  <si>
    <t>SP-e22</t>
  </si>
  <si>
    <t>SP-e23</t>
  </si>
  <si>
    <t>SP-e26</t>
  </si>
  <si>
    <t>SP-e27</t>
  </si>
  <si>
    <t>SP-e28</t>
  </si>
  <si>
    <t>Possible two defects</t>
  </si>
  <si>
    <t>SP-e3</t>
  </si>
  <si>
    <t>SP-e7</t>
  </si>
  <si>
    <t>SP-e8</t>
  </si>
  <si>
    <t>Borderline internal</t>
  </si>
  <si>
    <t>SP-f12</t>
  </si>
  <si>
    <t>SP-f13</t>
  </si>
  <si>
    <t>SP-f14</t>
  </si>
  <si>
    <t>SP-f15</t>
  </si>
  <si>
    <t>SP-f16</t>
  </si>
  <si>
    <t>SP-f17</t>
  </si>
  <si>
    <t>SP-f2</t>
  </si>
  <si>
    <t>SP-f21</t>
  </si>
  <si>
    <t>SP-f22</t>
  </si>
  <si>
    <t>SP-f23</t>
  </si>
  <si>
    <t>SP-f26</t>
  </si>
  <si>
    <t>SP-f27</t>
  </si>
  <si>
    <t>SP-f28</t>
  </si>
  <si>
    <t>Cracks visible/ Multiple</t>
  </si>
  <si>
    <t>SP-f5</t>
  </si>
  <si>
    <t>SP-f6</t>
  </si>
  <si>
    <t>SP-g2_1</t>
  </si>
  <si>
    <t>SP-g2_10</t>
  </si>
  <si>
    <t>SP-g2_11</t>
  </si>
  <si>
    <t>SP-g2_18</t>
  </si>
  <si>
    <t>SP-g2_2</t>
  </si>
  <si>
    <t>SP-g2_21</t>
  </si>
  <si>
    <t>One nearby</t>
  </si>
  <si>
    <t>SP-g2_22</t>
  </si>
  <si>
    <t>SP-g2_23</t>
  </si>
  <si>
    <t>SP-g2_26</t>
  </si>
  <si>
    <t>SP-g2_27</t>
  </si>
  <si>
    <t>SP-g2_28</t>
  </si>
  <si>
    <t>SP-g2_3</t>
  </si>
  <si>
    <t>SP-g2_6</t>
  </si>
  <si>
    <t>SP-g2_7</t>
  </si>
  <si>
    <t>Squished</t>
  </si>
  <si>
    <t>SP-g2_8</t>
  </si>
  <si>
    <t>Arash</t>
  </si>
  <si>
    <t>1-i</t>
  </si>
  <si>
    <t>Print 1</t>
  </si>
  <si>
    <t>9-i</t>
  </si>
  <si>
    <t>3-i</t>
  </si>
  <si>
    <t>25-i</t>
  </si>
  <si>
    <t>40-i</t>
  </si>
  <si>
    <t>36-i</t>
  </si>
  <si>
    <t>31-i</t>
  </si>
  <si>
    <t>23-i</t>
  </si>
  <si>
    <t>44-i</t>
  </si>
  <si>
    <t>66-i</t>
  </si>
  <si>
    <t>53-i</t>
  </si>
  <si>
    <t>61-i</t>
  </si>
  <si>
    <t>47-i</t>
  </si>
  <si>
    <t>68-i</t>
  </si>
  <si>
    <t>92-i</t>
  </si>
  <si>
    <t>76-i</t>
  </si>
  <si>
    <t>84-i</t>
  </si>
  <si>
    <t>14-i</t>
  </si>
  <si>
    <t>78-i</t>
  </si>
  <si>
    <t>90-i</t>
  </si>
  <si>
    <t>Print 4</t>
  </si>
  <si>
    <t>14-iv</t>
  </si>
  <si>
    <t>18-iv</t>
  </si>
  <si>
    <t>1-iv</t>
  </si>
  <si>
    <t>22-iv</t>
  </si>
  <si>
    <t>25-iv</t>
  </si>
  <si>
    <t>27-iv</t>
  </si>
  <si>
    <t>33-iv</t>
  </si>
  <si>
    <t>38-iv</t>
  </si>
  <si>
    <t>3-iv</t>
  </si>
  <si>
    <t>42-iv</t>
  </si>
  <si>
    <t>46-iv</t>
  </si>
  <si>
    <t>50-iv</t>
  </si>
  <si>
    <t>2 defects?</t>
  </si>
  <si>
    <t>56-iv</t>
  </si>
  <si>
    <t>58-iv</t>
  </si>
  <si>
    <t>64-iv</t>
  </si>
  <si>
    <t>69-iv</t>
  </si>
  <si>
    <t>71-iv</t>
  </si>
  <si>
    <t>73-iv</t>
  </si>
  <si>
    <t>GEP</t>
  </si>
  <si>
    <t>79-iv</t>
  </si>
  <si>
    <t>81-iv</t>
  </si>
  <si>
    <t>87-iv</t>
  </si>
  <si>
    <t>92-iv</t>
  </si>
  <si>
    <t>94-iv</t>
  </si>
  <si>
    <t>9-iv</t>
  </si>
  <si>
    <t>Print 8</t>
  </si>
  <si>
    <t>1-viii</t>
  </si>
  <si>
    <t>14-viii</t>
  </si>
  <si>
    <t>18-viii</t>
  </si>
  <si>
    <t>Mutiple</t>
  </si>
  <si>
    <t>9-viii</t>
  </si>
  <si>
    <t>3-viii</t>
  </si>
  <si>
    <t>27-viii</t>
  </si>
  <si>
    <t>42-viii</t>
  </si>
  <si>
    <t>33-viii</t>
  </si>
  <si>
    <t>25-viii</t>
  </si>
  <si>
    <t>38-viii</t>
  </si>
  <si>
    <t>46-viii</t>
  </si>
  <si>
    <t>69-viii</t>
  </si>
  <si>
    <t>56-viii</t>
  </si>
  <si>
    <t>64--viii</t>
  </si>
  <si>
    <t>71-viii</t>
  </si>
  <si>
    <t>Multiple KH</t>
  </si>
  <si>
    <t>50-viii</t>
  </si>
  <si>
    <t>94-viii</t>
  </si>
  <si>
    <t>81-viii</t>
  </si>
  <si>
    <t>87-viii</t>
  </si>
  <si>
    <t>92-viii</t>
  </si>
  <si>
    <t>73-viii</t>
  </si>
  <si>
    <t>Perimeter</t>
  </si>
  <si>
    <t>Equivalent radius</t>
  </si>
  <si>
    <t>Laser power</t>
  </si>
  <si>
    <t>Scanning speed</t>
  </si>
  <si>
    <t>Hatch distance</t>
  </si>
  <si>
    <t>Layer thickness</t>
  </si>
  <si>
    <t>Scanning speed (mm/s)</t>
  </si>
  <si>
    <t>Hatch distance (um)</t>
  </si>
  <si>
    <t>Major axis</t>
  </si>
  <si>
    <t>Minor axis</t>
  </si>
  <si>
    <t>Layer thickness (um)</t>
  </si>
  <si>
    <t>Volume energy density</t>
  </si>
  <si>
    <t>Volume energy density (J/mm3)</t>
  </si>
  <si>
    <t>Volume</t>
  </si>
  <si>
    <t>Surface area</t>
  </si>
  <si>
    <t>Major axis length</t>
  </si>
  <si>
    <t>Ellipsoid volume</t>
  </si>
  <si>
    <t>Extent</t>
  </si>
  <si>
    <t>Sparseness</t>
  </si>
  <si>
    <t>Flatness</t>
  </si>
  <si>
    <t>Index</t>
  </si>
  <si>
    <t>XCT</t>
  </si>
  <si>
    <t>Non-XCT</t>
  </si>
  <si>
    <t>Status</t>
  </si>
  <si>
    <t>Overheating</t>
  </si>
  <si>
    <t>Underheating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</si>
</sst>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9">
    <xf numFmtId="0" fontId="0" fillId="0" borderId="0" xfId="0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7" borderId="1" xfId="0" applyFill="1" applyBorder="1"/>
    <xf numFmtId="0" fontId="1" fillId="2" borderId="1" xfId="1" applyBorder="1"/>
    <xf numFmtId="0" fontId="0" fillId="7" borderId="0" xfId="0" applyFill="1"/>
    <xf numFmtId="0" fontId="1" fillId="2" borderId="0" xfId="1"/>
    <xf numFmtId="0" fontId="0" fillId="7" borderId="2" xfId="0" applyFill="1" applyBorder="1"/>
    <xf numFmtId="1" fontId="0" fillId="0" borderId="1" xfId="0" applyNumberFormat="1" applyBorder="1"/>
    <xf numFmtId="0" fontId="0" fillId="8" borderId="0" xfId="0" applyFill="1"/>
    <xf numFmtId="2" fontId="0" fillId="0" borderId="1" xfId="0" applyNumberFormat="1" applyBorder="1"/>
    <xf numFmtId="0" fontId="0" fillId="8" borderId="2" xfId="0" applyFill="1" applyBorder="1"/>
    <xf numFmtId="0" fontId="0" fillId="8" borderId="1" xfId="0" applyFill="1" applyBorder="1"/>
    <xf numFmtId="0" fontId="0" fillId="4" borderId="1" xfId="0" applyFill="1" applyBorder="1"/>
    <xf numFmtId="1" fontId="0" fillId="0" borderId="2" xfId="0" applyNumberFormat="1" applyBorder="1"/>
    <xf numFmtId="2" fontId="0" fillId="0" borderId="2" xfId="0" applyNumberFormat="1" applyBorder="1"/>
    <xf numFmtId="0" fontId="0" fillId="9" borderId="0" xfId="0" applyFill="1"/>
    <xf numFmtId="0" fontId="0" fillId="9" borderId="2" xfId="0" applyFill="1" applyBorder="1"/>
    <xf numFmtId="0" fontId="0" fillId="9" borderId="1" xfId="0" applyFill="1" applyBorder="1"/>
    <xf numFmtId="165" fontId="0" fillId="0" borderId="0" xfId="0" applyNumberFormat="1"/>
    <xf numFmtId="165" fontId="0" fillId="0" borderId="1" xfId="0" applyNumberFormat="1" applyBorder="1"/>
    <xf numFmtId="0" fontId="0" fillId="6" borderId="1" xfId="0" applyFill="1" applyBorder="1"/>
    <xf numFmtId="0" fontId="0" fillId="4" borderId="0" xfId="0" applyFill="1" applyAlignment="1">
      <alignment horizontal="center"/>
    </xf>
    <xf numFmtId="0" fontId="5" fillId="0" borderId="0" xfId="0" applyFont="1"/>
    <xf numFmtId="2" fontId="6" fillId="0" borderId="0" xfId="0" applyNumberFormat="1" applyFont="1"/>
    <xf numFmtId="2" fontId="5" fillId="0" borderId="0" xfId="0" applyNumberFormat="1" applyFont="1"/>
    <xf numFmtId="0" fontId="5" fillId="3" borderId="0" xfId="0" applyFont="1" applyFill="1"/>
    <xf numFmtId="2" fontId="0" fillId="4" borderId="0" xfId="0" applyNumberFormat="1" applyFill="1"/>
    <xf numFmtId="0" fontId="0" fillId="4" borderId="0" xfId="0" applyFill="1"/>
    <xf numFmtId="0" fontId="5" fillId="4" borderId="0" xfId="0" applyFont="1" applyFill="1"/>
    <xf numFmtId="2" fontId="6" fillId="4" borderId="0" xfId="0" applyNumberFormat="1" applyFont="1" applyFill="1"/>
    <xf numFmtId="2" fontId="5" fillId="4" borderId="0" xfId="0" applyNumberFormat="1" applyFont="1" applyFill="1"/>
    <xf numFmtId="0" fontId="0" fillId="5" borderId="0" xfId="0" applyFill="1"/>
    <xf numFmtId="2" fontId="5" fillId="5" borderId="0" xfId="0" applyNumberFormat="1" applyFont="1" applyFill="1"/>
    <xf numFmtId="0" fontId="5" fillId="0" borderId="1" xfId="0" applyFont="1" applyBorder="1"/>
    <xf numFmtId="2" fontId="6" fillId="0" borderId="1" xfId="0" applyNumberFormat="1" applyFont="1" applyBorder="1"/>
    <xf numFmtId="2" fontId="5" fillId="0" borderId="1" xfId="0" applyNumberFormat="1" applyFont="1" applyBorder="1"/>
    <xf numFmtId="0" fontId="5" fillId="0" borderId="2" xfId="0" applyFont="1" applyBorder="1"/>
    <xf numFmtId="0" fontId="5" fillId="7" borderId="1" xfId="0" applyFont="1" applyFill="1" applyBorder="1"/>
    <xf numFmtId="0" fontId="5" fillId="7" borderId="0" xfId="0" applyFont="1" applyFill="1"/>
    <xf numFmtId="0" fontId="5" fillId="7" borderId="2" xfId="0" applyFont="1" applyFill="1" applyBorder="1"/>
    <xf numFmtId="1" fontId="0" fillId="8" borderId="0" xfId="0" applyNumberFormat="1" applyFill="1"/>
    <xf numFmtId="0" fontId="5" fillId="8" borderId="0" xfId="0" applyFont="1" applyFill="1"/>
    <xf numFmtId="0" fontId="5" fillId="8" borderId="2" xfId="0" applyFont="1" applyFill="1" applyBorder="1"/>
    <xf numFmtId="0" fontId="5" fillId="8" borderId="1" xfId="0" applyFont="1" applyFill="1" applyBorder="1"/>
    <xf numFmtId="2" fontId="6" fillId="0" borderId="2" xfId="0" applyNumberFormat="1" applyFont="1" applyBorder="1"/>
    <xf numFmtId="2" fontId="5" fillId="0" borderId="2" xfId="0" applyNumberFormat="1" applyFont="1" applyBorder="1"/>
    <xf numFmtId="0" fontId="5" fillId="9" borderId="0" xfId="0" applyFont="1" applyFill="1"/>
    <xf numFmtId="0" fontId="5" fillId="9" borderId="2" xfId="0" applyFont="1" applyFill="1" applyBorder="1"/>
    <xf numFmtId="165" fontId="5" fillId="0" borderId="1" xfId="0" applyNumberFormat="1" applyFont="1" applyBorder="1"/>
    <xf numFmtId="165" fontId="5" fillId="0" borderId="0" xfId="0" applyNumberFormat="1" applyFont="1"/>
    <xf numFmtId="0" fontId="0" fillId="11" borderId="1" xfId="0" applyFill="1" applyBorder="1"/>
    <xf numFmtId="0" fontId="5" fillId="11" borderId="1" xfId="0" applyFont="1" applyFill="1" applyBorder="1"/>
    <xf numFmtId="0" fontId="5" fillId="11" borderId="0" xfId="0" applyFont="1" applyFill="1"/>
    <xf numFmtId="0" fontId="0" fillId="12" borderId="0" xfId="0" applyFill="1"/>
    <xf numFmtId="0" fontId="0" fillId="3" borderId="1" xfId="0" applyFill="1" applyBorder="1"/>
    <xf numFmtId="0" fontId="0" fillId="13" borderId="1" xfId="0" applyFill="1" applyBorder="1"/>
    <xf numFmtId="0" fontId="0" fillId="4" borderId="2" xfId="0" applyFill="1" applyBorder="1"/>
    <xf numFmtId="0" fontId="4" fillId="10" borderId="0" xfId="0" applyFont="1" applyFill="1"/>
    <xf numFmtId="1" fontId="1" fillId="2" borderId="2" xfId="1" applyNumberFormat="1" applyBorder="1"/>
    <xf numFmtId="0" fontId="5" fillId="9" borderId="1" xfId="0" applyFont="1" applyFill="1" applyBorder="1"/>
    <xf numFmtId="0" fontId="0" fillId="12" borderId="1" xfId="0" applyFill="1" applyBorder="1"/>
    <xf numFmtId="0" fontId="1" fillId="2" borderId="0" xfId="1" applyBorder="1"/>
    <xf numFmtId="0" fontId="0" fillId="14" borderId="0" xfId="0" applyFill="1"/>
    <xf numFmtId="0" fontId="7" fillId="15" borderId="0" xfId="0" applyFont="1" applyFill="1"/>
    <xf numFmtId="0" fontId="7" fillId="3" borderId="0" xfId="0" applyFont="1" applyFill="1"/>
    <xf numFmtId="2" fontId="7" fillId="4" borderId="0" xfId="0" applyNumberFormat="1" applyFont="1" applyFill="1"/>
    <xf numFmtId="0" fontId="7" fillId="4" borderId="0" xfId="0" applyFont="1" applyFill="1"/>
    <xf numFmtId="2" fontId="7" fillId="9" borderId="0" xfId="0" applyNumberFormat="1" applyFont="1" applyFill="1"/>
    <xf numFmtId="0" fontId="7" fillId="9" borderId="0" xfId="0" applyFont="1" applyFill="1"/>
    <xf numFmtId="0" fontId="7" fillId="16" borderId="0" xfId="0" applyFont="1" applyFill="1"/>
    <xf numFmtId="0" fontId="7" fillId="17" borderId="0" xfId="0" applyFont="1" applyFill="1"/>
    <xf numFmtId="0" fontId="7" fillId="15" borderId="2" xfId="0" applyFont="1" applyFill="1" applyBorder="1"/>
    <xf numFmtId="0" fontId="7" fillId="17" borderId="2" xfId="0" applyFont="1" applyFill="1" applyBorder="1"/>
    <xf numFmtId="0" fontId="7" fillId="18" borderId="2" xfId="0" applyFont="1" applyFill="1" applyBorder="1"/>
    <xf numFmtId="2" fontId="7" fillId="18" borderId="2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7" fillId="17" borderId="7" xfId="0" applyFont="1" applyFill="1" applyBorder="1"/>
    <xf numFmtId="0" fontId="7" fillId="17" borderId="6" xfId="0" applyFont="1" applyFill="1" applyBorder="1"/>
    <xf numFmtId="0" fontId="7" fillId="18" borderId="7" xfId="0" applyFont="1" applyFill="1" applyBorder="1"/>
    <xf numFmtId="0" fontId="7" fillId="18" borderId="6" xfId="0" applyFont="1" applyFill="1" applyBorder="1"/>
    <xf numFmtId="2" fontId="7" fillId="9" borderId="7" xfId="0" applyNumberFormat="1" applyFont="1" applyFill="1" applyBorder="1"/>
    <xf numFmtId="2" fontId="7" fillId="9" borderId="2" xfId="0" applyNumberFormat="1" applyFont="1" applyFill="1" applyBorder="1"/>
    <xf numFmtId="0" fontId="7" fillId="9" borderId="2" xfId="0" applyFont="1" applyFill="1" applyBorder="1"/>
    <xf numFmtId="2" fontId="7" fillId="9" borderId="6" xfId="0" applyNumberFormat="1" applyFont="1" applyFill="1" applyBorder="1"/>
    <xf numFmtId="0" fontId="7" fillId="16" borderId="8" xfId="0" applyFont="1" applyFill="1" applyBorder="1"/>
    <xf numFmtId="0" fontId="7" fillId="3" borderId="7" xfId="0" applyFont="1" applyFill="1" applyBorder="1"/>
    <xf numFmtId="0" fontId="7" fillId="3" borderId="6" xfId="0" applyFont="1" applyFill="1" applyBorder="1"/>
    <xf numFmtId="0" fontId="8" fillId="0" borderId="0" xfId="0" applyFont="1"/>
    <xf numFmtId="0" fontId="7" fillId="19" borderId="7" xfId="0" applyFont="1" applyFill="1" applyBorder="1"/>
    <xf numFmtId="0" fontId="0" fillId="20" borderId="0" xfId="0" applyFill="1"/>
    <xf numFmtId="0" fontId="0" fillId="21" borderId="0" xfId="0" applyFill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data'!$BD$3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'[1]Fatigue data'!$BC$4:$BC$9</c:f>
              <c:strCache>
                <c:ptCount val="6"/>
                <c:pt idx="0">
                  <c:v>Comments</c:v>
                </c:pt>
              </c:strCache>
            </c:strRef>
          </c:xVal>
          <c:yVal>
            <c:numRef>
              <c:f>'[1]Fatigue data'!$BD$4:$BD$9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7-4122-AB10-FB1A524F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data'!$BE$3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'[1]Fatigue data'!$BD$4:$BD$9</c:f>
              <c:numCache>
                <c:formatCode>General</c:formatCode>
                <c:ptCount val="6"/>
              </c:numCache>
            </c:numRef>
          </c:xVal>
          <c:yVal>
            <c:numRef>
              <c:f>'[1]Fatigue data'!$BE$4:$BE$9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F75-80F4-F8DD5C5B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data'!$BE$3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'[1]Fatigue data'!$BD$4:$BD$9</c:f>
              <c:numCache>
                <c:formatCode>General</c:formatCode>
                <c:ptCount val="6"/>
              </c:numCache>
            </c:numRef>
          </c:xVal>
          <c:yVal>
            <c:numRef>
              <c:f>'[1]Fatigue data'!$BE$4:$BE$9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5-4226-BB33-13F618A1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data'!$BF$3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'[1]Fatigue data'!$BE$4:$BE$9</c:f>
              <c:numCache>
                <c:formatCode>General</c:formatCode>
                <c:ptCount val="6"/>
              </c:numCache>
            </c:numRef>
          </c:xVal>
          <c:yVal>
            <c:numRef>
              <c:f>'[1]Fatigue data'!$BF$4:$BF$9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8-4CCF-893F-FC917C77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'[1]Fatigue data'!$BF$3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'[1]Fatigue data'!$BE$4:$BE$9</c:f>
              <c:numCache>
                <c:formatCode>General</c:formatCode>
                <c:ptCount val="6"/>
              </c:numCache>
            </c:numRef>
          </c:xVal>
          <c:yVal>
            <c:numRef>
              <c:f>'[1]Fatigue data'!$BF$4:$BF$9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6-48D4-83C6-71C762BD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2672"/>
        <c:axId val="1272333088"/>
      </c:scatterChart>
      <c:valAx>
        <c:axId val="1272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3088"/>
        <c:crosses val="autoZero"/>
        <c:crossBetween val="midCat"/>
      </c:valAx>
      <c:valAx>
        <c:axId val="127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8656FC6B-54FA-4027-8FCE-BA271B43EA9A}" formatIdx="0">
          <cx:tx>
            <cx:txData>
              <cx:f>_xlchart.v1.1</cx:f>
              <cx:v/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8656FC6B-54FA-4027-8FCE-BA271B43EA9A}" formatIdx="0">
          <cx:tx>
            <cx:txData>
              <cx:f>_xlchart.v1.10</cx:f>
              <cx:v/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8656FC6B-54FA-4027-8FCE-BA271B43EA9A}" formatIdx="0">
          <cx:tx>
            <cx:txData>
              <cx:f>_xlchart.v1.7</cx:f>
              <cx:v/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8656FC6B-54FA-4027-8FCE-BA271B43EA9A}" formatIdx="0">
          <cx:tx>
            <cx:txData>
              <cx:f>_xlchart.v1.4</cx:f>
              <cx:v/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947737</xdr:colOff>
      <xdr:row>156</xdr:row>
      <xdr:rowOff>19050</xdr:rowOff>
    </xdr:from>
    <xdr:to>
      <xdr:col>47</xdr:col>
      <xdr:colOff>271462</xdr:colOff>
      <xdr:row>169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44772-C80B-43C1-B8B6-686D6DCEAD00}"/>
            </a:ext>
            <a:ext uri="{147F2762-F138-4A5C-976F-8EAC2B608ADB}">
              <a16:predDERef xmlns:a16="http://schemas.microsoft.com/office/drawing/2014/main" pred="{1CA47D4F-72BF-492E-BD33-C2D0B00FD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42862</xdr:colOff>
      <xdr:row>150</xdr:row>
      <xdr:rowOff>85725</xdr:rowOff>
    </xdr:from>
    <xdr:to>
      <xdr:col>58</xdr:col>
      <xdr:colOff>347662</xdr:colOff>
      <xdr:row>164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7933A9-CB0E-4096-B97B-8E893E4F5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77687" y="28508325"/>
              <a:ext cx="6505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51</xdr:col>
      <xdr:colOff>271462</xdr:colOff>
      <xdr:row>177</xdr:row>
      <xdr:rowOff>19050</xdr:rowOff>
    </xdr:from>
    <xdr:to>
      <xdr:col>58</xdr:col>
      <xdr:colOff>576262</xdr:colOff>
      <xdr:row>191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6D6570-8BE8-4B21-AB4B-B6441573C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</xdr:colOff>
      <xdr:row>149</xdr:row>
      <xdr:rowOff>85725</xdr:rowOff>
    </xdr:from>
    <xdr:to>
      <xdr:col>58</xdr:col>
      <xdr:colOff>347662</xdr:colOff>
      <xdr:row>163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F997BB-C2C1-4D40-8280-1F0C80267F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77687" y="28317825"/>
              <a:ext cx="6505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51</xdr:col>
      <xdr:colOff>271462</xdr:colOff>
      <xdr:row>176</xdr:row>
      <xdr:rowOff>19050</xdr:rowOff>
    </xdr:from>
    <xdr:to>
      <xdr:col>58</xdr:col>
      <xdr:colOff>576262</xdr:colOff>
      <xdr:row>190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405FD3-ADBA-4015-B371-B140E4B6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159</xdr:row>
      <xdr:rowOff>85725</xdr:rowOff>
    </xdr:from>
    <xdr:to>
      <xdr:col>45</xdr:col>
      <xdr:colOff>347662</xdr:colOff>
      <xdr:row>208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D3CC9B1-F5CD-437D-AB71-5006D525BE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67300" y="30222825"/>
              <a:ext cx="1328737" cy="939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0</xdr:colOff>
      <xdr:row>221</xdr:row>
      <xdr:rowOff>19050</xdr:rowOff>
    </xdr:from>
    <xdr:to>
      <xdr:col>45</xdr:col>
      <xdr:colOff>576262</xdr:colOff>
      <xdr:row>235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F6B1-6906-4328-A22C-511625FB9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42862</xdr:colOff>
      <xdr:row>160</xdr:row>
      <xdr:rowOff>85725</xdr:rowOff>
    </xdr:from>
    <xdr:to>
      <xdr:col>65</xdr:col>
      <xdr:colOff>347662</xdr:colOff>
      <xdr:row>209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7009DCC-A7DF-4FC1-B312-1CAEAF97D4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78462" y="30413325"/>
              <a:ext cx="6505575" cy="939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58</xdr:col>
      <xdr:colOff>271462</xdr:colOff>
      <xdr:row>222</xdr:row>
      <xdr:rowOff>19050</xdr:rowOff>
    </xdr:from>
    <xdr:to>
      <xdr:col>65</xdr:col>
      <xdr:colOff>576262</xdr:colOff>
      <xdr:row>236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05E52A-0146-46ED-BE17-D946DCC1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zm0220\Box\AU_Research\FAA\Data_DC\Fatigue%20data\Fatigue%20data_FAA_Defect%20criticality.xlsx" TargetMode="External"/><Relationship Id="rId1" Type="http://schemas.openxmlformats.org/officeDocument/2006/relationships/externalLinkPath" Target="file:///C:\Users\mzm0220\Box\AU_Research\FAA\Data_DC\Fatigue%20data\Fatigue%20data_FAA_Defect%20critic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x-plot"/>
      <sheetName val="Recommended all"/>
      <sheetName val="Fatigue data"/>
      <sheetName val="Filter data_Salman"/>
      <sheetName val="Salman_KPV"/>
      <sheetName val="Fatigue data_Arash"/>
      <sheetName val="Fatigue plot_vertical"/>
      <sheetName val="Fatigue plot_vertical_Max Axis"/>
      <sheetName val="Fat_V_Sur_Mur Sq RT A"/>
      <sheetName val="Fat_V_Arun_Sq RT A"/>
      <sheetName val="Fat_V_Int_Mur Sq RT A"/>
      <sheetName val="Fat plot_V_Actual Sq RT A"/>
      <sheetName val="Fat plot_all_Mur Sq RT A"/>
      <sheetName val="Fat plot_all_Mur Sq RT A (2)"/>
      <sheetName val="Fat plot_all_Ac Sq RT A"/>
      <sheetName val="Fat plot_all_Circ"/>
      <sheetName val="Fat plot_all_2D AR"/>
      <sheetName val="Fat plot_all_Soli"/>
      <sheetName val="Fat plot_all_Dis"/>
      <sheetName val="Fat plot_all_ca"/>
      <sheetName val="Fat plot_V_Mur Sq RT A"/>
      <sheetName val="Fat plot_V_Dis from Surface"/>
      <sheetName val="Fatigue plot_ver_AR"/>
      <sheetName val="Fatigue plot_ver_Cir"/>
      <sheetName val="Fat_Sur_V_Cir"/>
      <sheetName val="Fat_V_Int_Cir"/>
      <sheetName val="Fat_Sur_V_AR"/>
      <sheetName val="Fatigue plot_ver_Round"/>
      <sheetName val="Fatigue plot_ver_Solid"/>
      <sheetName val="Fatigue plot_ver_SQRTAreaY"/>
      <sheetName val="Fatigue plot_vertical (2)"/>
      <sheetName val="Fatigue plot_vertical (3)"/>
      <sheetName val="Fatigue plot_Diag"/>
      <sheetName val="Fatigue plot_Horizontal"/>
      <sheetName val="Recom"/>
      <sheetName val="La"/>
    </sheetNames>
    <sheetDataSet>
      <sheetData sheetId="0" refreshError="1"/>
      <sheetData sheetId="1" refreshError="1"/>
      <sheetData sheetId="2">
        <row r="4">
          <cell r="BC4" t="str">
            <v>Comments</v>
          </cell>
        </row>
      </sheetData>
      <sheetData sheetId="3">
        <row r="15">
          <cell r="C15">
            <v>700</v>
          </cell>
        </row>
      </sheetData>
      <sheetData sheetId="4"/>
      <sheetData sheetId="5">
        <row r="33">
          <cell r="G33">
            <v>700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F369-3E9E-4015-92C7-F8374306568C}">
  <dimension ref="A1:V169"/>
  <sheetViews>
    <sheetView tabSelected="1" zoomScaleNormal="100" workbookViewId="0">
      <selection activeCell="G16" sqref="G16"/>
    </sheetView>
  </sheetViews>
  <sheetFormatPr defaultRowHeight="15" x14ac:dyDescent="0.25"/>
  <cols>
    <col min="1" max="5" width="16.42578125" customWidth="1"/>
    <col min="6" max="6" width="13.140625" customWidth="1"/>
    <col min="7" max="22" width="16.42578125" customWidth="1"/>
  </cols>
  <sheetData>
    <row r="1" spans="1:22" x14ac:dyDescent="0.25">
      <c r="A1" s="77" t="s">
        <v>3</v>
      </c>
      <c r="B1" s="84" t="s">
        <v>555</v>
      </c>
      <c r="C1" s="78" t="s">
        <v>559</v>
      </c>
      <c r="D1" s="78" t="s">
        <v>560</v>
      </c>
      <c r="E1" s="85" t="s">
        <v>563</v>
      </c>
      <c r="F1" s="76" t="s">
        <v>565</v>
      </c>
      <c r="G1" s="86" t="s">
        <v>19</v>
      </c>
      <c r="H1" s="79" t="s">
        <v>18</v>
      </c>
      <c r="I1" s="79" t="s">
        <v>553</v>
      </c>
      <c r="J1" s="79" t="s">
        <v>554</v>
      </c>
      <c r="K1" s="80" t="s">
        <v>561</v>
      </c>
      <c r="L1" s="79" t="s">
        <v>562</v>
      </c>
      <c r="M1" s="79" t="s">
        <v>16</v>
      </c>
      <c r="N1" s="87" t="s">
        <v>17</v>
      </c>
      <c r="O1" s="88" t="s">
        <v>23</v>
      </c>
      <c r="P1" s="89" t="s">
        <v>24</v>
      </c>
      <c r="Q1" s="90" t="s">
        <v>25</v>
      </c>
      <c r="R1" s="89" t="s">
        <v>26</v>
      </c>
      <c r="S1" s="91" t="s">
        <v>27</v>
      </c>
      <c r="T1" s="92" t="s">
        <v>5</v>
      </c>
      <c r="U1" s="93" t="s">
        <v>12</v>
      </c>
      <c r="V1" s="94" t="s">
        <v>9</v>
      </c>
    </row>
    <row r="2" spans="1:22" x14ac:dyDescent="0.25">
      <c r="A2" s="97" t="s">
        <v>41</v>
      </c>
      <c r="B2" s="81">
        <v>280</v>
      </c>
      <c r="C2">
        <v>1200</v>
      </c>
      <c r="D2">
        <v>140</v>
      </c>
      <c r="E2" s="82">
        <v>30</v>
      </c>
      <c r="F2" s="3">
        <f>1000000* B2/(C2*D2*E2)</f>
        <v>55.555555555555557</v>
      </c>
      <c r="G2" s="81">
        <v>291.47242768686169</v>
      </c>
      <c r="H2">
        <v>5126.4579999999996</v>
      </c>
      <c r="I2">
        <v>903.68399999999997</v>
      </c>
      <c r="J2">
        <v>40.395572313138274</v>
      </c>
      <c r="K2">
        <v>112.878</v>
      </c>
      <c r="L2">
        <v>57.825000000000003</v>
      </c>
      <c r="M2">
        <v>204.74299999999999</v>
      </c>
      <c r="N2" s="82">
        <v>106.36799999999999</v>
      </c>
      <c r="O2" s="81">
        <v>0.79</v>
      </c>
      <c r="P2">
        <v>0.51229508196721307</v>
      </c>
      <c r="Q2">
        <v>1.9520000000000002</v>
      </c>
      <c r="R2">
        <v>0.51200000000000001</v>
      </c>
      <c r="S2" s="82">
        <v>0.35399999999999998</v>
      </c>
      <c r="T2" s="83">
        <v>450</v>
      </c>
      <c r="U2" s="81" t="s">
        <v>43</v>
      </c>
      <c r="V2" s="82">
        <v>4305823</v>
      </c>
    </row>
    <row r="3" spans="1:22" x14ac:dyDescent="0.25">
      <c r="A3" s="97" t="s">
        <v>50</v>
      </c>
      <c r="B3" s="81">
        <v>280</v>
      </c>
      <c r="C3">
        <v>1200</v>
      </c>
      <c r="D3">
        <v>140</v>
      </c>
      <c r="E3" s="82">
        <v>30</v>
      </c>
      <c r="F3" s="3">
        <f t="shared" ref="F3:F66" si="0">1000000* B3/(C3*D3*E3)</f>
        <v>55.555555555555557</v>
      </c>
      <c r="G3" s="81">
        <v>213.09990819493368</v>
      </c>
      <c r="H3">
        <v>2510.2220000000002</v>
      </c>
      <c r="I3">
        <v>279.90100000000001</v>
      </c>
      <c r="J3">
        <v>28.267091805066318</v>
      </c>
      <c r="K3">
        <v>71.605999999999995</v>
      </c>
      <c r="L3">
        <v>44.634999999999998</v>
      </c>
      <c r="M3">
        <v>83.313999999999993</v>
      </c>
      <c r="N3" s="82">
        <v>51.826999999999998</v>
      </c>
      <c r="O3" s="81">
        <v>0.40300000000000002</v>
      </c>
      <c r="P3">
        <v>0.6234413965087281</v>
      </c>
      <c r="Q3">
        <v>1.6040000000000003</v>
      </c>
      <c r="R3">
        <v>0.623</v>
      </c>
      <c r="S3" s="82">
        <v>0.79500000000000004</v>
      </c>
      <c r="T3" s="83">
        <v>500</v>
      </c>
      <c r="U3" s="81" t="s">
        <v>43</v>
      </c>
      <c r="V3" s="82">
        <v>1544620</v>
      </c>
    </row>
    <row r="4" spans="1:22" x14ac:dyDescent="0.25">
      <c r="A4" s="97" t="s">
        <v>52</v>
      </c>
      <c r="B4" s="81">
        <v>280</v>
      </c>
      <c r="C4">
        <v>1200</v>
      </c>
      <c r="D4">
        <v>140</v>
      </c>
      <c r="E4" s="82">
        <v>30</v>
      </c>
      <c r="F4" s="3">
        <f t="shared" si="0"/>
        <v>55.555555555555557</v>
      </c>
      <c r="G4" s="81">
        <v>834.46689755786474</v>
      </c>
      <c r="H4">
        <v>2638.2730000000001</v>
      </c>
      <c r="I4">
        <v>281.82499999999999</v>
      </c>
      <c r="J4">
        <v>28.979102442135229</v>
      </c>
      <c r="K4">
        <v>73.980999999999995</v>
      </c>
      <c r="L4">
        <v>45.405999999999999</v>
      </c>
      <c r="M4">
        <v>82.590999999999994</v>
      </c>
      <c r="N4" s="82">
        <v>53.54</v>
      </c>
      <c r="O4" s="81">
        <v>0.41699999999999998</v>
      </c>
      <c r="P4">
        <v>0.61387354205033762</v>
      </c>
      <c r="Q4">
        <v>1.629</v>
      </c>
      <c r="R4">
        <v>0.61399999999999999</v>
      </c>
      <c r="S4" s="82">
        <v>0.78</v>
      </c>
      <c r="T4" s="83">
        <v>500</v>
      </c>
      <c r="U4" s="81" t="s">
        <v>43</v>
      </c>
      <c r="V4" s="82">
        <v>2136507</v>
      </c>
    </row>
    <row r="5" spans="1:22" x14ac:dyDescent="0.25">
      <c r="A5" s="97" t="s">
        <v>53</v>
      </c>
      <c r="B5" s="81">
        <v>280</v>
      </c>
      <c r="C5">
        <v>1200</v>
      </c>
      <c r="D5">
        <v>140</v>
      </c>
      <c r="E5" s="82">
        <v>30</v>
      </c>
      <c r="F5" s="3">
        <f t="shared" si="0"/>
        <v>55.555555555555557</v>
      </c>
      <c r="G5" s="81">
        <v>214.46279595962491</v>
      </c>
      <c r="H5">
        <v>5327.2830000000004</v>
      </c>
      <c r="I5">
        <v>401.67099999999999</v>
      </c>
      <c r="J5">
        <v>41.179204040375076</v>
      </c>
      <c r="K5">
        <v>144.78100000000001</v>
      </c>
      <c r="L5">
        <v>46.851999999999997</v>
      </c>
      <c r="M5">
        <v>155.53899999999999</v>
      </c>
      <c r="N5" s="82">
        <v>63.472999999999999</v>
      </c>
      <c r="O5" s="81">
        <v>0.41499999999999998</v>
      </c>
      <c r="P5">
        <v>0.3236245954692557</v>
      </c>
      <c r="Q5">
        <v>3.0899999999999994</v>
      </c>
      <c r="R5">
        <v>0.32400000000000001</v>
      </c>
      <c r="S5" s="82">
        <v>0.78</v>
      </c>
      <c r="T5" s="83">
        <v>600</v>
      </c>
      <c r="U5" s="81" t="s">
        <v>43</v>
      </c>
      <c r="V5" s="82">
        <v>33689</v>
      </c>
    </row>
    <row r="6" spans="1:22" x14ac:dyDescent="0.25">
      <c r="A6" s="97" t="s">
        <v>54</v>
      </c>
      <c r="B6" s="81">
        <v>280</v>
      </c>
      <c r="C6">
        <v>1200</v>
      </c>
      <c r="D6">
        <v>140</v>
      </c>
      <c r="E6" s="82">
        <v>30</v>
      </c>
      <c r="F6" s="3">
        <f t="shared" si="0"/>
        <v>55.555555555555557</v>
      </c>
      <c r="G6" s="81">
        <v>81.915604871689894</v>
      </c>
      <c r="H6">
        <v>4477.5339999999997</v>
      </c>
      <c r="I6">
        <v>549.053</v>
      </c>
      <c r="J6">
        <v>37.752395128310113</v>
      </c>
      <c r="K6">
        <v>113.19199999999999</v>
      </c>
      <c r="L6">
        <v>50.366</v>
      </c>
      <c r="M6">
        <v>153.047</v>
      </c>
      <c r="N6" s="82">
        <v>75.114999999999995</v>
      </c>
      <c r="O6" s="81">
        <v>0.187</v>
      </c>
      <c r="P6">
        <v>0.44503782821539833</v>
      </c>
      <c r="Q6">
        <v>2.2469999999999999</v>
      </c>
      <c r="R6">
        <v>0.44500000000000001</v>
      </c>
      <c r="S6" s="82">
        <v>0.48899999999999999</v>
      </c>
      <c r="T6" s="83">
        <v>450</v>
      </c>
      <c r="U6" s="81" t="s">
        <v>43</v>
      </c>
      <c r="V6" s="82">
        <v>3616919</v>
      </c>
    </row>
    <row r="7" spans="1:22" x14ac:dyDescent="0.25">
      <c r="A7" s="97" t="s">
        <v>56</v>
      </c>
      <c r="B7" s="81">
        <v>280</v>
      </c>
      <c r="C7">
        <v>1200</v>
      </c>
      <c r="D7">
        <v>140</v>
      </c>
      <c r="E7" s="82">
        <v>30</v>
      </c>
      <c r="F7" s="3">
        <f t="shared" si="0"/>
        <v>55.555555555555557</v>
      </c>
      <c r="G7" s="81">
        <v>7.5839999999999996</v>
      </c>
      <c r="H7">
        <v>1220.722</v>
      </c>
      <c r="I7">
        <v>179.864</v>
      </c>
      <c r="J7">
        <v>19.712125224897729</v>
      </c>
      <c r="K7">
        <v>73.635999999999996</v>
      </c>
      <c r="L7">
        <v>21.106999999999999</v>
      </c>
      <c r="M7">
        <v>76.075999999999993</v>
      </c>
      <c r="N7" s="82">
        <v>22.609000000000002</v>
      </c>
      <c r="O7" s="81">
        <v>0.47399999999999998</v>
      </c>
      <c r="P7">
        <v>0.28661507595299512</v>
      </c>
      <c r="Q7">
        <v>3.4889999999999999</v>
      </c>
      <c r="R7">
        <v>0.28699999999999998</v>
      </c>
      <c r="S7" s="82">
        <v>0.87</v>
      </c>
      <c r="T7" s="83">
        <v>450</v>
      </c>
      <c r="U7" s="81" t="s">
        <v>43</v>
      </c>
      <c r="V7" s="82">
        <v>2057094</v>
      </c>
    </row>
    <row r="8" spans="1:22" x14ac:dyDescent="0.25">
      <c r="A8" s="97" t="s">
        <v>59</v>
      </c>
      <c r="B8" s="81">
        <v>280</v>
      </c>
      <c r="C8">
        <v>1200</v>
      </c>
      <c r="D8">
        <v>140</v>
      </c>
      <c r="E8" s="82">
        <v>30</v>
      </c>
      <c r="F8" s="3">
        <f t="shared" si="0"/>
        <v>55.555555555555557</v>
      </c>
      <c r="G8" s="81">
        <v>0</v>
      </c>
      <c r="H8">
        <v>2574.1509999999998</v>
      </c>
      <c r="I8">
        <v>229.809</v>
      </c>
      <c r="J8">
        <v>28.624774441554834</v>
      </c>
      <c r="K8">
        <v>70.201999999999998</v>
      </c>
      <c r="L8">
        <v>46.686999999999998</v>
      </c>
      <c r="M8">
        <v>79.968000000000004</v>
      </c>
      <c r="N8" s="82">
        <v>52.259</v>
      </c>
      <c r="O8" s="81">
        <v>0.61299999999999999</v>
      </c>
      <c r="P8">
        <v>0.66489361702127658</v>
      </c>
      <c r="Q8">
        <v>1.504</v>
      </c>
      <c r="R8">
        <v>0.66500000000000004</v>
      </c>
      <c r="S8" s="82">
        <v>0.86199999999999999</v>
      </c>
      <c r="T8" s="83">
        <v>600</v>
      </c>
      <c r="U8" s="81" t="s">
        <v>43</v>
      </c>
      <c r="V8" s="82">
        <v>30900</v>
      </c>
    </row>
    <row r="9" spans="1:22" x14ac:dyDescent="0.25">
      <c r="A9" s="97" t="s">
        <v>61</v>
      </c>
      <c r="B9" s="81">
        <v>280</v>
      </c>
      <c r="C9">
        <v>1200</v>
      </c>
      <c r="D9">
        <v>140</v>
      </c>
      <c r="E9" s="82">
        <v>30</v>
      </c>
      <c r="F9" s="3">
        <f t="shared" si="0"/>
        <v>55.555555555555557</v>
      </c>
      <c r="G9" s="81">
        <v>0</v>
      </c>
      <c r="H9">
        <v>3110.6</v>
      </c>
      <c r="I9">
        <v>237.59399999999999</v>
      </c>
      <c r="J9">
        <v>31.466406403707737</v>
      </c>
      <c r="K9">
        <v>73.391999999999996</v>
      </c>
      <c r="L9">
        <v>53.963999999999999</v>
      </c>
      <c r="M9">
        <v>80.405000000000001</v>
      </c>
      <c r="N9" s="82">
        <v>58.194000000000003</v>
      </c>
      <c r="O9" s="81">
        <v>0.69199999999999995</v>
      </c>
      <c r="P9">
        <v>0.73529411764705876</v>
      </c>
      <c r="Q9">
        <v>1.36</v>
      </c>
      <c r="R9">
        <v>0.73499999999999999</v>
      </c>
      <c r="S9" s="82">
        <v>0.90800000000000003</v>
      </c>
      <c r="T9" s="83">
        <v>600</v>
      </c>
      <c r="U9" s="81" t="s">
        <v>43</v>
      </c>
      <c r="V9" s="82">
        <v>24908</v>
      </c>
    </row>
    <row r="10" spans="1:22" x14ac:dyDescent="0.25">
      <c r="A10" s="97" t="s">
        <v>68</v>
      </c>
      <c r="B10" s="81">
        <v>336</v>
      </c>
      <c r="C10">
        <v>840</v>
      </c>
      <c r="D10">
        <v>140</v>
      </c>
      <c r="E10" s="82">
        <v>30</v>
      </c>
      <c r="F10" s="3">
        <f t="shared" si="0"/>
        <v>95.238095238095241</v>
      </c>
      <c r="G10" s="81">
        <v>83.263221087766993</v>
      </c>
      <c r="H10">
        <v>3175.0619999999999</v>
      </c>
      <c r="I10">
        <v>215.78100000000001</v>
      </c>
      <c r="J10">
        <v>31.790778912233005</v>
      </c>
      <c r="K10">
        <v>71.680000000000007</v>
      </c>
      <c r="L10">
        <v>56.398000000000003</v>
      </c>
      <c r="M10">
        <v>75.858000000000004</v>
      </c>
      <c r="N10" s="82">
        <v>55.966000000000001</v>
      </c>
      <c r="O10" s="81">
        <v>0.85699999999999998</v>
      </c>
      <c r="P10">
        <v>0.78678206136900086</v>
      </c>
      <c r="Q10">
        <v>1.2709999999999999</v>
      </c>
      <c r="R10">
        <v>0.78700000000000003</v>
      </c>
      <c r="S10" s="82">
        <v>0.98299999999999998</v>
      </c>
      <c r="T10" s="83">
        <v>500</v>
      </c>
      <c r="U10" s="81" t="s">
        <v>64</v>
      </c>
      <c r="V10" s="82">
        <v>738546</v>
      </c>
    </row>
    <row r="11" spans="1:22" x14ac:dyDescent="0.25">
      <c r="A11" s="97" t="s">
        <v>70</v>
      </c>
      <c r="B11" s="81">
        <v>336</v>
      </c>
      <c r="C11">
        <v>840</v>
      </c>
      <c r="D11">
        <v>140</v>
      </c>
      <c r="E11" s="82">
        <v>30</v>
      </c>
      <c r="F11" s="3">
        <f t="shared" si="0"/>
        <v>95.238095238095241</v>
      </c>
      <c r="G11" s="81">
        <v>167.21948827637794</v>
      </c>
      <c r="H11">
        <v>4910.2389999999996</v>
      </c>
      <c r="I11">
        <v>260.01600000000002</v>
      </c>
      <c r="J11">
        <v>39.53451172362206</v>
      </c>
      <c r="K11">
        <v>82.971999999999994</v>
      </c>
      <c r="L11">
        <v>75.349999999999994</v>
      </c>
      <c r="M11">
        <v>84.899000000000001</v>
      </c>
      <c r="N11" s="82">
        <v>72.900000000000006</v>
      </c>
      <c r="O11" s="81">
        <v>0.91300000000000003</v>
      </c>
      <c r="P11">
        <v>0.90826521344232514</v>
      </c>
      <c r="Q11">
        <v>1.101</v>
      </c>
      <c r="R11">
        <v>0.90800000000000003</v>
      </c>
      <c r="S11" s="82">
        <v>0.98899999999999999</v>
      </c>
      <c r="T11" s="83">
        <v>600</v>
      </c>
      <c r="U11" s="81" t="s">
        <v>64</v>
      </c>
      <c r="V11" s="82">
        <v>146688</v>
      </c>
    </row>
    <row r="12" spans="1:22" x14ac:dyDescent="0.25">
      <c r="A12" s="97" t="s">
        <v>72</v>
      </c>
      <c r="B12" s="81">
        <v>336</v>
      </c>
      <c r="C12">
        <v>840</v>
      </c>
      <c r="D12">
        <v>140</v>
      </c>
      <c r="E12" s="82">
        <v>30</v>
      </c>
      <c r="F12" s="3">
        <f t="shared" si="0"/>
        <v>95.238095238095241</v>
      </c>
      <c r="G12" s="81">
        <v>5</v>
      </c>
      <c r="H12">
        <v>3792.174</v>
      </c>
      <c r="I12">
        <v>235.69</v>
      </c>
      <c r="J12">
        <v>34.743150034634603</v>
      </c>
      <c r="K12">
        <v>74.611000000000004</v>
      </c>
      <c r="L12">
        <v>64.713999999999999</v>
      </c>
      <c r="M12">
        <v>79.561000000000007</v>
      </c>
      <c r="N12" s="82">
        <v>62.929000000000002</v>
      </c>
      <c r="O12" s="81">
        <v>0.85799999999999998</v>
      </c>
      <c r="P12">
        <v>0.86730268863833471</v>
      </c>
      <c r="Q12">
        <v>1.153</v>
      </c>
      <c r="R12">
        <v>0.86699999999999999</v>
      </c>
      <c r="S12" s="82">
        <v>0.96799999999999997</v>
      </c>
      <c r="T12" s="83">
        <v>600</v>
      </c>
      <c r="U12" s="81" t="s">
        <v>43</v>
      </c>
      <c r="V12" s="82">
        <v>133016</v>
      </c>
    </row>
    <row r="13" spans="1:22" x14ac:dyDescent="0.25">
      <c r="A13" s="97" t="s">
        <v>76</v>
      </c>
      <c r="B13" s="81">
        <v>336</v>
      </c>
      <c r="C13">
        <v>840</v>
      </c>
      <c r="D13">
        <v>140</v>
      </c>
      <c r="E13" s="82">
        <v>30</v>
      </c>
      <c r="F13" s="3">
        <f t="shared" si="0"/>
        <v>95.238095238095241</v>
      </c>
      <c r="G13" s="81">
        <v>5</v>
      </c>
      <c r="H13">
        <v>1274.6289999999999</v>
      </c>
      <c r="I13">
        <v>141.03100000000001</v>
      </c>
      <c r="J13">
        <v>20.142666454979562</v>
      </c>
      <c r="K13">
        <v>51.622999999999998</v>
      </c>
      <c r="L13">
        <v>31.437000000000001</v>
      </c>
      <c r="M13">
        <v>50.765000000000001</v>
      </c>
      <c r="N13" s="82">
        <v>31.209</v>
      </c>
      <c r="O13" s="81">
        <v>0.80500000000000005</v>
      </c>
      <c r="P13">
        <v>0.60901339829476253</v>
      </c>
      <c r="Q13">
        <v>1.6419999999999999</v>
      </c>
      <c r="R13">
        <v>0.60899999999999999</v>
      </c>
      <c r="S13" s="82">
        <v>0.96699999999999997</v>
      </c>
      <c r="T13" s="83">
        <v>600</v>
      </c>
      <c r="U13" s="81" t="s">
        <v>64</v>
      </c>
      <c r="V13" s="82">
        <v>42753</v>
      </c>
    </row>
    <row r="14" spans="1:22" x14ac:dyDescent="0.25">
      <c r="A14" s="97" t="s">
        <v>79</v>
      </c>
      <c r="B14" s="81">
        <v>364</v>
      </c>
      <c r="C14">
        <v>960</v>
      </c>
      <c r="D14">
        <v>140</v>
      </c>
      <c r="E14" s="82">
        <v>30</v>
      </c>
      <c r="F14" s="3">
        <f t="shared" si="0"/>
        <v>90.277777777777771</v>
      </c>
      <c r="G14" s="81">
        <v>501.93936165068408</v>
      </c>
      <c r="H14">
        <v>1899.874</v>
      </c>
      <c r="I14">
        <v>154.63800000000001</v>
      </c>
      <c r="J14">
        <v>24.591638349315875</v>
      </c>
      <c r="K14">
        <v>50.781999999999996</v>
      </c>
      <c r="L14">
        <v>47.634999999999998</v>
      </c>
      <c r="M14">
        <v>50.783000000000001</v>
      </c>
      <c r="N14" s="82">
        <v>47.637</v>
      </c>
      <c r="O14" s="81">
        <v>0.998</v>
      </c>
      <c r="P14">
        <v>0.9380863039399624</v>
      </c>
      <c r="Q14">
        <v>1.0660000000000001</v>
      </c>
      <c r="R14">
        <v>0.93799999999999994</v>
      </c>
      <c r="S14" s="82">
        <v>1</v>
      </c>
      <c r="T14" s="83">
        <v>450</v>
      </c>
      <c r="U14" s="81" t="s">
        <v>64</v>
      </c>
      <c r="V14" s="82">
        <v>8440701</v>
      </c>
    </row>
    <row r="15" spans="1:22" x14ac:dyDescent="0.25">
      <c r="A15" s="97" t="s">
        <v>80</v>
      </c>
      <c r="B15" s="81">
        <v>364</v>
      </c>
      <c r="C15">
        <v>960</v>
      </c>
      <c r="D15">
        <v>140</v>
      </c>
      <c r="E15" s="82">
        <v>30</v>
      </c>
      <c r="F15" s="3">
        <f t="shared" si="0"/>
        <v>90.277777777777771</v>
      </c>
      <c r="G15" s="81">
        <v>768.21348404733055</v>
      </c>
      <c r="H15">
        <v>3203.8380000000002</v>
      </c>
      <c r="I15">
        <v>209.88499999999999</v>
      </c>
      <c r="J15">
        <v>31.934515952669514</v>
      </c>
      <c r="K15">
        <v>75.950999999999993</v>
      </c>
      <c r="L15">
        <v>53.709000000000003</v>
      </c>
      <c r="M15">
        <v>76.263000000000005</v>
      </c>
      <c r="N15" s="82">
        <v>54.509</v>
      </c>
      <c r="O15" s="81">
        <v>0.91400000000000003</v>
      </c>
      <c r="P15">
        <v>0.70721357850070721</v>
      </c>
      <c r="Q15">
        <v>1.4139999999999999</v>
      </c>
      <c r="R15">
        <v>0.70699999999999996</v>
      </c>
      <c r="S15" s="82">
        <v>0.998</v>
      </c>
      <c r="T15" s="83">
        <v>450</v>
      </c>
      <c r="U15" s="81" t="s">
        <v>64</v>
      </c>
      <c r="V15" s="82">
        <v>6053604</v>
      </c>
    </row>
    <row r="16" spans="1:22" x14ac:dyDescent="0.25">
      <c r="A16" s="97" t="s">
        <v>83</v>
      </c>
      <c r="B16" s="81">
        <v>364</v>
      </c>
      <c r="C16">
        <v>960</v>
      </c>
      <c r="D16">
        <v>140</v>
      </c>
      <c r="E16" s="82">
        <v>30</v>
      </c>
      <c r="F16" s="3">
        <f t="shared" si="0"/>
        <v>90.277777777777771</v>
      </c>
      <c r="G16" s="81">
        <v>344.97381782280911</v>
      </c>
      <c r="H16">
        <v>3436.5929999999998</v>
      </c>
      <c r="I16">
        <v>212.46700000000001</v>
      </c>
      <c r="J16">
        <v>33.074182177190892</v>
      </c>
      <c r="K16">
        <v>71.551000000000002</v>
      </c>
      <c r="L16">
        <v>61.152999999999999</v>
      </c>
      <c r="M16">
        <v>73.106999999999999</v>
      </c>
      <c r="N16" s="82">
        <v>60.965000000000003</v>
      </c>
      <c r="O16" s="81">
        <v>0.95699999999999996</v>
      </c>
      <c r="P16">
        <v>0.85470085470085477</v>
      </c>
      <c r="Q16">
        <v>1.17</v>
      </c>
      <c r="R16">
        <v>0.85499999999999998</v>
      </c>
      <c r="S16" s="82">
        <v>0.997</v>
      </c>
      <c r="T16" s="83">
        <v>500</v>
      </c>
      <c r="U16" s="81" t="s">
        <v>64</v>
      </c>
      <c r="V16" s="82">
        <v>1490267</v>
      </c>
    </row>
    <row r="17" spans="1:22" x14ac:dyDescent="0.25">
      <c r="A17" s="97" t="s">
        <v>85</v>
      </c>
      <c r="B17" s="81">
        <v>364</v>
      </c>
      <c r="C17">
        <v>960</v>
      </c>
      <c r="D17">
        <v>140</v>
      </c>
      <c r="E17" s="82">
        <v>30</v>
      </c>
      <c r="F17" s="3">
        <f t="shared" si="0"/>
        <v>90.277777777777771</v>
      </c>
      <c r="G17" s="81">
        <v>267.12130026430293</v>
      </c>
      <c r="H17">
        <v>2175.4380000000001</v>
      </c>
      <c r="I17">
        <v>171.53</v>
      </c>
      <c r="J17">
        <v>26.31469973569703</v>
      </c>
      <c r="K17">
        <v>55.545999999999999</v>
      </c>
      <c r="L17">
        <v>49.866</v>
      </c>
      <c r="M17">
        <v>57.372</v>
      </c>
      <c r="N17" s="82">
        <v>50.110999999999997</v>
      </c>
      <c r="O17" s="81">
        <v>0.92900000000000005</v>
      </c>
      <c r="P17">
        <v>0.89766606822262107</v>
      </c>
      <c r="Q17">
        <v>1.1140000000000001</v>
      </c>
      <c r="R17">
        <v>0.89800000000000002</v>
      </c>
      <c r="S17" s="82">
        <v>0.99099999999999999</v>
      </c>
      <c r="T17" s="83">
        <v>600</v>
      </c>
      <c r="U17" s="81" t="s">
        <v>64</v>
      </c>
      <c r="V17" s="82">
        <v>423405</v>
      </c>
    </row>
    <row r="18" spans="1:22" x14ac:dyDescent="0.25">
      <c r="A18" s="97" t="s">
        <v>86</v>
      </c>
      <c r="B18" s="81">
        <v>364</v>
      </c>
      <c r="C18">
        <v>960</v>
      </c>
      <c r="D18">
        <v>140</v>
      </c>
      <c r="E18" s="82">
        <v>30</v>
      </c>
      <c r="F18" s="3">
        <f t="shared" si="0"/>
        <v>90.277777777777771</v>
      </c>
      <c r="G18" s="81">
        <v>384.95442411698218</v>
      </c>
      <c r="H18">
        <v>3425.877</v>
      </c>
      <c r="I18">
        <v>207.536</v>
      </c>
      <c r="J18">
        <v>33.022575883017765</v>
      </c>
      <c r="K18">
        <v>67.222999999999999</v>
      </c>
      <c r="L18">
        <v>64.887</v>
      </c>
      <c r="M18">
        <v>67.221999999999994</v>
      </c>
      <c r="N18" s="82">
        <v>64.888999999999996</v>
      </c>
      <c r="O18" s="81">
        <v>1</v>
      </c>
      <c r="P18">
        <v>0.96525096525096521</v>
      </c>
      <c r="Q18">
        <v>1.036</v>
      </c>
      <c r="R18">
        <v>0.96499999999999997</v>
      </c>
      <c r="S18" s="82">
        <v>1</v>
      </c>
      <c r="T18" s="83">
        <v>600</v>
      </c>
      <c r="U18" s="81" t="s">
        <v>64</v>
      </c>
      <c r="V18" s="82">
        <v>299497</v>
      </c>
    </row>
    <row r="19" spans="1:22" x14ac:dyDescent="0.25">
      <c r="A19" s="97" t="s">
        <v>90</v>
      </c>
      <c r="B19" s="81">
        <v>364</v>
      </c>
      <c r="C19">
        <v>960</v>
      </c>
      <c r="D19">
        <v>140</v>
      </c>
      <c r="E19" s="82">
        <v>30</v>
      </c>
      <c r="F19" s="3">
        <f t="shared" si="0"/>
        <v>90.277777777777771</v>
      </c>
      <c r="G19" s="81">
        <v>5</v>
      </c>
      <c r="H19">
        <v>901.92</v>
      </c>
      <c r="I19">
        <v>127.244</v>
      </c>
      <c r="J19">
        <v>16.943731954527742</v>
      </c>
      <c r="K19">
        <v>47.093000000000004</v>
      </c>
      <c r="L19">
        <v>24.093</v>
      </c>
      <c r="M19">
        <v>49.463999999999999</v>
      </c>
      <c r="N19" s="82">
        <v>25.603000000000002</v>
      </c>
      <c r="O19" s="81">
        <v>0.7</v>
      </c>
      <c r="P19">
        <v>0.51786639047125838</v>
      </c>
      <c r="Q19">
        <v>1.931</v>
      </c>
      <c r="R19">
        <v>0.51800000000000002</v>
      </c>
      <c r="S19" s="82">
        <v>0.93899999999999995</v>
      </c>
      <c r="T19" s="83">
        <v>600</v>
      </c>
      <c r="U19" s="81" t="s">
        <v>64</v>
      </c>
      <c r="V19" s="82">
        <v>79110</v>
      </c>
    </row>
    <row r="20" spans="1:22" x14ac:dyDescent="0.25">
      <c r="A20" s="97" t="s">
        <v>95</v>
      </c>
      <c r="B20" s="81">
        <v>252</v>
      </c>
      <c r="C20">
        <v>1200</v>
      </c>
      <c r="D20">
        <v>140</v>
      </c>
      <c r="E20" s="82">
        <v>30</v>
      </c>
      <c r="F20" s="3">
        <f t="shared" si="0"/>
        <v>50</v>
      </c>
      <c r="G20" s="81">
        <v>198.27528148910551</v>
      </c>
      <c r="H20">
        <v>4904.8270000000002</v>
      </c>
      <c r="I20">
        <v>360.17500000000001</v>
      </c>
      <c r="J20">
        <v>39.512718510894487</v>
      </c>
      <c r="K20">
        <v>92.141999999999996</v>
      </c>
      <c r="L20">
        <v>67.775999999999996</v>
      </c>
      <c r="M20">
        <v>120.027</v>
      </c>
      <c r="N20" s="82">
        <v>86.022000000000006</v>
      </c>
      <c r="O20" s="81">
        <v>0.47499999999999998</v>
      </c>
      <c r="P20">
        <v>0.73583517292126566</v>
      </c>
      <c r="Q20">
        <v>1.359</v>
      </c>
      <c r="R20">
        <v>0.73599999999999999</v>
      </c>
      <c r="S20" s="82">
        <v>0.77300000000000002</v>
      </c>
      <c r="T20" s="83">
        <v>500</v>
      </c>
      <c r="U20" s="81" t="s">
        <v>43</v>
      </c>
      <c r="V20" s="82">
        <v>607174</v>
      </c>
    </row>
    <row r="21" spans="1:22" x14ac:dyDescent="0.25">
      <c r="A21" s="97" t="s">
        <v>96</v>
      </c>
      <c r="B21" s="81">
        <v>252</v>
      </c>
      <c r="C21">
        <v>1200</v>
      </c>
      <c r="D21">
        <v>140</v>
      </c>
      <c r="E21" s="82">
        <v>30</v>
      </c>
      <c r="F21" s="3">
        <f t="shared" si="0"/>
        <v>50</v>
      </c>
      <c r="G21" s="81">
        <v>583.20673511809093</v>
      </c>
      <c r="H21">
        <v>4892.8050000000003</v>
      </c>
      <c r="I21">
        <v>572.86699999999996</v>
      </c>
      <c r="J21">
        <v>39.464264881909074</v>
      </c>
      <c r="K21">
        <v>208.54499999999999</v>
      </c>
      <c r="L21">
        <v>29.872</v>
      </c>
      <c r="M21">
        <v>45</v>
      </c>
      <c r="N21" s="82">
        <v>40.08</v>
      </c>
      <c r="O21" s="81">
        <v>0.187</v>
      </c>
      <c r="P21">
        <v>0.14324595330181922</v>
      </c>
      <c r="Q21">
        <v>6.9809999999999999</v>
      </c>
      <c r="R21">
        <v>0.14299999999999999</v>
      </c>
      <c r="S21" s="82">
        <v>0.65400000000000003</v>
      </c>
      <c r="T21" s="83">
        <v>600</v>
      </c>
      <c r="U21" s="81" t="s">
        <v>43</v>
      </c>
      <c r="V21" s="82">
        <v>224671</v>
      </c>
    </row>
    <row r="22" spans="1:22" x14ac:dyDescent="0.25">
      <c r="A22" s="97" t="s">
        <v>97</v>
      </c>
      <c r="B22" s="81">
        <v>252</v>
      </c>
      <c r="C22">
        <v>1200</v>
      </c>
      <c r="D22">
        <v>140</v>
      </c>
      <c r="E22" s="82">
        <v>30</v>
      </c>
      <c r="F22" s="3">
        <f t="shared" si="0"/>
        <v>50</v>
      </c>
      <c r="G22" s="81">
        <v>814.88692929646652</v>
      </c>
      <c r="H22">
        <v>21123.075000000001</v>
      </c>
      <c r="I22">
        <v>960.97799999999995</v>
      </c>
      <c r="J22">
        <v>81.998070703533472</v>
      </c>
      <c r="K22">
        <v>222.53800000000001</v>
      </c>
      <c r="L22">
        <v>120.854</v>
      </c>
      <c r="M22">
        <v>258.28399999999999</v>
      </c>
      <c r="N22" s="82">
        <v>159.71199999999999</v>
      </c>
      <c r="O22" s="81">
        <v>0.28699999999999998</v>
      </c>
      <c r="P22">
        <v>0.54318305268875611</v>
      </c>
      <c r="Q22">
        <v>1.841</v>
      </c>
      <c r="R22">
        <v>0.54300000000000004</v>
      </c>
      <c r="S22" s="82">
        <v>0.68500000000000005</v>
      </c>
      <c r="T22" s="83">
        <v>500</v>
      </c>
      <c r="U22" s="81" t="s">
        <v>43</v>
      </c>
      <c r="V22" s="82">
        <v>143298</v>
      </c>
    </row>
    <row r="23" spans="1:22" x14ac:dyDescent="0.25">
      <c r="A23" s="97" t="s">
        <v>98</v>
      </c>
      <c r="B23" s="81">
        <v>252</v>
      </c>
      <c r="C23">
        <v>1200</v>
      </c>
      <c r="D23">
        <v>140</v>
      </c>
      <c r="E23" s="82">
        <v>30</v>
      </c>
      <c r="F23" s="3">
        <f t="shared" si="0"/>
        <v>50</v>
      </c>
      <c r="G23" s="81">
        <v>681.68281761415085</v>
      </c>
      <c r="H23">
        <v>16128.147000000001</v>
      </c>
      <c r="I23">
        <v>1389.4839999999999</v>
      </c>
      <c r="J23">
        <v>71.650182385849135</v>
      </c>
      <c r="K23">
        <v>234.98699999999999</v>
      </c>
      <c r="L23">
        <v>87.388000000000005</v>
      </c>
      <c r="M23">
        <v>367.09500000000003</v>
      </c>
      <c r="N23" s="82">
        <v>162.48099999999999</v>
      </c>
      <c r="O23" s="81">
        <v>0.105</v>
      </c>
      <c r="P23">
        <v>0.37188545927854222</v>
      </c>
      <c r="Q23">
        <v>2.6890000000000001</v>
      </c>
      <c r="R23">
        <v>0.372</v>
      </c>
      <c r="S23" s="82">
        <v>0.436</v>
      </c>
      <c r="T23" s="83">
        <v>600</v>
      </c>
      <c r="U23" s="81" t="s">
        <v>43</v>
      </c>
      <c r="V23" s="82">
        <v>73284</v>
      </c>
    </row>
    <row r="24" spans="1:22" x14ac:dyDescent="0.25">
      <c r="A24" s="97" t="s">
        <v>100</v>
      </c>
      <c r="B24" s="81">
        <v>252</v>
      </c>
      <c r="C24">
        <v>1200</v>
      </c>
      <c r="D24">
        <v>140</v>
      </c>
      <c r="E24" s="82">
        <v>30</v>
      </c>
      <c r="F24" s="3">
        <f t="shared" si="0"/>
        <v>50</v>
      </c>
      <c r="G24" s="81">
        <v>13.7</v>
      </c>
      <c r="H24">
        <v>1839.4570000000001</v>
      </c>
      <c r="I24">
        <v>251.10900000000001</v>
      </c>
      <c r="J24">
        <v>24.197465741477497</v>
      </c>
      <c r="K24">
        <v>63.872999999999998</v>
      </c>
      <c r="L24">
        <v>36.667999999999999</v>
      </c>
      <c r="M24">
        <v>89.218999999999994</v>
      </c>
      <c r="N24" s="82">
        <v>49.966000000000001</v>
      </c>
      <c r="O24" s="81">
        <v>0.36699999999999999</v>
      </c>
      <c r="P24">
        <v>0.57405281285878296</v>
      </c>
      <c r="Q24">
        <v>1.7420000000000002</v>
      </c>
      <c r="R24">
        <v>0.57399999999999995</v>
      </c>
      <c r="S24" s="82">
        <v>0.66600000000000004</v>
      </c>
      <c r="T24" s="83">
        <v>450</v>
      </c>
      <c r="U24" s="81" t="s">
        <v>43</v>
      </c>
      <c r="V24" s="82">
        <v>92287</v>
      </c>
    </row>
    <row r="25" spans="1:22" x14ac:dyDescent="0.25">
      <c r="A25" s="97" t="s">
        <v>101</v>
      </c>
      <c r="B25" s="81">
        <v>252</v>
      </c>
      <c r="C25">
        <v>1200</v>
      </c>
      <c r="D25">
        <v>140</v>
      </c>
      <c r="E25" s="82">
        <v>30</v>
      </c>
      <c r="F25" s="3">
        <f t="shared" si="0"/>
        <v>50</v>
      </c>
      <c r="G25" s="81">
        <v>0</v>
      </c>
      <c r="H25">
        <v>3516.864</v>
      </c>
      <c r="I25">
        <v>352.71600000000001</v>
      </c>
      <c r="J25">
        <v>33.458221404669295</v>
      </c>
      <c r="K25">
        <v>145</v>
      </c>
      <c r="L25">
        <v>30.846</v>
      </c>
      <c r="M25">
        <v>143.59700000000001</v>
      </c>
      <c r="N25" s="82">
        <v>42.712000000000003</v>
      </c>
      <c r="O25" s="81">
        <v>0.35499999999999998</v>
      </c>
      <c r="P25">
        <v>0.21249468763280915</v>
      </c>
      <c r="Q25">
        <v>4.7060000000000004</v>
      </c>
      <c r="R25">
        <v>0.214</v>
      </c>
      <c r="S25" s="82">
        <v>0.54</v>
      </c>
      <c r="T25" s="83">
        <v>450</v>
      </c>
      <c r="U25" s="81" t="s">
        <v>43</v>
      </c>
      <c r="V25" s="82">
        <v>76618</v>
      </c>
    </row>
    <row r="26" spans="1:22" x14ac:dyDescent="0.25">
      <c r="A26" s="97" t="s">
        <v>102</v>
      </c>
      <c r="B26" s="81">
        <v>252</v>
      </c>
      <c r="C26">
        <v>1200</v>
      </c>
      <c r="D26">
        <v>140</v>
      </c>
      <c r="E26" s="82">
        <v>30</v>
      </c>
      <c r="F26" s="3">
        <f t="shared" si="0"/>
        <v>50</v>
      </c>
      <c r="G26" s="81">
        <v>14.5</v>
      </c>
      <c r="H26">
        <v>4963.951</v>
      </c>
      <c r="I26">
        <v>489.15199999999999</v>
      </c>
      <c r="J26">
        <v>39.750153179980501</v>
      </c>
      <c r="K26">
        <v>110.003</v>
      </c>
      <c r="L26">
        <v>57.456000000000003</v>
      </c>
      <c r="M26">
        <v>142.292</v>
      </c>
      <c r="N26" s="82">
        <v>69.795000000000002</v>
      </c>
      <c r="O26" s="81">
        <v>0.26100000000000001</v>
      </c>
      <c r="P26">
        <v>0.5221932114882506</v>
      </c>
      <c r="Q26">
        <v>1.9150000000000003</v>
      </c>
      <c r="R26">
        <v>0.52200000000000002</v>
      </c>
      <c r="S26" s="82">
        <v>0.75700000000000001</v>
      </c>
      <c r="T26" s="83">
        <v>600</v>
      </c>
      <c r="U26" s="81" t="s">
        <v>43</v>
      </c>
      <c r="V26" s="82">
        <v>55098</v>
      </c>
    </row>
    <row r="27" spans="1:22" x14ac:dyDescent="0.25">
      <c r="A27" s="97" t="s">
        <v>106</v>
      </c>
      <c r="B27" s="81">
        <v>252</v>
      </c>
      <c r="C27">
        <v>1200</v>
      </c>
      <c r="D27">
        <v>140</v>
      </c>
      <c r="E27" s="82">
        <v>30</v>
      </c>
      <c r="F27" s="3">
        <f t="shared" si="0"/>
        <v>50</v>
      </c>
      <c r="G27" s="81">
        <v>0</v>
      </c>
      <c r="H27">
        <v>17574.074000000001</v>
      </c>
      <c r="I27">
        <v>1232.877</v>
      </c>
      <c r="J27">
        <v>74.793057797669391</v>
      </c>
      <c r="K27">
        <v>216.13200000000001</v>
      </c>
      <c r="L27">
        <v>103.529</v>
      </c>
      <c r="M27">
        <v>317.935</v>
      </c>
      <c r="N27" s="82">
        <v>172.821</v>
      </c>
      <c r="O27" s="81">
        <v>0.14499999999999999</v>
      </c>
      <c r="P27">
        <v>0.47892720306513409</v>
      </c>
      <c r="Q27">
        <v>2.0880000000000001</v>
      </c>
      <c r="R27">
        <v>0.47899999999999998</v>
      </c>
      <c r="S27" s="82">
        <v>0.51600000000000001</v>
      </c>
      <c r="T27" s="83">
        <v>600</v>
      </c>
      <c r="U27" s="81" t="s">
        <v>43</v>
      </c>
      <c r="V27" s="82">
        <v>29035</v>
      </c>
    </row>
    <row r="28" spans="1:22" x14ac:dyDescent="0.25">
      <c r="A28" s="97" t="s">
        <v>110</v>
      </c>
      <c r="B28" s="81">
        <v>224</v>
      </c>
      <c r="C28">
        <v>1200</v>
      </c>
      <c r="D28">
        <v>140</v>
      </c>
      <c r="E28" s="82">
        <v>30</v>
      </c>
      <c r="F28" s="3">
        <f t="shared" si="0"/>
        <v>44.444444444444443</v>
      </c>
      <c r="G28" s="81">
        <v>19.695</v>
      </c>
      <c r="H28">
        <v>4560.8379999999997</v>
      </c>
      <c r="I28">
        <v>604.99599999999998</v>
      </c>
      <c r="J28">
        <v>38.101966152453436</v>
      </c>
      <c r="K28">
        <v>146.69300000000001</v>
      </c>
      <c r="L28">
        <v>39.585999999999999</v>
      </c>
      <c r="M28">
        <v>197.346</v>
      </c>
      <c r="N28" s="82">
        <v>84.894999999999996</v>
      </c>
      <c r="O28" s="81">
        <v>0.157</v>
      </c>
      <c r="P28">
        <v>0.26983270372369134</v>
      </c>
      <c r="Q28">
        <v>3.7059999999999995</v>
      </c>
      <c r="R28">
        <v>0.27</v>
      </c>
      <c r="S28" s="82">
        <v>0.43099999999999999</v>
      </c>
      <c r="T28" s="83">
        <v>450</v>
      </c>
      <c r="U28" s="81" t="s">
        <v>43</v>
      </c>
      <c r="V28" s="82">
        <v>75479</v>
      </c>
    </row>
    <row r="29" spans="1:22" x14ac:dyDescent="0.25">
      <c r="A29" s="97" t="s">
        <v>111</v>
      </c>
      <c r="B29" s="81">
        <v>224</v>
      </c>
      <c r="C29">
        <v>1200</v>
      </c>
      <c r="D29">
        <v>140</v>
      </c>
      <c r="E29" s="82">
        <v>30</v>
      </c>
      <c r="F29" s="3">
        <f t="shared" si="0"/>
        <v>44.444444444444443</v>
      </c>
      <c r="G29" s="81">
        <v>0</v>
      </c>
      <c r="H29">
        <v>7028.3180000000002</v>
      </c>
      <c r="I29">
        <v>426.875</v>
      </c>
      <c r="J29">
        <v>47.298869993304145</v>
      </c>
      <c r="K29">
        <v>150.85400000000001</v>
      </c>
      <c r="L29">
        <v>59.32</v>
      </c>
      <c r="M29">
        <v>156.29</v>
      </c>
      <c r="N29" s="82">
        <v>73.957999999999998</v>
      </c>
      <c r="O29" s="81">
        <v>0.48499999999999999</v>
      </c>
      <c r="P29">
        <v>0.39323633503735744</v>
      </c>
      <c r="Q29">
        <v>2.5430000000000001</v>
      </c>
      <c r="R29">
        <v>0.39300000000000002</v>
      </c>
      <c r="S29" s="82">
        <v>0.81499999999999995</v>
      </c>
      <c r="T29" s="83">
        <v>500</v>
      </c>
      <c r="U29" s="81" t="s">
        <v>43</v>
      </c>
      <c r="V29" s="82">
        <v>51337</v>
      </c>
    </row>
    <row r="30" spans="1:22" x14ac:dyDescent="0.25">
      <c r="A30" s="97" t="s">
        <v>112</v>
      </c>
      <c r="B30" s="81">
        <v>224</v>
      </c>
      <c r="C30">
        <v>1200</v>
      </c>
      <c r="D30">
        <v>140</v>
      </c>
      <c r="E30" s="82">
        <v>30</v>
      </c>
      <c r="F30" s="3">
        <f t="shared" si="0"/>
        <v>44.444444444444443</v>
      </c>
      <c r="G30" s="81">
        <v>0</v>
      </c>
      <c r="H30">
        <v>9830.0949999999993</v>
      </c>
      <c r="I30">
        <v>1230.4939999999999</v>
      </c>
      <c r="J30">
        <v>55.937611860230945</v>
      </c>
      <c r="K30">
        <v>143.59299999999999</v>
      </c>
      <c r="L30">
        <v>87.162999999999997</v>
      </c>
      <c r="M30">
        <v>278.81200000000001</v>
      </c>
      <c r="N30" s="82">
        <v>160.07599999999999</v>
      </c>
      <c r="O30" s="81">
        <v>8.2000000000000003E-2</v>
      </c>
      <c r="P30">
        <v>0.60716454159077105</v>
      </c>
      <c r="Q30">
        <v>1.6470000000000002</v>
      </c>
      <c r="R30">
        <v>0.60699999999999998</v>
      </c>
      <c r="S30" s="82">
        <v>0.32600000000000001</v>
      </c>
      <c r="T30" s="83">
        <v>600</v>
      </c>
      <c r="U30" s="81" t="s">
        <v>43</v>
      </c>
      <c r="V30" s="82">
        <v>14605</v>
      </c>
    </row>
    <row r="31" spans="1:22" x14ac:dyDescent="0.25">
      <c r="A31" s="97" t="s">
        <v>113</v>
      </c>
      <c r="B31" s="81">
        <v>224</v>
      </c>
      <c r="C31">
        <v>1200</v>
      </c>
      <c r="D31">
        <v>140</v>
      </c>
      <c r="E31" s="82">
        <v>30</v>
      </c>
      <c r="F31" s="3">
        <f t="shared" si="0"/>
        <v>44.444444444444443</v>
      </c>
      <c r="G31" s="81">
        <v>60.685000000000002</v>
      </c>
      <c r="H31">
        <v>2315.364</v>
      </c>
      <c r="I31">
        <v>291.44600000000003</v>
      </c>
      <c r="J31">
        <v>27.147803802776501</v>
      </c>
      <c r="K31">
        <v>63.094999999999999</v>
      </c>
      <c r="L31">
        <v>46.722999999999999</v>
      </c>
      <c r="M31">
        <v>84.176000000000002</v>
      </c>
      <c r="N31" s="82">
        <v>51.37</v>
      </c>
      <c r="O31" s="81">
        <v>0.34300000000000003</v>
      </c>
      <c r="P31">
        <v>0.7407407407407407</v>
      </c>
      <c r="Q31">
        <v>1.35</v>
      </c>
      <c r="R31">
        <v>0.74099999999999999</v>
      </c>
      <c r="S31" s="82">
        <v>0.64600000000000002</v>
      </c>
      <c r="T31" s="83">
        <v>450</v>
      </c>
      <c r="U31" s="81" t="s">
        <v>43</v>
      </c>
      <c r="V31" s="82">
        <v>66984</v>
      </c>
    </row>
    <row r="32" spans="1:22" x14ac:dyDescent="0.25">
      <c r="A32" s="97" t="s">
        <v>119</v>
      </c>
      <c r="B32" s="81">
        <v>224</v>
      </c>
      <c r="C32">
        <v>1200</v>
      </c>
      <c r="D32">
        <v>140</v>
      </c>
      <c r="E32" s="82">
        <v>30</v>
      </c>
      <c r="F32" s="3">
        <f t="shared" si="0"/>
        <v>44.444444444444443</v>
      </c>
      <c r="G32" s="81">
        <v>0</v>
      </c>
      <c r="H32">
        <v>9489.357</v>
      </c>
      <c r="I32">
        <v>531.92999999999995</v>
      </c>
      <c r="J32">
        <v>54.959586485228918</v>
      </c>
      <c r="K32">
        <v>165.75</v>
      </c>
      <c r="L32">
        <v>72.894000000000005</v>
      </c>
      <c r="M32">
        <v>184.34</v>
      </c>
      <c r="N32" s="82">
        <v>97.956000000000003</v>
      </c>
      <c r="O32" s="81">
        <v>0.42099999999999999</v>
      </c>
      <c r="P32">
        <v>0.43975373790677219</v>
      </c>
      <c r="Q32">
        <v>2.274</v>
      </c>
      <c r="R32">
        <v>0.44</v>
      </c>
      <c r="S32" s="82">
        <v>0.755</v>
      </c>
      <c r="T32" s="83">
        <v>500</v>
      </c>
      <c r="U32" s="81" t="s">
        <v>43</v>
      </c>
      <c r="V32" s="82">
        <v>29475</v>
      </c>
    </row>
    <row r="33" spans="1:22" x14ac:dyDescent="0.25">
      <c r="A33" s="97" t="s">
        <v>121</v>
      </c>
      <c r="B33" s="81">
        <v>224</v>
      </c>
      <c r="C33">
        <v>1200</v>
      </c>
      <c r="D33">
        <v>140</v>
      </c>
      <c r="E33" s="82">
        <v>30</v>
      </c>
      <c r="F33" s="3">
        <f t="shared" si="0"/>
        <v>44.444444444444443</v>
      </c>
      <c r="G33" s="81">
        <v>14.618</v>
      </c>
      <c r="H33">
        <v>12722.888999999999</v>
      </c>
      <c r="I33">
        <v>685.101</v>
      </c>
      <c r="J33">
        <v>63.638206680570455</v>
      </c>
      <c r="K33">
        <v>172.02500000000001</v>
      </c>
      <c r="L33">
        <v>94.168000000000006</v>
      </c>
      <c r="M33">
        <v>204.864</v>
      </c>
      <c r="N33" s="82">
        <v>124.77500000000001</v>
      </c>
      <c r="O33" s="81">
        <v>0.34100000000000003</v>
      </c>
      <c r="P33">
        <v>0.54734537493158186</v>
      </c>
      <c r="Q33">
        <v>1.827</v>
      </c>
      <c r="R33">
        <v>0.54700000000000004</v>
      </c>
      <c r="S33" s="82">
        <v>0.72899999999999998</v>
      </c>
      <c r="T33" s="83">
        <v>600</v>
      </c>
      <c r="U33" s="81" t="s">
        <v>43</v>
      </c>
      <c r="V33" s="82">
        <v>22154</v>
      </c>
    </row>
    <row r="34" spans="1:22" x14ac:dyDescent="0.25">
      <c r="A34" s="97" t="s">
        <v>123</v>
      </c>
      <c r="B34" s="81">
        <v>224</v>
      </c>
      <c r="C34">
        <v>1200</v>
      </c>
      <c r="D34">
        <v>140</v>
      </c>
      <c r="E34" s="82">
        <v>30</v>
      </c>
      <c r="F34" s="3">
        <f t="shared" si="0"/>
        <v>44.444444444444443</v>
      </c>
      <c r="G34" s="81">
        <v>5</v>
      </c>
      <c r="H34">
        <v>7120.5249999999996</v>
      </c>
      <c r="I34">
        <v>608.226</v>
      </c>
      <c r="J34">
        <v>47.608124331030261</v>
      </c>
      <c r="K34">
        <v>123.303</v>
      </c>
      <c r="L34">
        <v>73.527000000000001</v>
      </c>
      <c r="M34">
        <v>164.85900000000001</v>
      </c>
      <c r="N34" s="82">
        <v>115.377</v>
      </c>
      <c r="O34" s="81">
        <v>0.24199999999999999</v>
      </c>
      <c r="P34">
        <v>0.59630292188431722</v>
      </c>
      <c r="Q34">
        <v>1.677</v>
      </c>
      <c r="R34">
        <v>0.59599999999999997</v>
      </c>
      <c r="S34" s="82">
        <v>0.58899999999999997</v>
      </c>
      <c r="T34" s="83">
        <v>600</v>
      </c>
      <c r="U34" s="81" t="s">
        <v>43</v>
      </c>
      <c r="V34" s="82">
        <v>18769</v>
      </c>
    </row>
    <row r="35" spans="1:22" x14ac:dyDescent="0.25">
      <c r="A35" s="97" t="s">
        <v>126</v>
      </c>
      <c r="B35" s="81">
        <v>280</v>
      </c>
      <c r="C35">
        <v>1200</v>
      </c>
      <c r="D35">
        <v>168</v>
      </c>
      <c r="E35" s="82">
        <v>30</v>
      </c>
      <c r="F35" s="3">
        <f t="shared" si="0"/>
        <v>46.296296296296298</v>
      </c>
      <c r="G35" s="81">
        <v>1315.0619769343571</v>
      </c>
      <c r="H35">
        <v>11381.484</v>
      </c>
      <c r="I35">
        <v>618.68600000000004</v>
      </c>
      <c r="J35">
        <v>60.190023065642983</v>
      </c>
      <c r="K35">
        <v>145.714</v>
      </c>
      <c r="L35">
        <v>99.450999999999993</v>
      </c>
      <c r="M35">
        <v>194.8</v>
      </c>
      <c r="N35" s="82">
        <v>120.67</v>
      </c>
      <c r="O35" s="81">
        <v>0.374</v>
      </c>
      <c r="P35">
        <v>0.68259385665529004</v>
      </c>
      <c r="Q35">
        <v>1.4650000000000001</v>
      </c>
      <c r="R35">
        <v>0.68300000000000005</v>
      </c>
      <c r="S35" s="82">
        <v>0.76100000000000001</v>
      </c>
      <c r="T35" s="83">
        <v>500</v>
      </c>
      <c r="U35" s="81" t="s">
        <v>43</v>
      </c>
      <c r="V35" s="82">
        <v>358390</v>
      </c>
    </row>
    <row r="36" spans="1:22" x14ac:dyDescent="0.25">
      <c r="A36" s="97" t="s">
        <v>127</v>
      </c>
      <c r="B36" s="81">
        <v>280</v>
      </c>
      <c r="C36">
        <v>1200</v>
      </c>
      <c r="D36">
        <v>168</v>
      </c>
      <c r="E36" s="82">
        <v>30</v>
      </c>
      <c r="F36" s="3">
        <f t="shared" si="0"/>
        <v>46.296296296296298</v>
      </c>
      <c r="G36" s="81">
        <v>65.012</v>
      </c>
      <c r="H36">
        <v>504.959</v>
      </c>
      <c r="I36">
        <v>92.951999999999998</v>
      </c>
      <c r="J36">
        <v>12.678069325314512</v>
      </c>
      <c r="K36">
        <v>32.865000000000002</v>
      </c>
      <c r="L36">
        <v>19.562999999999999</v>
      </c>
      <c r="M36">
        <v>33.901000000000003</v>
      </c>
      <c r="N36" s="82">
        <v>20.925999999999998</v>
      </c>
      <c r="O36" s="81">
        <v>0.73399999999999999</v>
      </c>
      <c r="P36">
        <v>0.59523809523809523</v>
      </c>
      <c r="Q36">
        <v>1.68</v>
      </c>
      <c r="R36">
        <v>0.59499999999999997</v>
      </c>
      <c r="S36" s="82">
        <v>0.93</v>
      </c>
      <c r="T36" s="83">
        <v>600</v>
      </c>
      <c r="U36" s="81" t="s">
        <v>43</v>
      </c>
      <c r="V36" s="82">
        <v>42567</v>
      </c>
    </row>
    <row r="37" spans="1:22" x14ac:dyDescent="0.25">
      <c r="A37" s="97" t="s">
        <v>132</v>
      </c>
      <c r="B37" s="81">
        <v>280</v>
      </c>
      <c r="C37">
        <v>1200</v>
      </c>
      <c r="D37">
        <v>168</v>
      </c>
      <c r="E37" s="82">
        <v>30</v>
      </c>
      <c r="F37" s="3">
        <f t="shared" si="0"/>
        <v>46.296296296296298</v>
      </c>
      <c r="G37" s="81">
        <v>27.003</v>
      </c>
      <c r="H37">
        <v>5454.5280000000002</v>
      </c>
      <c r="I37">
        <v>451.97500000000002</v>
      </c>
      <c r="J37">
        <v>41.668095551228397</v>
      </c>
      <c r="K37">
        <v>156.85900000000001</v>
      </c>
      <c r="L37">
        <v>44.274999999999999</v>
      </c>
      <c r="M37">
        <v>179.114</v>
      </c>
      <c r="N37" s="82">
        <v>60.265999999999998</v>
      </c>
      <c r="O37" s="81">
        <v>0.33600000000000002</v>
      </c>
      <c r="P37">
        <v>0.28224668360146765</v>
      </c>
      <c r="Q37">
        <v>3.5430000000000006</v>
      </c>
      <c r="R37">
        <v>0.28199999999999997</v>
      </c>
      <c r="S37" s="82">
        <v>0.65600000000000003</v>
      </c>
      <c r="T37" s="83">
        <v>450</v>
      </c>
      <c r="U37" s="81" t="s">
        <v>43</v>
      </c>
      <c r="V37" s="82">
        <v>67423</v>
      </c>
    </row>
    <row r="38" spans="1:22" x14ac:dyDescent="0.25">
      <c r="A38" s="97" t="s">
        <v>133</v>
      </c>
      <c r="B38" s="81">
        <v>280</v>
      </c>
      <c r="C38">
        <v>1200</v>
      </c>
      <c r="D38">
        <v>168</v>
      </c>
      <c r="E38" s="82">
        <v>30</v>
      </c>
      <c r="F38" s="3">
        <f t="shared" si="0"/>
        <v>46.296296296296298</v>
      </c>
      <c r="G38" s="81">
        <v>0</v>
      </c>
      <c r="H38">
        <v>5812.3819999999996</v>
      </c>
      <c r="I38">
        <v>701.33900000000006</v>
      </c>
      <c r="J38">
        <v>43.013238111966338</v>
      </c>
      <c r="K38">
        <v>245.685</v>
      </c>
      <c r="L38">
        <v>30.122</v>
      </c>
      <c r="M38">
        <v>262.428</v>
      </c>
      <c r="N38" s="82">
        <v>45.609000000000002</v>
      </c>
      <c r="O38" s="81">
        <v>0.14799999999999999</v>
      </c>
      <c r="P38">
        <v>0.12260912211868562</v>
      </c>
      <c r="Q38">
        <v>8.1560000000000006</v>
      </c>
      <c r="R38">
        <v>0.123</v>
      </c>
      <c r="S38" s="82">
        <v>0.58299999999999996</v>
      </c>
      <c r="T38" s="83">
        <v>600</v>
      </c>
      <c r="U38" s="81" t="s">
        <v>43</v>
      </c>
      <c r="V38" s="82">
        <v>16296</v>
      </c>
    </row>
    <row r="39" spans="1:22" x14ac:dyDescent="0.25">
      <c r="A39" s="97" t="s">
        <v>134</v>
      </c>
      <c r="B39" s="81">
        <v>280</v>
      </c>
      <c r="C39">
        <v>1200</v>
      </c>
      <c r="D39">
        <v>168</v>
      </c>
      <c r="E39" s="82">
        <v>30</v>
      </c>
      <c r="F39" s="3">
        <f t="shared" si="0"/>
        <v>46.296296296296298</v>
      </c>
      <c r="G39" s="81">
        <v>0</v>
      </c>
      <c r="H39">
        <v>21457.405999999999</v>
      </c>
      <c r="I39">
        <v>1334.8150000000001</v>
      </c>
      <c r="J39">
        <v>82.644446042425542</v>
      </c>
      <c r="K39">
        <v>177.02</v>
      </c>
      <c r="L39">
        <v>154.33500000000001</v>
      </c>
      <c r="M39">
        <v>237.636</v>
      </c>
      <c r="N39" s="82">
        <v>188.197</v>
      </c>
      <c r="O39" s="81">
        <v>0.151</v>
      </c>
      <c r="P39">
        <v>0.87183958151700081</v>
      </c>
      <c r="Q39">
        <v>1.147</v>
      </c>
      <c r="R39">
        <v>0.872</v>
      </c>
      <c r="S39" s="82">
        <v>0.63700000000000001</v>
      </c>
      <c r="T39" s="83">
        <v>600</v>
      </c>
      <c r="U39" s="81" t="s">
        <v>43</v>
      </c>
      <c r="V39" s="82">
        <v>15280</v>
      </c>
    </row>
    <row r="40" spans="1:22" x14ac:dyDescent="0.25">
      <c r="A40" s="97" t="s">
        <v>136</v>
      </c>
      <c r="B40" s="81">
        <v>280</v>
      </c>
      <c r="C40">
        <v>1200</v>
      </c>
      <c r="D40">
        <v>168</v>
      </c>
      <c r="E40" s="82">
        <v>30</v>
      </c>
      <c r="F40" s="3">
        <f t="shared" si="0"/>
        <v>46.296296296296298</v>
      </c>
      <c r="G40" s="81">
        <v>0</v>
      </c>
      <c r="H40">
        <v>2940.7220000000002</v>
      </c>
      <c r="I40">
        <v>442.01499999999999</v>
      </c>
      <c r="J40">
        <v>30.595112111547646</v>
      </c>
      <c r="K40">
        <v>116.33799999999999</v>
      </c>
      <c r="L40">
        <v>32.183999999999997</v>
      </c>
      <c r="M40">
        <v>170.48699999999999</v>
      </c>
      <c r="N40" s="82">
        <v>53.764000000000003</v>
      </c>
      <c r="O40" s="81">
        <v>0.189</v>
      </c>
      <c r="P40">
        <v>0.27662517289073302</v>
      </c>
      <c r="Q40">
        <v>3.6150000000000007</v>
      </c>
      <c r="R40">
        <v>0.27700000000000002</v>
      </c>
      <c r="S40" s="82">
        <v>0.51500000000000001</v>
      </c>
      <c r="T40" s="83">
        <v>500</v>
      </c>
      <c r="U40" s="81" t="s">
        <v>43</v>
      </c>
      <c r="V40" s="82">
        <v>34633</v>
      </c>
    </row>
    <row r="41" spans="1:22" x14ac:dyDescent="0.25">
      <c r="A41" s="97" t="s">
        <v>198</v>
      </c>
      <c r="B41" s="81">
        <v>280</v>
      </c>
      <c r="C41">
        <v>1200</v>
      </c>
      <c r="D41">
        <v>168</v>
      </c>
      <c r="E41" s="82">
        <v>30</v>
      </c>
      <c r="F41" s="3">
        <f t="shared" si="0"/>
        <v>46.296296296296298</v>
      </c>
      <c r="G41" s="81">
        <v>40</v>
      </c>
      <c r="H41">
        <v>8231</v>
      </c>
      <c r="I41">
        <v>539</v>
      </c>
      <c r="J41">
        <v>51.186020290493197</v>
      </c>
      <c r="K41">
        <v>135</v>
      </c>
      <c r="L41">
        <v>77</v>
      </c>
      <c r="M41">
        <v>207.37200000000001</v>
      </c>
      <c r="N41" s="82">
        <v>126.876</v>
      </c>
      <c r="O41" s="81">
        <v>0.36</v>
      </c>
      <c r="P41">
        <v>0.57471264367816088</v>
      </c>
      <c r="Q41">
        <v>1.7400000000000002</v>
      </c>
      <c r="R41">
        <v>0.56999999999999995</v>
      </c>
      <c r="S41" s="82">
        <v>0.65</v>
      </c>
      <c r="T41" s="83">
        <v>450</v>
      </c>
      <c r="U41" s="81" t="s">
        <v>43</v>
      </c>
      <c r="V41" s="82">
        <v>40140</v>
      </c>
    </row>
    <row r="42" spans="1:22" x14ac:dyDescent="0.25">
      <c r="A42" s="97" t="s">
        <v>201</v>
      </c>
      <c r="B42" s="81">
        <v>280</v>
      </c>
      <c r="C42">
        <v>1200</v>
      </c>
      <c r="D42">
        <v>168</v>
      </c>
      <c r="E42" s="82">
        <v>30</v>
      </c>
      <c r="F42" s="3">
        <f t="shared" si="0"/>
        <v>46.296296296296298</v>
      </c>
      <c r="G42" s="81">
        <v>0</v>
      </c>
      <c r="H42">
        <v>7059.21</v>
      </c>
      <c r="I42">
        <v>554.024</v>
      </c>
      <c r="J42">
        <v>47.402703843214233</v>
      </c>
      <c r="K42">
        <v>185.45599999999999</v>
      </c>
      <c r="L42">
        <v>48.465000000000003</v>
      </c>
      <c r="M42">
        <v>202.93</v>
      </c>
      <c r="N42" s="82">
        <v>82.241</v>
      </c>
      <c r="O42" s="81">
        <v>0.28899999999999998</v>
      </c>
      <c r="P42">
        <v>0.26130128037627387</v>
      </c>
      <c r="Q42">
        <v>3.8269999999999995</v>
      </c>
      <c r="R42">
        <v>0.26100000000000001</v>
      </c>
      <c r="S42" s="82">
        <v>0.57799999999999996</v>
      </c>
      <c r="T42" s="83">
        <v>450</v>
      </c>
      <c r="U42" s="81" t="s">
        <v>43</v>
      </c>
      <c r="V42" s="82">
        <v>59200</v>
      </c>
    </row>
    <row r="43" spans="1:22" x14ac:dyDescent="0.25">
      <c r="A43" s="97" t="s">
        <v>205</v>
      </c>
      <c r="B43" s="81">
        <v>280</v>
      </c>
      <c r="C43">
        <v>1200</v>
      </c>
      <c r="D43">
        <v>168</v>
      </c>
      <c r="E43" s="82">
        <v>30</v>
      </c>
      <c r="F43" s="3">
        <f t="shared" si="0"/>
        <v>46.296296296296298</v>
      </c>
      <c r="G43" s="81">
        <v>0</v>
      </c>
      <c r="H43">
        <v>12069.984</v>
      </c>
      <c r="I43">
        <v>901.76900000000001</v>
      </c>
      <c r="J43">
        <v>61.98383041794186</v>
      </c>
      <c r="K43">
        <v>205.46299999999999</v>
      </c>
      <c r="L43">
        <v>74.796999999999997</v>
      </c>
      <c r="M43">
        <v>256.83800000000002</v>
      </c>
      <c r="N43" s="82">
        <v>112.672</v>
      </c>
      <c r="O43" s="81">
        <v>0.187</v>
      </c>
      <c r="P43">
        <v>0.36403349108117949</v>
      </c>
      <c r="Q43">
        <v>2.7469999999999999</v>
      </c>
      <c r="R43">
        <v>0.36399999999999999</v>
      </c>
      <c r="S43" s="82">
        <v>0.50900000000000001</v>
      </c>
      <c r="T43" s="83">
        <v>600</v>
      </c>
      <c r="U43" s="81" t="s">
        <v>43</v>
      </c>
      <c r="V43" s="82">
        <v>15254</v>
      </c>
    </row>
    <row r="44" spans="1:22" x14ac:dyDescent="0.25">
      <c r="A44" s="97" t="s">
        <v>206</v>
      </c>
      <c r="B44" s="81">
        <v>280</v>
      </c>
      <c r="C44">
        <v>1200</v>
      </c>
      <c r="D44">
        <v>168</v>
      </c>
      <c r="E44" s="82">
        <v>30</v>
      </c>
      <c r="F44" s="3">
        <f t="shared" si="0"/>
        <v>46.296296296296298</v>
      </c>
      <c r="G44" s="81">
        <v>23.73</v>
      </c>
      <c r="H44">
        <v>12955.007</v>
      </c>
      <c r="I44">
        <v>1475.433</v>
      </c>
      <c r="J44">
        <v>64.216094584459213</v>
      </c>
      <c r="K44">
        <v>168.55500000000001</v>
      </c>
      <c r="L44">
        <v>97.86</v>
      </c>
      <c r="M44">
        <v>349.5</v>
      </c>
      <c r="N44" s="82">
        <v>203.30199999999999</v>
      </c>
      <c r="O44" s="81">
        <v>7.4999999999999997E-2</v>
      </c>
      <c r="P44">
        <v>0.58072009291521487</v>
      </c>
      <c r="Q44">
        <v>1.722</v>
      </c>
      <c r="R44">
        <v>0.58099999999999996</v>
      </c>
      <c r="S44" s="82">
        <v>0.26500000000000001</v>
      </c>
      <c r="T44" s="83">
        <v>600</v>
      </c>
      <c r="U44" s="81" t="s">
        <v>43</v>
      </c>
      <c r="V44" s="82">
        <v>10294</v>
      </c>
    </row>
    <row r="45" spans="1:22" x14ac:dyDescent="0.25">
      <c r="A45" s="97" t="s">
        <v>209</v>
      </c>
      <c r="B45" s="81">
        <v>280</v>
      </c>
      <c r="C45">
        <v>1200</v>
      </c>
      <c r="D45">
        <v>168</v>
      </c>
      <c r="E45" s="82">
        <v>30</v>
      </c>
      <c r="F45" s="3">
        <f t="shared" si="0"/>
        <v>46.296296296296298</v>
      </c>
      <c r="G45" s="81">
        <v>6.0720000000000001</v>
      </c>
      <c r="H45">
        <v>10069.234</v>
      </c>
      <c r="I45">
        <v>457.274</v>
      </c>
      <c r="J45">
        <v>56.613926983543152</v>
      </c>
      <c r="K45">
        <v>138.31200000000001</v>
      </c>
      <c r="L45">
        <v>92.692999999999998</v>
      </c>
      <c r="M45">
        <v>165.55600000000001</v>
      </c>
      <c r="N45" s="82">
        <v>101.637</v>
      </c>
      <c r="O45" s="81">
        <v>0.60499999999999998</v>
      </c>
      <c r="P45">
        <v>0.67024128686327078</v>
      </c>
      <c r="Q45">
        <v>1.492</v>
      </c>
      <c r="R45">
        <v>0.67</v>
      </c>
      <c r="S45" s="82">
        <v>0.82499999999999996</v>
      </c>
      <c r="T45" s="83">
        <v>600</v>
      </c>
      <c r="U45" s="81" t="s">
        <v>43</v>
      </c>
      <c r="V45" s="82">
        <v>17240</v>
      </c>
    </row>
    <row r="46" spans="1:22" x14ac:dyDescent="0.25">
      <c r="A46" s="97" t="s">
        <v>210</v>
      </c>
      <c r="B46" s="81">
        <v>280</v>
      </c>
      <c r="C46">
        <v>1200</v>
      </c>
      <c r="D46">
        <v>168</v>
      </c>
      <c r="E46" s="82">
        <v>30</v>
      </c>
      <c r="F46" s="3">
        <f t="shared" si="0"/>
        <v>46.296296296296298</v>
      </c>
      <c r="G46" s="81">
        <v>9.6300000000000008</v>
      </c>
      <c r="H46">
        <v>13100.549000000001</v>
      </c>
      <c r="I46">
        <v>594.35500000000002</v>
      </c>
      <c r="J46">
        <v>64.575802442828177</v>
      </c>
      <c r="K46">
        <v>147.41200000000001</v>
      </c>
      <c r="L46">
        <v>113.15300000000001</v>
      </c>
      <c r="M46">
        <v>164.85900000000001</v>
      </c>
      <c r="N46" s="82">
        <v>147.39400000000001</v>
      </c>
      <c r="O46" s="81">
        <v>0.46600000000000003</v>
      </c>
      <c r="P46">
        <v>0.76745970836531086</v>
      </c>
      <c r="Q46">
        <v>1.3029999999999999</v>
      </c>
      <c r="R46">
        <v>0.76800000000000002</v>
      </c>
      <c r="S46" s="82">
        <v>0.76700000000000002</v>
      </c>
      <c r="T46" s="83">
        <v>500</v>
      </c>
      <c r="U46" s="81" t="s">
        <v>43</v>
      </c>
      <c r="V46" s="82">
        <v>28412</v>
      </c>
    </row>
    <row r="47" spans="1:22" x14ac:dyDescent="0.25">
      <c r="A47" s="97" t="s">
        <v>213</v>
      </c>
      <c r="B47" s="81">
        <v>280</v>
      </c>
      <c r="C47">
        <v>1200</v>
      </c>
      <c r="D47">
        <v>168</v>
      </c>
      <c r="E47" s="82">
        <v>30</v>
      </c>
      <c r="F47" s="3">
        <f t="shared" si="0"/>
        <v>46.296296296296298</v>
      </c>
      <c r="G47" s="81">
        <v>0</v>
      </c>
      <c r="H47">
        <v>4413.8270000000002</v>
      </c>
      <c r="I47">
        <v>291.71499999999997</v>
      </c>
      <c r="J47">
        <v>37.482859682859612</v>
      </c>
      <c r="K47">
        <v>89.028999999999996</v>
      </c>
      <c r="L47">
        <v>63.124000000000002</v>
      </c>
      <c r="M47">
        <v>110.58799999999999</v>
      </c>
      <c r="N47" s="82">
        <v>73.289000000000001</v>
      </c>
      <c r="O47" s="81">
        <v>0.65200000000000002</v>
      </c>
      <c r="P47">
        <v>0.70921985815602839</v>
      </c>
      <c r="Q47">
        <v>1.41</v>
      </c>
      <c r="R47">
        <v>0.70899999999999996</v>
      </c>
      <c r="S47" s="82">
        <v>0.878</v>
      </c>
      <c r="T47" s="83">
        <v>500</v>
      </c>
      <c r="U47" s="81" t="s">
        <v>43</v>
      </c>
      <c r="V47" s="82">
        <v>45496</v>
      </c>
    </row>
    <row r="48" spans="1:22" x14ac:dyDescent="0.25">
      <c r="A48" s="97" t="s">
        <v>259</v>
      </c>
      <c r="B48" s="81">
        <v>224</v>
      </c>
      <c r="C48">
        <v>1200</v>
      </c>
      <c r="D48">
        <v>140</v>
      </c>
      <c r="E48" s="82">
        <v>30</v>
      </c>
      <c r="F48" s="3">
        <f t="shared" si="0"/>
        <v>44.444444444444443</v>
      </c>
      <c r="G48" s="81">
        <v>63.661999999999999</v>
      </c>
      <c r="H48">
        <v>7975.8779999999997</v>
      </c>
      <c r="I48">
        <v>602.92399999999998</v>
      </c>
      <c r="J48">
        <v>50.38651425129347</v>
      </c>
      <c r="K48">
        <v>171.97499999999999</v>
      </c>
      <c r="L48">
        <v>59.051000000000002</v>
      </c>
      <c r="M48">
        <v>199.714</v>
      </c>
      <c r="N48" s="82">
        <v>85.938999999999993</v>
      </c>
      <c r="O48" s="81">
        <v>0.27600000000000002</v>
      </c>
      <c r="P48">
        <v>0.34340659340659341</v>
      </c>
      <c r="Q48">
        <v>2.9119999999999999</v>
      </c>
      <c r="R48">
        <v>0.34300000000000003</v>
      </c>
      <c r="S48" s="82">
        <v>0.55600000000000005</v>
      </c>
      <c r="T48" s="83">
        <v>500</v>
      </c>
      <c r="U48" s="81" t="s">
        <v>43</v>
      </c>
      <c r="V48" s="82">
        <v>410147</v>
      </c>
    </row>
    <row r="49" spans="1:22" x14ac:dyDescent="0.25">
      <c r="A49" s="97" t="s">
        <v>261</v>
      </c>
      <c r="B49" s="81">
        <v>224</v>
      </c>
      <c r="C49">
        <v>1200</v>
      </c>
      <c r="D49">
        <v>140</v>
      </c>
      <c r="E49" s="82">
        <v>30</v>
      </c>
      <c r="F49" s="3">
        <f t="shared" si="0"/>
        <v>44.444444444444443</v>
      </c>
      <c r="G49" s="81">
        <v>215.601</v>
      </c>
      <c r="H49">
        <v>7219.4790000000003</v>
      </c>
      <c r="I49">
        <v>650.91700000000003</v>
      </c>
      <c r="J49">
        <v>47.937788213436242</v>
      </c>
      <c r="K49">
        <v>136.316</v>
      </c>
      <c r="L49">
        <v>67.433000000000007</v>
      </c>
      <c r="M49">
        <v>198.83699999999999</v>
      </c>
      <c r="N49" s="82">
        <v>107.113</v>
      </c>
      <c r="O49" s="81">
        <v>0.214</v>
      </c>
      <c r="P49">
        <v>0.49455984174085071</v>
      </c>
      <c r="Q49">
        <v>2.0219999999999998</v>
      </c>
      <c r="R49">
        <v>0.495</v>
      </c>
      <c r="S49" s="82">
        <v>0.54</v>
      </c>
      <c r="T49" s="83">
        <v>450</v>
      </c>
      <c r="U49" s="81" t="s">
        <v>43</v>
      </c>
      <c r="V49" s="82">
        <v>1672166</v>
      </c>
    </row>
    <row r="50" spans="1:22" x14ac:dyDescent="0.25">
      <c r="A50" s="97" t="s">
        <v>262</v>
      </c>
      <c r="B50" s="81">
        <v>224</v>
      </c>
      <c r="C50">
        <v>1200</v>
      </c>
      <c r="D50">
        <v>140</v>
      </c>
      <c r="E50" s="82">
        <v>30</v>
      </c>
      <c r="F50" s="3">
        <f t="shared" si="0"/>
        <v>44.444444444444443</v>
      </c>
      <c r="G50" s="81">
        <v>0</v>
      </c>
      <c r="H50">
        <v>4676.79</v>
      </c>
      <c r="I50">
        <v>492.35700000000003</v>
      </c>
      <c r="J50">
        <v>38.583267002749913</v>
      </c>
      <c r="K50">
        <v>137.72300000000001</v>
      </c>
      <c r="L50">
        <v>43.237000000000002</v>
      </c>
      <c r="M50">
        <v>173.37700000000001</v>
      </c>
      <c r="N50" s="82">
        <v>65.522000000000006</v>
      </c>
      <c r="O50" s="81">
        <v>0.24199999999999999</v>
      </c>
      <c r="P50">
        <v>0.31397174254317112</v>
      </c>
      <c r="Q50">
        <v>3.1850000000000001</v>
      </c>
      <c r="R50">
        <v>0.314</v>
      </c>
      <c r="S50" s="82">
        <v>0.56999999999999995</v>
      </c>
      <c r="T50" s="83">
        <v>600</v>
      </c>
      <c r="U50" s="81" t="s">
        <v>43</v>
      </c>
      <c r="V50" s="82">
        <v>24219</v>
      </c>
    </row>
    <row r="51" spans="1:22" x14ac:dyDescent="0.25">
      <c r="A51" s="97" t="s">
        <v>265</v>
      </c>
      <c r="B51" s="81">
        <v>224</v>
      </c>
      <c r="C51">
        <v>1200</v>
      </c>
      <c r="D51">
        <v>140</v>
      </c>
      <c r="E51" s="82">
        <v>30</v>
      </c>
      <c r="F51" s="3">
        <f t="shared" si="0"/>
        <v>44.444444444444443</v>
      </c>
      <c r="G51" s="81">
        <v>7.6109999999999998</v>
      </c>
      <c r="H51">
        <v>6369.6090000000004</v>
      </c>
      <c r="I51">
        <v>454.09300000000002</v>
      </c>
      <c r="J51">
        <v>45.027874875739457</v>
      </c>
      <c r="K51">
        <v>150.822</v>
      </c>
      <c r="L51">
        <v>53.771999999999998</v>
      </c>
      <c r="M51">
        <v>172.114</v>
      </c>
      <c r="N51" s="82">
        <v>72.826999999999998</v>
      </c>
      <c r="O51" s="81">
        <v>0.38800000000000001</v>
      </c>
      <c r="P51">
        <v>0.35650623885918004</v>
      </c>
      <c r="Q51">
        <v>2.8050000000000002</v>
      </c>
      <c r="R51">
        <v>0.35699999999999998</v>
      </c>
      <c r="S51" s="82">
        <v>0.72899999999999998</v>
      </c>
      <c r="T51" s="83">
        <v>600</v>
      </c>
      <c r="U51" s="81" t="s">
        <v>43</v>
      </c>
      <c r="V51" s="82">
        <v>50070</v>
      </c>
    </row>
    <row r="52" spans="1:22" x14ac:dyDescent="0.25">
      <c r="A52" s="97" t="s">
        <v>278</v>
      </c>
      <c r="B52" s="81">
        <v>280</v>
      </c>
      <c r="C52">
        <v>1200</v>
      </c>
      <c r="D52">
        <v>168</v>
      </c>
      <c r="E52" s="82">
        <v>30</v>
      </c>
      <c r="F52" s="3">
        <f t="shared" si="0"/>
        <v>46.296296296296298</v>
      </c>
      <c r="G52" s="81">
        <v>354.03</v>
      </c>
      <c r="H52">
        <v>8295.1</v>
      </c>
      <c r="I52">
        <v>740.71</v>
      </c>
      <c r="J52">
        <v>51.384942705846839</v>
      </c>
      <c r="K52">
        <v>119.711</v>
      </c>
      <c r="L52">
        <v>88.225999999999999</v>
      </c>
      <c r="M52">
        <v>190.57400000000001</v>
      </c>
      <c r="N52" s="82">
        <v>135.244</v>
      </c>
      <c r="O52" s="81">
        <v>0.19</v>
      </c>
      <c r="P52">
        <v>0.73691967575534267</v>
      </c>
      <c r="Q52">
        <v>1.357</v>
      </c>
      <c r="R52">
        <v>0.73699999999999999</v>
      </c>
      <c r="S52" s="82">
        <v>0.45200000000000001</v>
      </c>
      <c r="T52" s="83">
        <v>500</v>
      </c>
      <c r="U52" s="81" t="s">
        <v>43</v>
      </c>
      <c r="V52" s="82">
        <v>448264</v>
      </c>
    </row>
    <row r="53" spans="1:22" x14ac:dyDescent="0.25">
      <c r="A53" s="97" t="s">
        <v>280</v>
      </c>
      <c r="B53" s="81">
        <v>280</v>
      </c>
      <c r="C53">
        <v>1200</v>
      </c>
      <c r="D53">
        <v>168</v>
      </c>
      <c r="E53" s="82">
        <v>30</v>
      </c>
      <c r="F53" s="3">
        <f t="shared" si="0"/>
        <v>46.296296296296298</v>
      </c>
      <c r="G53" s="81">
        <v>859.21900000000005</v>
      </c>
      <c r="H53">
        <v>10138.735000000001</v>
      </c>
      <c r="I53">
        <v>663.22799999999995</v>
      </c>
      <c r="J53">
        <v>56.808974501372717</v>
      </c>
      <c r="K53">
        <v>127.321</v>
      </c>
      <c r="L53">
        <v>101.369</v>
      </c>
      <c r="M53">
        <v>195.77099999999999</v>
      </c>
      <c r="N53" s="82">
        <v>136.52699999999999</v>
      </c>
      <c r="O53" s="81">
        <v>0.28999999999999998</v>
      </c>
      <c r="P53">
        <v>0.79617834394904463</v>
      </c>
      <c r="Q53">
        <v>1.256</v>
      </c>
      <c r="R53">
        <v>0.79600000000000004</v>
      </c>
      <c r="S53" s="82">
        <v>0.54300000000000004</v>
      </c>
      <c r="T53" s="83">
        <v>600</v>
      </c>
      <c r="U53" s="81" t="s">
        <v>43</v>
      </c>
      <c r="V53" s="82">
        <v>97697</v>
      </c>
    </row>
    <row r="54" spans="1:22" x14ac:dyDescent="0.25">
      <c r="A54" s="21" t="s">
        <v>346</v>
      </c>
      <c r="B54" s="81">
        <v>291.2</v>
      </c>
      <c r="C54">
        <v>1300</v>
      </c>
      <c r="D54">
        <v>117.12</v>
      </c>
      <c r="E54" s="82">
        <v>40</v>
      </c>
      <c r="F54" s="3">
        <f t="shared" si="0"/>
        <v>47.814207650273225</v>
      </c>
      <c r="G54" s="81">
        <v>986.15</v>
      </c>
      <c r="H54">
        <v>24633.99</v>
      </c>
      <c r="I54">
        <v>1485.58</v>
      </c>
      <c r="J54">
        <f t="shared" ref="J54:J117" si="1">SQRT(H54/PI())</f>
        <v>88.550790810430584</v>
      </c>
      <c r="K54">
        <v>311.81</v>
      </c>
      <c r="L54">
        <v>100.59</v>
      </c>
      <c r="M54">
        <v>412.77</v>
      </c>
      <c r="N54" s="82">
        <v>218.46</v>
      </c>
      <c r="O54" s="81">
        <v>0.14000000000000001</v>
      </c>
      <c r="P54">
        <f t="shared" ref="P54:P110" si="2">1/Q54</f>
        <v>0.32258064516129031</v>
      </c>
      <c r="Q54">
        <v>3.1</v>
      </c>
      <c r="R54">
        <v>0.32</v>
      </c>
      <c r="S54" s="82">
        <v>0.38</v>
      </c>
      <c r="T54" s="83">
        <v>500</v>
      </c>
      <c r="U54" s="81" t="s">
        <v>43</v>
      </c>
      <c r="V54" s="82">
        <v>120248</v>
      </c>
    </row>
    <row r="55" spans="1:22" x14ac:dyDescent="0.25">
      <c r="A55" s="21" t="s">
        <v>348</v>
      </c>
      <c r="B55" s="81">
        <v>291.2</v>
      </c>
      <c r="C55">
        <v>1300</v>
      </c>
      <c r="D55">
        <v>117.12</v>
      </c>
      <c r="E55" s="82">
        <v>40</v>
      </c>
      <c r="F55" s="3">
        <f t="shared" si="0"/>
        <v>47.814207650273225</v>
      </c>
      <c r="G55" s="81">
        <v>29.568999999999999</v>
      </c>
      <c r="H55">
        <v>5008</v>
      </c>
      <c r="I55">
        <v>344.73</v>
      </c>
      <c r="J55">
        <f t="shared" si="1"/>
        <v>39.926130666625134</v>
      </c>
      <c r="K55">
        <v>108.49</v>
      </c>
      <c r="L55">
        <v>59.02</v>
      </c>
      <c r="M55">
        <v>120.23</v>
      </c>
      <c r="N55" s="82">
        <v>69.09</v>
      </c>
      <c r="O55" s="81">
        <v>0.53</v>
      </c>
      <c r="P55">
        <f t="shared" si="2"/>
        <v>0.54347826086956519</v>
      </c>
      <c r="Q55">
        <v>1.84</v>
      </c>
      <c r="R55">
        <v>0.54</v>
      </c>
      <c r="S55" s="82">
        <v>0.84</v>
      </c>
      <c r="T55" s="83">
        <v>600</v>
      </c>
      <c r="U55" s="81" t="s">
        <v>43</v>
      </c>
      <c r="V55" s="82">
        <v>145890</v>
      </c>
    </row>
    <row r="56" spans="1:22" x14ac:dyDescent="0.25">
      <c r="A56" s="21" t="s">
        <v>349</v>
      </c>
      <c r="B56" s="81">
        <v>291.2</v>
      </c>
      <c r="C56">
        <v>1300</v>
      </c>
      <c r="D56">
        <v>117.12</v>
      </c>
      <c r="E56" s="82">
        <v>40</v>
      </c>
      <c r="F56" s="3">
        <f t="shared" si="0"/>
        <v>47.814207650273225</v>
      </c>
      <c r="G56" s="81">
        <v>183.74</v>
      </c>
      <c r="H56">
        <v>3213.01</v>
      </c>
      <c r="I56">
        <v>285.13</v>
      </c>
      <c r="J56">
        <f t="shared" si="1"/>
        <v>31.98019461178092</v>
      </c>
      <c r="K56">
        <v>98.8</v>
      </c>
      <c r="L56">
        <v>41.41</v>
      </c>
      <c r="M56">
        <v>106.91</v>
      </c>
      <c r="N56" s="82">
        <v>49.51</v>
      </c>
      <c r="O56" s="81">
        <v>0.5</v>
      </c>
      <c r="P56">
        <f t="shared" si="2"/>
        <v>0.41841004184100417</v>
      </c>
      <c r="Q56">
        <v>2.39</v>
      </c>
      <c r="R56">
        <v>0.42</v>
      </c>
      <c r="S56" s="82">
        <v>0.76</v>
      </c>
      <c r="T56" s="83">
        <v>700</v>
      </c>
      <c r="U56" s="81" t="s">
        <v>43</v>
      </c>
      <c r="V56" s="82">
        <v>81706</v>
      </c>
    </row>
    <row r="57" spans="1:22" x14ac:dyDescent="0.25">
      <c r="A57" s="21" t="s">
        <v>350</v>
      </c>
      <c r="B57" s="81">
        <v>291.2</v>
      </c>
      <c r="C57">
        <v>1300</v>
      </c>
      <c r="D57">
        <v>117.12</v>
      </c>
      <c r="E57" s="82">
        <v>40</v>
      </c>
      <c r="F57" s="3">
        <f t="shared" si="0"/>
        <v>47.814207650273225</v>
      </c>
      <c r="G57" s="81">
        <v>321.23</v>
      </c>
      <c r="H57">
        <v>5246.85</v>
      </c>
      <c r="I57">
        <v>305.85000000000002</v>
      </c>
      <c r="J57">
        <f t="shared" si="1"/>
        <v>40.867153391488159</v>
      </c>
      <c r="K57">
        <v>104.53</v>
      </c>
      <c r="L57">
        <v>63.91</v>
      </c>
      <c r="M57">
        <v>111.84</v>
      </c>
      <c r="N57" s="82">
        <v>68.75</v>
      </c>
      <c r="O57" s="81">
        <v>0.7</v>
      </c>
      <c r="P57">
        <f t="shared" si="2"/>
        <v>0.6097560975609756</v>
      </c>
      <c r="Q57">
        <v>1.64</v>
      </c>
      <c r="R57">
        <v>0.61</v>
      </c>
      <c r="S57" s="82">
        <v>0.92</v>
      </c>
      <c r="T57" s="83">
        <v>700</v>
      </c>
      <c r="U57" s="81" t="s">
        <v>43</v>
      </c>
      <c r="V57" s="82">
        <v>53815</v>
      </c>
    </row>
    <row r="58" spans="1:22" x14ac:dyDescent="0.25">
      <c r="A58" s="21" t="s">
        <v>351</v>
      </c>
      <c r="B58" s="81">
        <v>291.2</v>
      </c>
      <c r="C58">
        <v>1300</v>
      </c>
      <c r="D58">
        <v>117.12</v>
      </c>
      <c r="E58" s="82">
        <v>40</v>
      </c>
      <c r="F58" s="3">
        <f t="shared" si="0"/>
        <v>47.814207650273225</v>
      </c>
      <c r="G58" s="81">
        <v>848.44</v>
      </c>
      <c r="H58">
        <v>7004.58</v>
      </c>
      <c r="I58">
        <v>380.17</v>
      </c>
      <c r="J58">
        <f t="shared" si="1"/>
        <v>47.21892695270887</v>
      </c>
      <c r="K58">
        <v>97.72</v>
      </c>
      <c r="L58">
        <v>91.27</v>
      </c>
      <c r="M58">
        <v>117.73</v>
      </c>
      <c r="N58" s="82">
        <v>102.68</v>
      </c>
      <c r="O58" s="81">
        <v>0.61</v>
      </c>
      <c r="P58">
        <f t="shared" si="2"/>
        <v>0.93457943925233644</v>
      </c>
      <c r="Q58">
        <v>1.07</v>
      </c>
      <c r="R58">
        <v>0.93</v>
      </c>
      <c r="S58" s="82">
        <v>0.87</v>
      </c>
      <c r="T58" s="83">
        <v>600</v>
      </c>
      <c r="U58" s="81" t="s">
        <v>64</v>
      </c>
      <c r="V58" s="82">
        <v>136435</v>
      </c>
    </row>
    <row r="59" spans="1:22" x14ac:dyDescent="0.25">
      <c r="A59" s="21" t="s">
        <v>352</v>
      </c>
      <c r="B59" s="81">
        <v>291.2</v>
      </c>
      <c r="C59">
        <v>1300</v>
      </c>
      <c r="D59">
        <v>117.12</v>
      </c>
      <c r="E59" s="82">
        <v>40</v>
      </c>
      <c r="F59" s="3">
        <f t="shared" si="0"/>
        <v>47.814207650273225</v>
      </c>
      <c r="G59" s="81">
        <v>669.28</v>
      </c>
      <c r="H59">
        <v>3910.12</v>
      </c>
      <c r="I59">
        <v>288.24</v>
      </c>
      <c r="J59">
        <f t="shared" si="1"/>
        <v>35.27931195707994</v>
      </c>
      <c r="K59">
        <v>101.94</v>
      </c>
      <c r="L59">
        <v>48.84</v>
      </c>
      <c r="M59">
        <v>102.05</v>
      </c>
      <c r="N59" s="82">
        <v>54.91</v>
      </c>
      <c r="O59" s="81">
        <v>0.59</v>
      </c>
      <c r="P59">
        <f t="shared" si="2"/>
        <v>0.47846889952153115</v>
      </c>
      <c r="Q59">
        <v>2.09</v>
      </c>
      <c r="R59">
        <v>0.48</v>
      </c>
      <c r="S59" s="82">
        <v>0.83</v>
      </c>
      <c r="T59" s="83">
        <v>500</v>
      </c>
      <c r="U59" s="81" t="s">
        <v>43</v>
      </c>
      <c r="V59" s="82">
        <v>2085371</v>
      </c>
    </row>
    <row r="60" spans="1:22" x14ac:dyDescent="0.25">
      <c r="A60" s="21" t="s">
        <v>353</v>
      </c>
      <c r="B60" s="81">
        <v>291.2</v>
      </c>
      <c r="C60">
        <v>1300</v>
      </c>
      <c r="D60">
        <v>117.12</v>
      </c>
      <c r="E60" s="82">
        <v>40</v>
      </c>
      <c r="F60" s="3">
        <f t="shared" si="0"/>
        <v>47.814207650273225</v>
      </c>
      <c r="G60" s="81">
        <v>1725.36</v>
      </c>
      <c r="H60">
        <v>3184.52</v>
      </c>
      <c r="I60">
        <v>339.71</v>
      </c>
      <c r="J60">
        <f t="shared" si="1"/>
        <v>31.83809351625824</v>
      </c>
      <c r="K60">
        <v>84.72</v>
      </c>
      <c r="L60">
        <v>47.86</v>
      </c>
      <c r="M60">
        <v>103.79</v>
      </c>
      <c r="N60" s="82">
        <v>63.38</v>
      </c>
      <c r="O60" s="81">
        <v>0.35</v>
      </c>
      <c r="P60">
        <f t="shared" si="2"/>
        <v>0.56497175141242939</v>
      </c>
      <c r="Q60">
        <v>1.77</v>
      </c>
      <c r="R60">
        <v>0.56000000000000005</v>
      </c>
      <c r="S60" s="82">
        <v>0.69</v>
      </c>
      <c r="T60" s="83">
        <v>600</v>
      </c>
      <c r="U60" s="81" t="s">
        <v>43</v>
      </c>
      <c r="V60" s="82">
        <v>426998</v>
      </c>
    </row>
    <row r="61" spans="1:22" x14ac:dyDescent="0.25">
      <c r="A61" s="21" t="s">
        <v>354</v>
      </c>
      <c r="B61" s="81">
        <v>291.2</v>
      </c>
      <c r="C61">
        <v>1300</v>
      </c>
      <c r="D61">
        <v>117.12</v>
      </c>
      <c r="E61" s="82">
        <v>40</v>
      </c>
      <c r="F61" s="3">
        <f t="shared" si="0"/>
        <v>47.814207650273225</v>
      </c>
      <c r="G61" s="81">
        <v>118.65</v>
      </c>
      <c r="H61">
        <v>1378.31</v>
      </c>
      <c r="I61">
        <v>164.09</v>
      </c>
      <c r="J61">
        <f t="shared" si="1"/>
        <v>20.945875470506849</v>
      </c>
      <c r="K61">
        <v>62.93</v>
      </c>
      <c r="L61">
        <v>27.89</v>
      </c>
      <c r="M61">
        <v>64.09</v>
      </c>
      <c r="N61" s="82">
        <v>31.75</v>
      </c>
      <c r="O61" s="81">
        <v>0.64</v>
      </c>
      <c r="P61">
        <f t="shared" si="2"/>
        <v>0.44247787610619471</v>
      </c>
      <c r="Q61">
        <v>2.2599999999999998</v>
      </c>
      <c r="R61">
        <v>0.44</v>
      </c>
      <c r="S61" s="82">
        <v>0.89</v>
      </c>
      <c r="T61" s="83">
        <v>700</v>
      </c>
      <c r="U61" s="81" t="s">
        <v>43</v>
      </c>
      <c r="V61" s="82">
        <v>211822</v>
      </c>
    </row>
    <row r="62" spans="1:22" x14ac:dyDescent="0.25">
      <c r="A62" s="21" t="s">
        <v>355</v>
      </c>
      <c r="B62" s="81">
        <v>291.2</v>
      </c>
      <c r="C62">
        <v>1300</v>
      </c>
      <c r="D62">
        <v>117.12</v>
      </c>
      <c r="E62" s="82">
        <v>40</v>
      </c>
      <c r="F62" s="3">
        <f t="shared" si="0"/>
        <v>47.814207650273225</v>
      </c>
      <c r="G62" s="81">
        <v>643.16</v>
      </c>
      <c r="H62">
        <v>426.72</v>
      </c>
      <c r="I62">
        <v>75.459999999999994</v>
      </c>
      <c r="J62">
        <f t="shared" si="1"/>
        <v>11.654578269175902</v>
      </c>
      <c r="K62">
        <v>24.67</v>
      </c>
      <c r="L62">
        <v>22.02</v>
      </c>
      <c r="M62">
        <v>25.44</v>
      </c>
      <c r="N62" s="82">
        <v>22.01</v>
      </c>
      <c r="O62" s="81">
        <v>0.94</v>
      </c>
      <c r="P62">
        <f t="shared" si="2"/>
        <v>0.89285714285714279</v>
      </c>
      <c r="Q62">
        <v>1.1200000000000001</v>
      </c>
      <c r="R62">
        <v>0.89</v>
      </c>
      <c r="S62" s="82">
        <v>0.99</v>
      </c>
      <c r="T62" s="83">
        <v>600</v>
      </c>
      <c r="U62" s="81" t="s">
        <v>64</v>
      </c>
      <c r="V62" s="82">
        <v>1005499</v>
      </c>
    </row>
    <row r="63" spans="1:22" x14ac:dyDescent="0.25">
      <c r="A63" s="21" t="s">
        <v>356</v>
      </c>
      <c r="B63" s="81">
        <v>291.2</v>
      </c>
      <c r="C63">
        <v>1300</v>
      </c>
      <c r="D63">
        <v>117.12</v>
      </c>
      <c r="E63" s="82">
        <v>40</v>
      </c>
      <c r="F63" s="3">
        <f t="shared" si="0"/>
        <v>47.814207650273225</v>
      </c>
      <c r="G63" s="81">
        <v>83.78</v>
      </c>
      <c r="H63">
        <v>128.41999999999999</v>
      </c>
      <c r="I63">
        <v>64.510000000000005</v>
      </c>
      <c r="J63">
        <f t="shared" si="1"/>
        <v>6.3935401448432616</v>
      </c>
      <c r="K63">
        <v>20.18</v>
      </c>
      <c r="L63">
        <v>8.1</v>
      </c>
      <c r="M63">
        <v>22.97</v>
      </c>
      <c r="N63" s="82">
        <v>11.77</v>
      </c>
      <c r="O63" s="81">
        <v>0.39</v>
      </c>
      <c r="P63">
        <f t="shared" si="2"/>
        <v>0.40160642570281119</v>
      </c>
      <c r="Q63">
        <v>2.4900000000000002</v>
      </c>
      <c r="R63">
        <v>0.4</v>
      </c>
      <c r="S63" s="82">
        <v>0.75</v>
      </c>
      <c r="T63" s="83">
        <v>500</v>
      </c>
      <c r="U63" s="81" t="s">
        <v>43</v>
      </c>
      <c r="V63" s="82">
        <v>3458151</v>
      </c>
    </row>
    <row r="64" spans="1:22" x14ac:dyDescent="0.25">
      <c r="A64" s="21" t="s">
        <v>357</v>
      </c>
      <c r="B64" s="81">
        <v>291.2</v>
      </c>
      <c r="C64">
        <v>1300</v>
      </c>
      <c r="D64">
        <v>117.12</v>
      </c>
      <c r="E64" s="82">
        <v>40</v>
      </c>
      <c r="F64" s="3">
        <f t="shared" si="0"/>
        <v>47.814207650273225</v>
      </c>
      <c r="G64" s="81">
        <v>0</v>
      </c>
      <c r="H64">
        <v>436.25</v>
      </c>
      <c r="I64">
        <v>328.28</v>
      </c>
      <c r="J64">
        <f t="shared" si="1"/>
        <v>11.784001351310119</v>
      </c>
      <c r="K64">
        <v>27.89</v>
      </c>
      <c r="L64">
        <v>19.920000000000002</v>
      </c>
      <c r="M64">
        <v>29.94</v>
      </c>
      <c r="N64" s="82">
        <v>20.55</v>
      </c>
      <c r="O64" s="81">
        <v>0.22</v>
      </c>
      <c r="P64">
        <f t="shared" si="2"/>
        <v>0.44052863436123346</v>
      </c>
      <c r="Q64">
        <v>2.27</v>
      </c>
      <c r="R64">
        <v>0.44</v>
      </c>
      <c r="S64" s="82">
        <v>0.56000000000000005</v>
      </c>
      <c r="T64" s="83">
        <v>700</v>
      </c>
      <c r="U64" s="81" t="s">
        <v>43</v>
      </c>
      <c r="V64" s="82">
        <v>89272</v>
      </c>
    </row>
    <row r="65" spans="1:22" x14ac:dyDescent="0.25">
      <c r="A65" s="21" t="s">
        <v>358</v>
      </c>
      <c r="B65" s="81">
        <v>291.2</v>
      </c>
      <c r="C65">
        <v>1300</v>
      </c>
      <c r="D65">
        <v>117.12</v>
      </c>
      <c r="E65" s="82">
        <v>40</v>
      </c>
      <c r="F65" s="3">
        <f t="shared" si="0"/>
        <v>47.814207650273225</v>
      </c>
      <c r="G65" s="81">
        <v>790.82</v>
      </c>
      <c r="H65">
        <v>3546.95</v>
      </c>
      <c r="I65">
        <v>338.45</v>
      </c>
      <c r="J65">
        <f t="shared" si="1"/>
        <v>33.601030502048538</v>
      </c>
      <c r="K65">
        <v>131.32</v>
      </c>
      <c r="L65">
        <v>34.39</v>
      </c>
      <c r="M65">
        <v>128.49</v>
      </c>
      <c r="N65" s="82">
        <v>51.37</v>
      </c>
      <c r="O65" s="81">
        <v>0.39</v>
      </c>
      <c r="P65">
        <f t="shared" si="2"/>
        <v>0.26178010471204188</v>
      </c>
      <c r="Q65">
        <v>3.82</v>
      </c>
      <c r="R65">
        <v>0.26</v>
      </c>
      <c r="S65" s="82">
        <v>0.7</v>
      </c>
      <c r="T65" s="83">
        <v>500</v>
      </c>
      <c r="U65" s="81" t="s">
        <v>43</v>
      </c>
      <c r="V65" s="82">
        <v>1828716</v>
      </c>
    </row>
    <row r="66" spans="1:22" x14ac:dyDescent="0.25">
      <c r="A66" s="21" t="s">
        <v>359</v>
      </c>
      <c r="B66" s="81">
        <v>291.2</v>
      </c>
      <c r="C66">
        <v>1300</v>
      </c>
      <c r="D66">
        <v>117.12</v>
      </c>
      <c r="E66" s="82">
        <v>40</v>
      </c>
      <c r="F66" s="3">
        <f t="shared" si="0"/>
        <v>47.814207650273225</v>
      </c>
      <c r="G66" s="81">
        <v>599.29</v>
      </c>
      <c r="H66">
        <v>3706.83</v>
      </c>
      <c r="I66">
        <v>399.66</v>
      </c>
      <c r="J66">
        <f t="shared" si="1"/>
        <v>34.349972858834413</v>
      </c>
      <c r="K66">
        <v>87.64</v>
      </c>
      <c r="L66">
        <v>53.85</v>
      </c>
      <c r="M66">
        <v>104.23</v>
      </c>
      <c r="N66" s="82">
        <v>72.22</v>
      </c>
      <c r="O66" s="81">
        <v>0.28999999999999998</v>
      </c>
      <c r="P66">
        <f t="shared" si="2"/>
        <v>0.61349693251533743</v>
      </c>
      <c r="Q66">
        <v>1.63</v>
      </c>
      <c r="R66">
        <v>0.61</v>
      </c>
      <c r="S66" s="82">
        <v>0.61</v>
      </c>
      <c r="T66" s="83">
        <v>600</v>
      </c>
      <c r="U66" s="81" t="s">
        <v>43</v>
      </c>
      <c r="V66" s="82">
        <v>335783</v>
      </c>
    </row>
    <row r="67" spans="1:22" x14ac:dyDescent="0.25">
      <c r="A67" s="21" t="s">
        <v>361</v>
      </c>
      <c r="B67" s="81">
        <v>291.2</v>
      </c>
      <c r="C67">
        <v>1300</v>
      </c>
      <c r="D67">
        <v>117.12</v>
      </c>
      <c r="E67" s="82">
        <v>40</v>
      </c>
      <c r="F67" s="3">
        <f t="shared" ref="F67:F130" si="3">1000000* B67/(C67*D67*E67)</f>
        <v>47.814207650273225</v>
      </c>
      <c r="G67" s="81">
        <v>839.45</v>
      </c>
      <c r="H67">
        <v>5672.68</v>
      </c>
      <c r="I67">
        <v>457.63</v>
      </c>
      <c r="J67">
        <f t="shared" si="1"/>
        <v>42.493177395401553</v>
      </c>
      <c r="K67">
        <v>126.83</v>
      </c>
      <c r="L67">
        <v>56.95</v>
      </c>
      <c r="M67">
        <v>150.37</v>
      </c>
      <c r="N67" s="82">
        <v>83.02</v>
      </c>
      <c r="O67" s="81">
        <v>0.34</v>
      </c>
      <c r="P67">
        <f t="shared" si="2"/>
        <v>0.44843049327354262</v>
      </c>
      <c r="Q67">
        <v>2.23</v>
      </c>
      <c r="R67">
        <v>0.45</v>
      </c>
      <c r="S67" s="82">
        <v>0.65</v>
      </c>
      <c r="T67" s="83">
        <v>700</v>
      </c>
      <c r="U67" s="81" t="s">
        <v>43</v>
      </c>
      <c r="V67" s="82">
        <v>58591</v>
      </c>
    </row>
    <row r="68" spans="1:22" x14ac:dyDescent="0.25">
      <c r="A68" s="21" t="s">
        <v>363</v>
      </c>
      <c r="B68" s="81">
        <v>291.2</v>
      </c>
      <c r="C68">
        <v>1300</v>
      </c>
      <c r="D68">
        <v>120</v>
      </c>
      <c r="E68" s="82">
        <v>40</v>
      </c>
      <c r="F68" s="3">
        <f t="shared" si="3"/>
        <v>46.666666666666664</v>
      </c>
      <c r="G68" s="81">
        <v>412.82</v>
      </c>
      <c r="H68">
        <v>5798.76</v>
      </c>
      <c r="I68">
        <v>515.70000000000005</v>
      </c>
      <c r="J68">
        <f t="shared" si="1"/>
        <v>42.962805257654189</v>
      </c>
      <c r="K68">
        <v>136.6</v>
      </c>
      <c r="L68">
        <v>54.05</v>
      </c>
      <c r="M68">
        <v>168.44</v>
      </c>
      <c r="N68" s="82">
        <v>79.87</v>
      </c>
      <c r="O68" s="81">
        <v>0.27</v>
      </c>
      <c r="P68">
        <f t="shared" si="2"/>
        <v>0.39525691699604748</v>
      </c>
      <c r="Q68">
        <v>2.5299999999999998</v>
      </c>
      <c r="R68">
        <v>0.4</v>
      </c>
      <c r="S68" s="82">
        <v>0.61</v>
      </c>
      <c r="T68" s="83">
        <v>500</v>
      </c>
      <c r="U68" s="81" t="s">
        <v>43</v>
      </c>
      <c r="V68" s="82">
        <v>1034008</v>
      </c>
    </row>
    <row r="69" spans="1:22" x14ac:dyDescent="0.25">
      <c r="A69" s="21" t="s">
        <v>364</v>
      </c>
      <c r="B69" s="81">
        <v>291.2</v>
      </c>
      <c r="C69">
        <v>1300</v>
      </c>
      <c r="D69">
        <v>120</v>
      </c>
      <c r="E69" s="82">
        <v>40</v>
      </c>
      <c r="F69" s="3">
        <f t="shared" si="3"/>
        <v>46.666666666666664</v>
      </c>
      <c r="G69" s="81">
        <v>1305.31</v>
      </c>
      <c r="H69">
        <v>5977.05</v>
      </c>
      <c r="I69">
        <v>600.71</v>
      </c>
      <c r="J69">
        <f t="shared" si="1"/>
        <v>43.618277192191194</v>
      </c>
      <c r="K69">
        <v>108.79</v>
      </c>
      <c r="L69">
        <v>69.95</v>
      </c>
      <c r="M69">
        <v>153.35</v>
      </c>
      <c r="N69" s="82">
        <v>106.55</v>
      </c>
      <c r="O69" s="81">
        <v>0.21</v>
      </c>
      <c r="P69">
        <f t="shared" si="2"/>
        <v>0.64102564102564097</v>
      </c>
      <c r="Q69">
        <v>1.56</v>
      </c>
      <c r="R69">
        <v>0.64</v>
      </c>
      <c r="S69" s="82">
        <v>0.56999999999999995</v>
      </c>
      <c r="T69" s="83">
        <v>600</v>
      </c>
      <c r="U69" s="81" t="s">
        <v>43</v>
      </c>
      <c r="V69" s="82">
        <v>139347</v>
      </c>
    </row>
    <row r="70" spans="1:22" x14ac:dyDescent="0.25">
      <c r="A70" s="21" t="s">
        <v>365</v>
      </c>
      <c r="B70" s="81">
        <v>291.2</v>
      </c>
      <c r="C70">
        <v>1300</v>
      </c>
      <c r="D70">
        <v>120</v>
      </c>
      <c r="E70" s="82">
        <v>40</v>
      </c>
      <c r="F70" s="3">
        <f t="shared" si="3"/>
        <v>46.666666666666664</v>
      </c>
      <c r="G70" s="81">
        <v>631.15</v>
      </c>
      <c r="H70">
        <v>5810.8</v>
      </c>
      <c r="I70">
        <v>480.34</v>
      </c>
      <c r="J70">
        <f t="shared" si="1"/>
        <v>43.007384094324671</v>
      </c>
      <c r="K70">
        <v>100.2</v>
      </c>
      <c r="L70">
        <v>73.84</v>
      </c>
      <c r="M70">
        <v>131.4</v>
      </c>
      <c r="N70" s="82">
        <v>95.8</v>
      </c>
      <c r="O70" s="81">
        <v>0.32</v>
      </c>
      <c r="P70">
        <f t="shared" si="2"/>
        <v>0.73529411764705876</v>
      </c>
      <c r="Q70">
        <v>1.36</v>
      </c>
      <c r="R70">
        <v>0.74</v>
      </c>
      <c r="S70" s="82">
        <v>0.64</v>
      </c>
      <c r="T70" s="83">
        <v>700</v>
      </c>
      <c r="U70" s="81" t="s">
        <v>43</v>
      </c>
      <c r="V70" s="82">
        <v>87571</v>
      </c>
    </row>
    <row r="71" spans="1:22" x14ac:dyDescent="0.25">
      <c r="A71" s="21" t="s">
        <v>366</v>
      </c>
      <c r="B71" s="81">
        <v>291.2</v>
      </c>
      <c r="C71">
        <v>1300</v>
      </c>
      <c r="D71">
        <v>120</v>
      </c>
      <c r="E71" s="82">
        <v>40</v>
      </c>
      <c r="F71" s="3">
        <f t="shared" si="3"/>
        <v>46.666666666666664</v>
      </c>
      <c r="G71" s="81">
        <v>291.26</v>
      </c>
      <c r="H71">
        <v>3829.74</v>
      </c>
      <c r="I71">
        <v>333.44</v>
      </c>
      <c r="J71">
        <f t="shared" si="1"/>
        <v>34.914812093343855</v>
      </c>
      <c r="K71">
        <v>96.94</v>
      </c>
      <c r="L71">
        <v>50.3</v>
      </c>
      <c r="M71">
        <v>112.57</v>
      </c>
      <c r="N71" s="82">
        <v>63.69</v>
      </c>
      <c r="O71" s="81">
        <v>0.43</v>
      </c>
      <c r="P71">
        <f t="shared" si="2"/>
        <v>0.5181347150259068</v>
      </c>
      <c r="Q71">
        <v>1.93</v>
      </c>
      <c r="R71">
        <v>0.52</v>
      </c>
      <c r="S71" s="82">
        <v>0.74</v>
      </c>
      <c r="T71" s="83">
        <v>700</v>
      </c>
      <c r="U71" s="81" t="s">
        <v>43</v>
      </c>
      <c r="V71" s="82">
        <v>105518</v>
      </c>
    </row>
    <row r="72" spans="1:22" x14ac:dyDescent="0.25">
      <c r="A72" s="21" t="s">
        <v>368</v>
      </c>
      <c r="B72" s="81">
        <v>291.2</v>
      </c>
      <c r="C72">
        <v>1300</v>
      </c>
      <c r="D72">
        <v>120</v>
      </c>
      <c r="E72" s="82">
        <v>40</v>
      </c>
      <c r="F72" s="3">
        <f t="shared" si="3"/>
        <v>46.666666666666664</v>
      </c>
      <c r="G72" s="81">
        <v>66.590999999999994</v>
      </c>
      <c r="H72">
        <v>4423.72</v>
      </c>
      <c r="I72">
        <v>372.66</v>
      </c>
      <c r="J72">
        <f t="shared" si="1"/>
        <v>37.524842567410708</v>
      </c>
      <c r="K72">
        <v>129.97499999999999</v>
      </c>
      <c r="L72">
        <v>45.167000000000002</v>
      </c>
      <c r="M72">
        <v>149.13</v>
      </c>
      <c r="N72" s="82">
        <v>62.25</v>
      </c>
      <c r="O72" s="81">
        <v>0.4</v>
      </c>
      <c r="P72">
        <f t="shared" si="2"/>
        <v>0.35335689045936397</v>
      </c>
      <c r="Q72">
        <v>2.83</v>
      </c>
      <c r="R72">
        <v>0.35</v>
      </c>
      <c r="S72" s="82">
        <v>0.71</v>
      </c>
      <c r="T72" s="83">
        <v>700</v>
      </c>
      <c r="U72" s="81" t="s">
        <v>43</v>
      </c>
      <c r="V72" s="82">
        <v>44786</v>
      </c>
    </row>
    <row r="73" spans="1:22" x14ac:dyDescent="0.25">
      <c r="A73" s="21" t="s">
        <v>370</v>
      </c>
      <c r="B73" s="81">
        <v>291.2</v>
      </c>
      <c r="C73">
        <v>1300</v>
      </c>
      <c r="D73">
        <v>120</v>
      </c>
      <c r="E73" s="82">
        <v>40</v>
      </c>
      <c r="F73" s="3">
        <f t="shared" si="3"/>
        <v>46.666666666666664</v>
      </c>
      <c r="G73" s="81">
        <v>798.02</v>
      </c>
      <c r="H73">
        <v>4025</v>
      </c>
      <c r="I73">
        <v>659.06</v>
      </c>
      <c r="J73">
        <f t="shared" si="1"/>
        <v>35.793816391798146</v>
      </c>
      <c r="K73">
        <v>105</v>
      </c>
      <c r="L73">
        <v>48.81</v>
      </c>
      <c r="M73">
        <v>159.30000000000001</v>
      </c>
      <c r="N73" s="82">
        <v>93.92</v>
      </c>
      <c r="O73" s="81">
        <v>0.12</v>
      </c>
      <c r="P73">
        <f t="shared" si="2"/>
        <v>0.46511627906976744</v>
      </c>
      <c r="Q73">
        <v>2.15</v>
      </c>
      <c r="R73">
        <v>0.46</v>
      </c>
      <c r="S73" s="82">
        <v>0.44</v>
      </c>
      <c r="T73" s="83">
        <v>500</v>
      </c>
      <c r="U73" s="81" t="s">
        <v>43</v>
      </c>
      <c r="V73" s="82">
        <v>1055218</v>
      </c>
    </row>
    <row r="74" spans="1:22" x14ac:dyDescent="0.25">
      <c r="A74" s="21" t="s">
        <v>371</v>
      </c>
      <c r="B74" s="81">
        <v>291.2</v>
      </c>
      <c r="C74">
        <v>1300</v>
      </c>
      <c r="D74">
        <v>120</v>
      </c>
      <c r="E74" s="82">
        <v>40</v>
      </c>
      <c r="F74" s="3">
        <f t="shared" si="3"/>
        <v>46.666666666666664</v>
      </c>
      <c r="G74" s="81">
        <v>6.59</v>
      </c>
      <c r="H74">
        <v>1280.53</v>
      </c>
      <c r="I74">
        <v>177.96</v>
      </c>
      <c r="J74">
        <f t="shared" si="1"/>
        <v>20.189238681905007</v>
      </c>
      <c r="K74">
        <v>58.12</v>
      </c>
      <c r="L74">
        <v>28.05</v>
      </c>
      <c r="M74">
        <v>59.42</v>
      </c>
      <c r="N74" s="82">
        <v>31.68</v>
      </c>
      <c r="O74" s="81">
        <v>0.51</v>
      </c>
      <c r="P74">
        <f t="shared" si="2"/>
        <v>0.48309178743961356</v>
      </c>
      <c r="Q74">
        <v>2.0699999999999998</v>
      </c>
      <c r="R74">
        <v>0.48</v>
      </c>
      <c r="S74" s="82">
        <v>2.0699999999999998</v>
      </c>
      <c r="T74" s="83">
        <v>600</v>
      </c>
      <c r="U74" s="81" t="s">
        <v>43</v>
      </c>
      <c r="V74" s="82">
        <v>46612</v>
      </c>
    </row>
    <row r="75" spans="1:22" x14ac:dyDescent="0.25">
      <c r="A75" s="21" t="s">
        <v>372</v>
      </c>
      <c r="B75" s="81">
        <v>291.2</v>
      </c>
      <c r="C75">
        <v>1300</v>
      </c>
      <c r="D75">
        <v>120</v>
      </c>
      <c r="E75" s="82">
        <v>40</v>
      </c>
      <c r="F75" s="3">
        <f t="shared" si="3"/>
        <v>46.666666666666664</v>
      </c>
      <c r="G75" s="81">
        <v>636.33000000000004</v>
      </c>
      <c r="H75">
        <v>10905.96</v>
      </c>
      <c r="I75">
        <v>683.32</v>
      </c>
      <c r="J75">
        <f t="shared" si="1"/>
        <v>58.919223402256193</v>
      </c>
      <c r="K75">
        <v>161.02000000000001</v>
      </c>
      <c r="L75">
        <v>86.24</v>
      </c>
      <c r="M75">
        <v>210.71</v>
      </c>
      <c r="N75" s="82">
        <v>108.94</v>
      </c>
      <c r="O75" s="81">
        <v>0.28999999999999998</v>
      </c>
      <c r="P75">
        <f t="shared" si="2"/>
        <v>0.53475935828876997</v>
      </c>
      <c r="Q75">
        <v>1.87</v>
      </c>
      <c r="R75">
        <v>0.54</v>
      </c>
      <c r="S75" s="82">
        <v>0.64</v>
      </c>
      <c r="T75" s="83">
        <v>600</v>
      </c>
      <c r="U75" s="81" t="s">
        <v>43</v>
      </c>
      <c r="V75" s="82">
        <v>168963</v>
      </c>
    </row>
    <row r="76" spans="1:22" x14ac:dyDescent="0.25">
      <c r="A76" s="21" t="s">
        <v>373</v>
      </c>
      <c r="B76" s="81">
        <v>291.2</v>
      </c>
      <c r="C76">
        <v>1300</v>
      </c>
      <c r="D76">
        <v>120</v>
      </c>
      <c r="E76" s="82">
        <v>40</v>
      </c>
      <c r="F76" s="3">
        <f t="shared" si="3"/>
        <v>46.666666666666664</v>
      </c>
      <c r="G76" s="81">
        <v>177.27</v>
      </c>
      <c r="H76">
        <v>721.23</v>
      </c>
      <c r="I76">
        <v>112.77</v>
      </c>
      <c r="J76">
        <f t="shared" si="1"/>
        <v>15.151720668370816</v>
      </c>
      <c r="K76">
        <v>31.99</v>
      </c>
      <c r="L76">
        <v>28.71</v>
      </c>
      <c r="M76">
        <v>35.479999999999997</v>
      </c>
      <c r="N76" s="82">
        <v>30.45</v>
      </c>
      <c r="O76" s="81">
        <v>0.71</v>
      </c>
      <c r="P76">
        <f t="shared" si="2"/>
        <v>0.9009009009009008</v>
      </c>
      <c r="Q76">
        <v>1.1100000000000001</v>
      </c>
      <c r="R76">
        <v>0.9</v>
      </c>
      <c r="S76" s="82">
        <v>0.89</v>
      </c>
      <c r="T76" s="83">
        <v>500</v>
      </c>
      <c r="U76" s="81" t="s">
        <v>64</v>
      </c>
      <c r="V76" s="82">
        <v>3985111</v>
      </c>
    </row>
    <row r="77" spans="1:22" x14ac:dyDescent="0.25">
      <c r="A77" s="21" t="s">
        <v>375</v>
      </c>
      <c r="B77" s="81">
        <v>291.2</v>
      </c>
      <c r="C77">
        <v>1300</v>
      </c>
      <c r="D77">
        <v>120</v>
      </c>
      <c r="E77" s="82">
        <v>40</v>
      </c>
      <c r="F77" s="3">
        <f t="shared" si="3"/>
        <v>46.666666666666664</v>
      </c>
      <c r="G77" s="81">
        <v>4.8</v>
      </c>
      <c r="H77">
        <v>1060.991</v>
      </c>
      <c r="I77">
        <v>116.9838</v>
      </c>
      <c r="J77">
        <f t="shared" si="1"/>
        <v>18.37726651197142</v>
      </c>
      <c r="K77">
        <v>37.585000000000001</v>
      </c>
      <c r="L77">
        <v>35.942</v>
      </c>
      <c r="M77">
        <v>38.322000000000003</v>
      </c>
      <c r="N77" s="82">
        <v>36.076999999999998</v>
      </c>
      <c r="O77" s="81">
        <v>0.97699999999999998</v>
      </c>
      <c r="P77">
        <f t="shared" si="2"/>
        <v>0.95602294455066916</v>
      </c>
      <c r="Q77">
        <v>1.046</v>
      </c>
      <c r="R77">
        <v>0.95599999999999996</v>
      </c>
      <c r="S77" s="82">
        <v>0.999</v>
      </c>
      <c r="T77" s="83">
        <v>700</v>
      </c>
      <c r="U77" s="81" t="s">
        <v>64</v>
      </c>
      <c r="V77" s="82">
        <v>28231</v>
      </c>
    </row>
    <row r="78" spans="1:22" x14ac:dyDescent="0.25">
      <c r="A78" s="21" t="s">
        <v>376</v>
      </c>
      <c r="B78" s="81">
        <v>291.2</v>
      </c>
      <c r="C78">
        <v>1300</v>
      </c>
      <c r="D78">
        <v>120</v>
      </c>
      <c r="E78" s="82">
        <v>40</v>
      </c>
      <c r="F78" s="3">
        <f t="shared" si="3"/>
        <v>46.666666666666664</v>
      </c>
      <c r="G78" s="81">
        <v>1325.47</v>
      </c>
      <c r="H78">
        <v>3779.29</v>
      </c>
      <c r="I78">
        <v>285.2</v>
      </c>
      <c r="J78">
        <f t="shared" si="1"/>
        <v>34.6840794854864</v>
      </c>
      <c r="K78">
        <v>75.7</v>
      </c>
      <c r="L78">
        <v>63.56</v>
      </c>
      <c r="M78">
        <v>82.55</v>
      </c>
      <c r="N78" s="82">
        <v>67.75</v>
      </c>
      <c r="O78" s="81">
        <v>0.57999999999999996</v>
      </c>
      <c r="P78">
        <f t="shared" si="2"/>
        <v>0.84033613445378152</v>
      </c>
      <c r="Q78">
        <v>1.19</v>
      </c>
      <c r="R78">
        <v>0.84</v>
      </c>
      <c r="S78" s="82">
        <v>0.88</v>
      </c>
      <c r="T78" s="83">
        <v>600</v>
      </c>
      <c r="U78" s="81" t="s">
        <v>64</v>
      </c>
      <c r="V78" s="82">
        <v>287798</v>
      </c>
    </row>
    <row r="79" spans="1:22" x14ac:dyDescent="0.25">
      <c r="A79" s="21" t="s">
        <v>377</v>
      </c>
      <c r="B79" s="81">
        <v>291.2</v>
      </c>
      <c r="C79">
        <v>1300</v>
      </c>
      <c r="D79">
        <v>120</v>
      </c>
      <c r="E79" s="82">
        <v>40</v>
      </c>
      <c r="F79" s="3">
        <f t="shared" si="3"/>
        <v>46.666666666666664</v>
      </c>
      <c r="G79" s="81">
        <v>2</v>
      </c>
      <c r="H79">
        <v>619.15</v>
      </c>
      <c r="I79">
        <v>143.32</v>
      </c>
      <c r="J79">
        <f t="shared" si="1"/>
        <v>14.038574216447126</v>
      </c>
      <c r="K79">
        <v>35</v>
      </c>
      <c r="L79">
        <v>22.53</v>
      </c>
      <c r="M79">
        <v>48.25</v>
      </c>
      <c r="N79" s="82">
        <v>33.64</v>
      </c>
      <c r="O79" s="81">
        <v>0.38</v>
      </c>
      <c r="P79">
        <f t="shared" si="2"/>
        <v>0.64516129032258063</v>
      </c>
      <c r="Q79">
        <v>1.55</v>
      </c>
      <c r="R79">
        <v>0.64</v>
      </c>
      <c r="S79" s="82">
        <v>0.66</v>
      </c>
      <c r="T79" s="83">
        <v>700</v>
      </c>
      <c r="U79" s="81" t="s">
        <v>43</v>
      </c>
      <c r="V79" s="82">
        <v>74868</v>
      </c>
    </row>
    <row r="80" spans="1:22" x14ac:dyDescent="0.25">
      <c r="A80" s="21" t="s">
        <v>378</v>
      </c>
      <c r="B80" s="81">
        <v>291.2</v>
      </c>
      <c r="C80">
        <v>1300</v>
      </c>
      <c r="D80">
        <v>120</v>
      </c>
      <c r="E80" s="82">
        <v>40</v>
      </c>
      <c r="F80" s="3">
        <f t="shared" si="3"/>
        <v>46.666666666666664</v>
      </c>
      <c r="G80" s="81">
        <v>1507.51</v>
      </c>
      <c r="H80">
        <v>6682.85</v>
      </c>
      <c r="I80">
        <v>546.22</v>
      </c>
      <c r="J80">
        <f t="shared" si="1"/>
        <v>46.121765175276472</v>
      </c>
      <c r="K80">
        <v>124.13</v>
      </c>
      <c r="L80">
        <v>68.55</v>
      </c>
      <c r="M80">
        <v>160.38999999999999</v>
      </c>
      <c r="N80" s="82">
        <v>100.66</v>
      </c>
      <c r="O80" s="81">
        <v>0.28000000000000003</v>
      </c>
      <c r="P80">
        <f t="shared" si="2"/>
        <v>0.5524861878453039</v>
      </c>
      <c r="Q80">
        <v>1.81</v>
      </c>
      <c r="R80">
        <v>0.55000000000000004</v>
      </c>
      <c r="S80" s="82">
        <v>0.67</v>
      </c>
      <c r="T80" s="83">
        <v>600</v>
      </c>
      <c r="U80" s="81" t="s">
        <v>43</v>
      </c>
      <c r="V80" s="82">
        <v>152583</v>
      </c>
    </row>
    <row r="81" spans="1:22" x14ac:dyDescent="0.25">
      <c r="A81" s="21" t="s">
        <v>379</v>
      </c>
      <c r="B81" s="81">
        <v>291.2</v>
      </c>
      <c r="C81">
        <v>1300</v>
      </c>
      <c r="D81">
        <v>120</v>
      </c>
      <c r="E81" s="82">
        <v>40</v>
      </c>
      <c r="F81" s="3">
        <f t="shared" si="3"/>
        <v>46.666666666666664</v>
      </c>
      <c r="G81" s="81">
        <v>331.97</v>
      </c>
      <c r="H81">
        <v>6783.32</v>
      </c>
      <c r="I81">
        <v>487.29</v>
      </c>
      <c r="J81">
        <f t="shared" si="1"/>
        <v>46.467169239671044</v>
      </c>
      <c r="K81">
        <v>194.44</v>
      </c>
      <c r="L81">
        <v>44.42</v>
      </c>
      <c r="M81">
        <v>200.64</v>
      </c>
      <c r="N81" s="82">
        <v>50.24</v>
      </c>
      <c r="O81" s="81">
        <v>0.36</v>
      </c>
      <c r="P81">
        <f t="shared" si="2"/>
        <v>0.22831050228310504</v>
      </c>
      <c r="Q81">
        <v>4.38</v>
      </c>
      <c r="R81">
        <v>0.23</v>
      </c>
      <c r="S81" s="82">
        <v>0.81</v>
      </c>
      <c r="T81" s="83">
        <v>500</v>
      </c>
      <c r="U81" s="81" t="s">
        <v>43</v>
      </c>
      <c r="V81" s="82">
        <v>423576</v>
      </c>
    </row>
    <row r="82" spans="1:22" x14ac:dyDescent="0.25">
      <c r="A82" s="21" t="s">
        <v>430</v>
      </c>
      <c r="B82" s="81">
        <v>268.8</v>
      </c>
      <c r="C82">
        <v>1300</v>
      </c>
      <c r="D82">
        <v>120</v>
      </c>
      <c r="E82" s="82">
        <v>40</v>
      </c>
      <c r="F82" s="3">
        <f t="shared" si="3"/>
        <v>43.07692307692308</v>
      </c>
      <c r="G82" s="81">
        <v>403.2</v>
      </c>
      <c r="H82">
        <v>5839.3</v>
      </c>
      <c r="I82">
        <v>568.23</v>
      </c>
      <c r="J82">
        <f t="shared" si="1"/>
        <v>43.112723393367403</v>
      </c>
      <c r="K82">
        <v>169.98</v>
      </c>
      <c r="L82">
        <v>43.74</v>
      </c>
      <c r="M82">
        <v>186.75</v>
      </c>
      <c r="N82" s="82">
        <v>66.19</v>
      </c>
      <c r="O82" s="81">
        <v>0.23</v>
      </c>
      <c r="P82">
        <f t="shared" si="2"/>
        <v>0.25706940874035988</v>
      </c>
      <c r="Q82">
        <v>3.89</v>
      </c>
      <c r="R82">
        <v>0.26</v>
      </c>
      <c r="S82" s="82">
        <v>0.64</v>
      </c>
      <c r="T82" s="83">
        <v>500</v>
      </c>
      <c r="U82" s="81" t="s">
        <v>43</v>
      </c>
      <c r="V82" s="82">
        <v>564441</v>
      </c>
    </row>
    <row r="83" spans="1:22" x14ac:dyDescent="0.25">
      <c r="A83" s="21" t="s">
        <v>431</v>
      </c>
      <c r="B83" s="81">
        <v>268.8</v>
      </c>
      <c r="C83">
        <v>1300</v>
      </c>
      <c r="D83">
        <v>120</v>
      </c>
      <c r="E83" s="82">
        <v>40</v>
      </c>
      <c r="F83" s="3">
        <f t="shared" si="3"/>
        <v>43.07692307692308</v>
      </c>
      <c r="G83" s="81">
        <v>8.3800000000000008</v>
      </c>
      <c r="H83">
        <v>6001.56</v>
      </c>
      <c r="I83">
        <v>479.56</v>
      </c>
      <c r="J83">
        <f t="shared" si="1"/>
        <v>43.707618106288876</v>
      </c>
      <c r="K83">
        <v>117.51</v>
      </c>
      <c r="L83">
        <v>65.03</v>
      </c>
      <c r="M83">
        <v>142.71</v>
      </c>
      <c r="N83" s="82">
        <v>81.34</v>
      </c>
      <c r="O83" s="81">
        <v>0.33</v>
      </c>
      <c r="P83">
        <f t="shared" si="2"/>
        <v>0.5524861878453039</v>
      </c>
      <c r="Q83">
        <v>1.81</v>
      </c>
      <c r="R83">
        <v>0.55000000000000004</v>
      </c>
      <c r="S83" s="82">
        <v>0.78</v>
      </c>
      <c r="T83" s="83">
        <v>600</v>
      </c>
      <c r="U83" s="81" t="s">
        <v>43</v>
      </c>
      <c r="V83" s="82">
        <v>25245</v>
      </c>
    </row>
    <row r="84" spans="1:22" x14ac:dyDescent="0.25">
      <c r="A84" s="21" t="s">
        <v>432</v>
      </c>
      <c r="B84" s="81">
        <v>268.8</v>
      </c>
      <c r="C84">
        <v>1300</v>
      </c>
      <c r="D84">
        <v>120</v>
      </c>
      <c r="E84" s="82">
        <v>40</v>
      </c>
      <c r="F84" s="3">
        <f t="shared" si="3"/>
        <v>43.07692307692308</v>
      </c>
      <c r="G84" s="81">
        <v>278.11</v>
      </c>
      <c r="H84">
        <v>5285.19</v>
      </c>
      <c r="I84">
        <v>438.34</v>
      </c>
      <c r="J84">
        <f t="shared" si="1"/>
        <v>41.016194696238074</v>
      </c>
      <c r="K84">
        <v>168.94</v>
      </c>
      <c r="L84">
        <v>39.83</v>
      </c>
      <c r="M84">
        <v>169.16</v>
      </c>
      <c r="N84" s="82">
        <v>52.06</v>
      </c>
      <c r="O84" s="81">
        <v>0.35</v>
      </c>
      <c r="P84">
        <f t="shared" si="2"/>
        <v>0.23584905660377356</v>
      </c>
      <c r="Q84">
        <v>4.24</v>
      </c>
      <c r="R84">
        <v>0.24</v>
      </c>
      <c r="S84" s="82">
        <v>0.69</v>
      </c>
      <c r="T84" s="83">
        <v>700</v>
      </c>
      <c r="U84" s="81" t="s">
        <v>43</v>
      </c>
      <c r="V84" s="82">
        <v>46625</v>
      </c>
    </row>
    <row r="85" spans="1:22" x14ac:dyDescent="0.25">
      <c r="A85" s="21" t="s">
        <v>433</v>
      </c>
      <c r="B85" s="81">
        <v>268.8</v>
      </c>
      <c r="C85">
        <v>1300</v>
      </c>
      <c r="D85">
        <v>120</v>
      </c>
      <c r="E85" s="82">
        <v>40</v>
      </c>
      <c r="F85" s="3">
        <f t="shared" si="3"/>
        <v>43.07692307692308</v>
      </c>
      <c r="G85" s="81">
        <v>91.39</v>
      </c>
      <c r="H85">
        <v>6003.43</v>
      </c>
      <c r="I85">
        <v>587.28</v>
      </c>
      <c r="J85">
        <f t="shared" si="1"/>
        <v>43.714426909343722</v>
      </c>
      <c r="K85">
        <v>139</v>
      </c>
      <c r="L85">
        <v>54.99</v>
      </c>
      <c r="M85">
        <v>190.32</v>
      </c>
      <c r="N85" s="82">
        <v>74.5</v>
      </c>
      <c r="O85" s="81">
        <v>0.22</v>
      </c>
      <c r="P85">
        <f t="shared" si="2"/>
        <v>0.39525691699604748</v>
      </c>
      <c r="Q85">
        <v>2.5299999999999998</v>
      </c>
      <c r="R85">
        <v>0.4</v>
      </c>
      <c r="S85" s="82">
        <v>0.65</v>
      </c>
      <c r="T85" s="83">
        <v>700</v>
      </c>
      <c r="U85" s="81" t="s">
        <v>43</v>
      </c>
      <c r="V85" s="82">
        <v>55088</v>
      </c>
    </row>
    <row r="86" spans="1:22" x14ac:dyDescent="0.25">
      <c r="A86" s="21" t="s">
        <v>434</v>
      </c>
      <c r="B86" s="81">
        <v>268.8</v>
      </c>
      <c r="C86">
        <v>1300</v>
      </c>
      <c r="D86">
        <v>120</v>
      </c>
      <c r="E86" s="82">
        <v>40</v>
      </c>
      <c r="F86" s="3">
        <f t="shared" si="3"/>
        <v>43.07692307692308</v>
      </c>
      <c r="G86" s="81">
        <v>713.91</v>
      </c>
      <c r="H86">
        <v>7291.6</v>
      </c>
      <c r="I86">
        <v>392.61</v>
      </c>
      <c r="J86">
        <f t="shared" si="1"/>
        <v>48.176637139776872</v>
      </c>
      <c r="K86">
        <v>116.65</v>
      </c>
      <c r="L86">
        <v>79.59</v>
      </c>
      <c r="M86">
        <v>142.30000000000001</v>
      </c>
      <c r="N86" s="82">
        <v>93.17</v>
      </c>
      <c r="O86" s="81">
        <v>0.59</v>
      </c>
      <c r="P86">
        <f t="shared" si="2"/>
        <v>0.68027210884353739</v>
      </c>
      <c r="Q86">
        <v>1.47</v>
      </c>
      <c r="R86">
        <v>0.68</v>
      </c>
      <c r="S86" s="82">
        <v>0.81</v>
      </c>
      <c r="T86" s="83">
        <v>500</v>
      </c>
      <c r="U86" s="81" t="s">
        <v>43</v>
      </c>
      <c r="V86" s="82">
        <v>756468</v>
      </c>
    </row>
    <row r="87" spans="1:22" x14ac:dyDescent="0.25">
      <c r="A87" s="21" t="s">
        <v>435</v>
      </c>
      <c r="B87" s="81">
        <v>268.8</v>
      </c>
      <c r="C87">
        <v>1300</v>
      </c>
      <c r="D87">
        <v>120</v>
      </c>
      <c r="E87" s="82">
        <v>40</v>
      </c>
      <c r="F87" s="3">
        <f t="shared" si="3"/>
        <v>43.07692307692308</v>
      </c>
      <c r="G87" s="81">
        <v>158.85</v>
      </c>
      <c r="H87">
        <v>8459.66</v>
      </c>
      <c r="I87">
        <v>540.72</v>
      </c>
      <c r="J87">
        <f t="shared" si="1"/>
        <v>51.892132464888803</v>
      </c>
      <c r="K87">
        <v>160.19999999999999</v>
      </c>
      <c r="L87">
        <v>67.239999999999995</v>
      </c>
      <c r="M87">
        <v>200.4</v>
      </c>
      <c r="N87" s="82">
        <v>83.08</v>
      </c>
      <c r="O87" s="81">
        <v>0.36</v>
      </c>
      <c r="P87">
        <f t="shared" si="2"/>
        <v>0.42016806722689076</v>
      </c>
      <c r="Q87">
        <v>2.38</v>
      </c>
      <c r="R87">
        <v>0.42</v>
      </c>
      <c r="S87" s="82">
        <v>0.81</v>
      </c>
      <c r="T87" s="83">
        <v>600</v>
      </c>
      <c r="U87" s="81" t="s">
        <v>43</v>
      </c>
      <c r="V87" s="82">
        <v>84596</v>
      </c>
    </row>
    <row r="88" spans="1:22" x14ac:dyDescent="0.25">
      <c r="A88" s="21" t="s">
        <v>436</v>
      </c>
      <c r="B88" s="81">
        <v>268.8</v>
      </c>
      <c r="C88">
        <v>1300</v>
      </c>
      <c r="D88">
        <v>120</v>
      </c>
      <c r="E88" s="82">
        <v>40</v>
      </c>
      <c r="F88" s="3">
        <f t="shared" si="3"/>
        <v>43.07692307692308</v>
      </c>
      <c r="G88" s="81">
        <v>797.05</v>
      </c>
      <c r="H88">
        <v>3172.26</v>
      </c>
      <c r="I88">
        <v>394.67</v>
      </c>
      <c r="J88">
        <f t="shared" si="1"/>
        <v>31.77674809582302</v>
      </c>
      <c r="K88">
        <v>130.02000000000001</v>
      </c>
      <c r="L88">
        <v>31.07</v>
      </c>
      <c r="M88">
        <v>149.18</v>
      </c>
      <c r="N88" s="82">
        <v>44.22</v>
      </c>
      <c r="O88" s="81">
        <v>0.26</v>
      </c>
      <c r="P88">
        <f t="shared" si="2"/>
        <v>0.2386634844868735</v>
      </c>
      <c r="Q88">
        <v>4.1900000000000004</v>
      </c>
      <c r="R88">
        <v>0.24</v>
      </c>
      <c r="S88" s="82">
        <v>0.61</v>
      </c>
      <c r="T88" s="83">
        <v>600</v>
      </c>
      <c r="U88" s="81" t="s">
        <v>43</v>
      </c>
      <c r="V88" s="82">
        <v>378624</v>
      </c>
    </row>
    <row r="89" spans="1:22" x14ac:dyDescent="0.25">
      <c r="A89" s="21" t="s">
        <v>437</v>
      </c>
      <c r="B89" s="81">
        <v>268.8</v>
      </c>
      <c r="C89">
        <v>1300</v>
      </c>
      <c r="D89">
        <v>120</v>
      </c>
      <c r="E89" s="82">
        <v>40</v>
      </c>
      <c r="F89" s="3">
        <f t="shared" si="3"/>
        <v>43.07692307692308</v>
      </c>
      <c r="G89" s="81">
        <v>229.73</v>
      </c>
      <c r="H89">
        <v>3174.59</v>
      </c>
      <c r="I89">
        <v>303.83</v>
      </c>
      <c r="J89">
        <f t="shared" si="1"/>
        <v>31.788415839424903</v>
      </c>
      <c r="K89">
        <v>113.08</v>
      </c>
      <c r="L89">
        <v>35.74</v>
      </c>
      <c r="M89">
        <v>114.68</v>
      </c>
      <c r="N89" s="82">
        <v>45.22</v>
      </c>
      <c r="O89" s="81">
        <v>0.43</v>
      </c>
      <c r="P89">
        <f t="shared" si="2"/>
        <v>0.31645569620253161</v>
      </c>
      <c r="Q89">
        <v>3.16</v>
      </c>
      <c r="R89">
        <v>0.32</v>
      </c>
      <c r="S89" s="82">
        <v>0.73</v>
      </c>
      <c r="T89" s="83">
        <v>500</v>
      </c>
      <c r="U89" s="81" t="s">
        <v>43</v>
      </c>
      <c r="V89" s="82">
        <v>2360167</v>
      </c>
    </row>
    <row r="90" spans="1:22" x14ac:dyDescent="0.25">
      <c r="A90" s="21" t="s">
        <v>438</v>
      </c>
      <c r="B90" s="81">
        <v>268.8</v>
      </c>
      <c r="C90">
        <v>1300</v>
      </c>
      <c r="D90">
        <v>120</v>
      </c>
      <c r="E90" s="82">
        <v>40</v>
      </c>
      <c r="F90" s="3">
        <f t="shared" si="3"/>
        <v>43.07692307692308</v>
      </c>
      <c r="G90" s="81">
        <v>764.18</v>
      </c>
      <c r="H90">
        <v>6294.21</v>
      </c>
      <c r="I90">
        <v>343.13</v>
      </c>
      <c r="J90">
        <f t="shared" si="1"/>
        <v>44.76057717140025</v>
      </c>
      <c r="K90">
        <v>95.8</v>
      </c>
      <c r="L90">
        <v>83.65</v>
      </c>
      <c r="M90">
        <v>102.2</v>
      </c>
      <c r="N90" s="82">
        <v>91.89</v>
      </c>
      <c r="O90" s="81">
        <v>0.67</v>
      </c>
      <c r="P90">
        <f t="shared" si="2"/>
        <v>0.86956521739130443</v>
      </c>
      <c r="Q90">
        <v>1.1499999999999999</v>
      </c>
      <c r="R90">
        <v>0.87</v>
      </c>
      <c r="S90" s="82">
        <v>0.89</v>
      </c>
      <c r="T90" s="83">
        <v>700</v>
      </c>
      <c r="U90" s="81" t="s">
        <v>64</v>
      </c>
      <c r="V90" s="82">
        <v>53583</v>
      </c>
    </row>
    <row r="91" spans="1:22" x14ac:dyDescent="0.25">
      <c r="A91" s="21" t="s">
        <v>439</v>
      </c>
      <c r="B91" s="81">
        <v>268.8</v>
      </c>
      <c r="C91">
        <v>1300</v>
      </c>
      <c r="D91">
        <v>120</v>
      </c>
      <c r="E91" s="82">
        <v>40</v>
      </c>
      <c r="F91" s="3">
        <f t="shared" si="3"/>
        <v>43.07692307692308</v>
      </c>
      <c r="G91" s="81">
        <v>1101.6199999999999</v>
      </c>
      <c r="H91">
        <v>4094.24</v>
      </c>
      <c r="I91">
        <v>310.11</v>
      </c>
      <c r="J91">
        <f t="shared" si="1"/>
        <v>36.100374906766874</v>
      </c>
      <c r="K91">
        <v>106.35</v>
      </c>
      <c r="L91">
        <v>49.02</v>
      </c>
      <c r="M91">
        <v>103.6</v>
      </c>
      <c r="N91" s="82">
        <v>58.16</v>
      </c>
      <c r="O91" s="81">
        <v>0.54</v>
      </c>
      <c r="P91">
        <f t="shared" si="2"/>
        <v>0.46082949308755761</v>
      </c>
      <c r="Q91">
        <v>2.17</v>
      </c>
      <c r="R91">
        <v>0.46</v>
      </c>
      <c r="S91" s="82">
        <v>0.77</v>
      </c>
      <c r="T91" s="83">
        <v>600</v>
      </c>
      <c r="U91" s="81" t="s">
        <v>43</v>
      </c>
      <c r="V91" s="82">
        <v>295958</v>
      </c>
    </row>
    <row r="92" spans="1:22" x14ac:dyDescent="0.25">
      <c r="A92" s="21" t="s">
        <v>440</v>
      </c>
      <c r="B92" s="81">
        <v>268.8</v>
      </c>
      <c r="C92">
        <v>1300</v>
      </c>
      <c r="D92">
        <v>120</v>
      </c>
      <c r="E92" s="82">
        <v>40</v>
      </c>
      <c r="F92" s="3">
        <f t="shared" si="3"/>
        <v>43.07692307692308</v>
      </c>
      <c r="G92" s="81">
        <v>215.18</v>
      </c>
      <c r="H92">
        <v>2089.0300000000002</v>
      </c>
      <c r="I92">
        <v>211.82</v>
      </c>
      <c r="J92">
        <f t="shared" si="1"/>
        <v>25.786797039076497</v>
      </c>
      <c r="K92">
        <v>77.2</v>
      </c>
      <c r="L92">
        <v>34.450000000000003</v>
      </c>
      <c r="M92">
        <v>86.58</v>
      </c>
      <c r="N92" s="82">
        <v>38.99</v>
      </c>
      <c r="O92" s="81">
        <v>0.59</v>
      </c>
      <c r="P92">
        <f t="shared" si="2"/>
        <v>0.4464285714285714</v>
      </c>
      <c r="Q92">
        <v>2.2400000000000002</v>
      </c>
      <c r="R92">
        <v>0.45</v>
      </c>
      <c r="S92" s="82">
        <v>0.84</v>
      </c>
      <c r="T92" s="83">
        <v>500</v>
      </c>
      <c r="U92" s="81" t="s">
        <v>43</v>
      </c>
      <c r="V92" s="82">
        <v>2539563</v>
      </c>
    </row>
    <row r="93" spans="1:22" x14ac:dyDescent="0.25">
      <c r="A93" s="21" t="s">
        <v>443</v>
      </c>
      <c r="B93" s="81">
        <v>268.8</v>
      </c>
      <c r="C93">
        <v>1300</v>
      </c>
      <c r="D93">
        <v>120</v>
      </c>
      <c r="E93" s="82">
        <v>40</v>
      </c>
      <c r="F93" s="3">
        <f t="shared" si="3"/>
        <v>43.07692307692308</v>
      </c>
      <c r="G93" s="81">
        <v>1038.26</v>
      </c>
      <c r="H93">
        <v>22259.35</v>
      </c>
      <c r="I93">
        <v>1190.5</v>
      </c>
      <c r="J93">
        <f t="shared" si="1"/>
        <v>84.174646806655275</v>
      </c>
      <c r="K93">
        <v>213.07</v>
      </c>
      <c r="L93">
        <v>133.02000000000001</v>
      </c>
      <c r="M93">
        <v>309.3</v>
      </c>
      <c r="N93" s="82">
        <v>209.8</v>
      </c>
      <c r="O93" s="81">
        <v>0.2</v>
      </c>
      <c r="P93">
        <f t="shared" si="2"/>
        <v>0.625</v>
      </c>
      <c r="Q93">
        <v>1.6</v>
      </c>
      <c r="R93">
        <v>0.62</v>
      </c>
      <c r="S93" s="82">
        <v>0.48</v>
      </c>
      <c r="T93" s="83">
        <v>700</v>
      </c>
      <c r="U93" s="81" t="s">
        <v>43</v>
      </c>
      <c r="V93" s="82">
        <v>28763</v>
      </c>
    </row>
    <row r="94" spans="1:22" x14ac:dyDescent="0.25">
      <c r="A94" s="21" t="s">
        <v>444</v>
      </c>
      <c r="B94" s="81">
        <v>268.8</v>
      </c>
      <c r="C94">
        <v>1300</v>
      </c>
      <c r="D94">
        <v>120</v>
      </c>
      <c r="E94" s="82">
        <v>40</v>
      </c>
      <c r="F94" s="3">
        <f t="shared" si="3"/>
        <v>43.07692307692308</v>
      </c>
      <c r="G94" s="81">
        <v>731.84</v>
      </c>
      <c r="H94">
        <v>5544.93</v>
      </c>
      <c r="I94">
        <v>440.15</v>
      </c>
      <c r="J94">
        <f t="shared" si="1"/>
        <v>42.011974926169401</v>
      </c>
      <c r="K94">
        <v>111.1</v>
      </c>
      <c r="L94">
        <v>63.55</v>
      </c>
      <c r="M94">
        <v>168.14</v>
      </c>
      <c r="N94" s="82">
        <v>79.34</v>
      </c>
      <c r="O94" s="81">
        <v>0.36</v>
      </c>
      <c r="P94">
        <f t="shared" si="2"/>
        <v>0.5714285714285714</v>
      </c>
      <c r="Q94">
        <v>1.75</v>
      </c>
      <c r="R94">
        <v>0.56999999999999995</v>
      </c>
      <c r="S94" s="82">
        <v>0.72</v>
      </c>
      <c r="T94" s="83">
        <v>600</v>
      </c>
      <c r="U94" s="81" t="s">
        <v>43</v>
      </c>
      <c r="V94" s="82">
        <v>156863</v>
      </c>
    </row>
    <row r="95" spans="1:22" x14ac:dyDescent="0.25">
      <c r="A95" s="21" t="s">
        <v>445</v>
      </c>
      <c r="B95" s="81">
        <v>268.8</v>
      </c>
      <c r="C95">
        <v>1300</v>
      </c>
      <c r="D95">
        <v>120</v>
      </c>
      <c r="E95" s="82">
        <v>40</v>
      </c>
      <c r="F95" s="3">
        <f t="shared" si="3"/>
        <v>43.07692307692308</v>
      </c>
      <c r="G95" s="81">
        <v>70.42</v>
      </c>
      <c r="H95">
        <v>6272.74</v>
      </c>
      <c r="I95">
        <v>501.23</v>
      </c>
      <c r="J95">
        <f t="shared" si="1"/>
        <v>44.684171195855377</v>
      </c>
      <c r="K95">
        <v>138.01</v>
      </c>
      <c r="L95">
        <v>57.87</v>
      </c>
      <c r="M95">
        <v>175.55</v>
      </c>
      <c r="N95" s="82">
        <v>91.26</v>
      </c>
      <c r="O95" s="81">
        <v>0.31</v>
      </c>
      <c r="P95">
        <f t="shared" si="2"/>
        <v>0.42016806722689076</v>
      </c>
      <c r="Q95">
        <v>2.38</v>
      </c>
      <c r="R95">
        <v>0.42</v>
      </c>
      <c r="S95" s="82">
        <v>0.61</v>
      </c>
      <c r="T95" s="83">
        <v>500</v>
      </c>
      <c r="U95" s="81" t="s">
        <v>43</v>
      </c>
      <c r="V95" s="82">
        <v>1036714</v>
      </c>
    </row>
    <row r="96" spans="1:22" x14ac:dyDescent="0.25">
      <c r="A96" s="21" t="s">
        <v>447</v>
      </c>
      <c r="B96" s="81">
        <v>268.8</v>
      </c>
      <c r="C96">
        <v>1300</v>
      </c>
      <c r="D96">
        <v>122.88</v>
      </c>
      <c r="E96" s="82">
        <v>40</v>
      </c>
      <c r="F96" s="3">
        <f t="shared" si="3"/>
        <v>42.067307692307693</v>
      </c>
      <c r="G96" s="81">
        <v>1683.75</v>
      </c>
      <c r="H96">
        <v>14651.12</v>
      </c>
      <c r="I96">
        <v>1019.5</v>
      </c>
      <c r="J96">
        <f t="shared" si="1"/>
        <v>68.290528916278419</v>
      </c>
      <c r="K96">
        <v>159.47</v>
      </c>
      <c r="L96">
        <v>116.98</v>
      </c>
      <c r="M96">
        <v>231.51</v>
      </c>
      <c r="N96" s="82">
        <v>173.56</v>
      </c>
      <c r="O96" s="81">
        <v>0.18</v>
      </c>
      <c r="P96">
        <f t="shared" si="2"/>
        <v>0.73529411764705876</v>
      </c>
      <c r="Q96">
        <v>1.36</v>
      </c>
      <c r="R96">
        <v>0.73</v>
      </c>
      <c r="S96" s="82">
        <v>0.55000000000000004</v>
      </c>
      <c r="T96" s="83">
        <v>700</v>
      </c>
      <c r="U96" s="81" t="s">
        <v>43</v>
      </c>
      <c r="V96" s="82">
        <v>35133</v>
      </c>
    </row>
    <row r="97" spans="1:22" x14ac:dyDescent="0.25">
      <c r="A97" s="21" t="s">
        <v>448</v>
      </c>
      <c r="B97" s="81">
        <v>268.8</v>
      </c>
      <c r="C97">
        <v>1300</v>
      </c>
      <c r="D97">
        <v>122.88</v>
      </c>
      <c r="E97" s="82">
        <v>40</v>
      </c>
      <c r="F97" s="3">
        <f t="shared" si="3"/>
        <v>42.067307692307693</v>
      </c>
      <c r="G97" s="81">
        <v>9.74</v>
      </c>
      <c r="H97">
        <v>8863.09</v>
      </c>
      <c r="I97">
        <v>586.44000000000005</v>
      </c>
      <c r="J97">
        <f t="shared" si="1"/>
        <v>53.115055955319235</v>
      </c>
      <c r="K97">
        <v>205.79</v>
      </c>
      <c r="L97">
        <v>54.84</v>
      </c>
      <c r="M97">
        <v>213.2</v>
      </c>
      <c r="N97" s="82">
        <v>70.56</v>
      </c>
      <c r="O97" s="81">
        <v>0.32</v>
      </c>
      <c r="P97">
        <f t="shared" si="2"/>
        <v>0.26666666666666666</v>
      </c>
      <c r="Q97">
        <v>3.75</v>
      </c>
      <c r="R97">
        <v>0.27</v>
      </c>
      <c r="S97" s="82">
        <v>0.71</v>
      </c>
      <c r="T97" s="83">
        <v>600</v>
      </c>
      <c r="U97" s="81" t="s">
        <v>43</v>
      </c>
      <c r="V97" s="82">
        <v>26656</v>
      </c>
    </row>
    <row r="98" spans="1:22" x14ac:dyDescent="0.25">
      <c r="A98" s="21" t="s">
        <v>449</v>
      </c>
      <c r="B98" s="81">
        <v>268.8</v>
      </c>
      <c r="C98">
        <v>1300</v>
      </c>
      <c r="D98">
        <v>122.88</v>
      </c>
      <c r="E98" s="82">
        <v>40</v>
      </c>
      <c r="F98" s="3">
        <f t="shared" si="3"/>
        <v>42.067307692307693</v>
      </c>
      <c r="G98" s="81">
        <v>441.97</v>
      </c>
      <c r="H98">
        <v>7877.89</v>
      </c>
      <c r="I98">
        <v>403.62</v>
      </c>
      <c r="J98">
        <f t="shared" si="1"/>
        <v>50.076044864470106</v>
      </c>
      <c r="K98">
        <v>145.1</v>
      </c>
      <c r="L98">
        <v>69.13</v>
      </c>
      <c r="M98">
        <v>165.6</v>
      </c>
      <c r="N98" s="82">
        <v>71.849999999999994</v>
      </c>
      <c r="O98" s="81">
        <v>0.61</v>
      </c>
      <c r="P98">
        <f t="shared" si="2"/>
        <v>0.47619047619047616</v>
      </c>
      <c r="Q98">
        <v>2.1</v>
      </c>
      <c r="R98">
        <v>0.48</v>
      </c>
      <c r="S98" s="82">
        <v>0.91</v>
      </c>
      <c r="T98" s="83">
        <v>500</v>
      </c>
      <c r="U98" s="81" t="s">
        <v>43</v>
      </c>
      <c r="V98" s="82">
        <v>533034</v>
      </c>
    </row>
    <row r="99" spans="1:22" x14ac:dyDescent="0.25">
      <c r="A99" s="21" t="s">
        <v>450</v>
      </c>
      <c r="B99" s="81">
        <v>268.8</v>
      </c>
      <c r="C99">
        <v>1300</v>
      </c>
      <c r="D99">
        <v>122.88</v>
      </c>
      <c r="E99" s="82">
        <v>40</v>
      </c>
      <c r="F99" s="3">
        <f t="shared" si="3"/>
        <v>42.067307692307693</v>
      </c>
      <c r="G99" s="81">
        <v>9.23</v>
      </c>
      <c r="H99">
        <v>9793.14</v>
      </c>
      <c r="I99">
        <v>703.09</v>
      </c>
      <c r="J99">
        <f t="shared" si="1"/>
        <v>55.832367662332999</v>
      </c>
      <c r="K99">
        <v>165.53</v>
      </c>
      <c r="L99">
        <v>75.33</v>
      </c>
      <c r="M99">
        <v>203.11</v>
      </c>
      <c r="N99" s="82">
        <v>118.24</v>
      </c>
      <c r="O99" s="81">
        <v>0.25</v>
      </c>
      <c r="P99">
        <f t="shared" si="2"/>
        <v>0.45454545454545453</v>
      </c>
      <c r="Q99">
        <v>2.2000000000000002</v>
      </c>
      <c r="R99">
        <v>0.46</v>
      </c>
      <c r="S99" s="82">
        <v>0.55000000000000004</v>
      </c>
      <c r="T99" s="83">
        <v>500</v>
      </c>
      <c r="U99" s="81" t="s">
        <v>43</v>
      </c>
      <c r="V99" s="82">
        <v>262682</v>
      </c>
    </row>
    <row r="100" spans="1:22" x14ac:dyDescent="0.25">
      <c r="A100" s="21" t="s">
        <v>451</v>
      </c>
      <c r="B100" s="81">
        <v>268.8</v>
      </c>
      <c r="C100">
        <v>1300</v>
      </c>
      <c r="D100">
        <v>122.88</v>
      </c>
      <c r="E100" s="82">
        <v>40</v>
      </c>
      <c r="F100" s="3">
        <f t="shared" si="3"/>
        <v>42.067307692307693</v>
      </c>
      <c r="G100" s="81">
        <v>1120.9000000000001</v>
      </c>
      <c r="H100">
        <v>7848.38</v>
      </c>
      <c r="I100">
        <v>586.08000000000004</v>
      </c>
      <c r="J100">
        <f t="shared" si="1"/>
        <v>49.982166264850299</v>
      </c>
      <c r="K100">
        <v>160.59</v>
      </c>
      <c r="L100">
        <v>62.23</v>
      </c>
      <c r="M100">
        <v>173.86</v>
      </c>
      <c r="N100" s="82">
        <v>87.36</v>
      </c>
      <c r="O100" s="81">
        <v>0.28999999999999998</v>
      </c>
      <c r="P100">
        <f t="shared" si="2"/>
        <v>0.38759689922480617</v>
      </c>
      <c r="Q100">
        <v>2.58</v>
      </c>
      <c r="R100">
        <v>0.39</v>
      </c>
      <c r="S100" s="82">
        <v>0.68</v>
      </c>
      <c r="T100" s="83">
        <v>600</v>
      </c>
      <c r="U100" s="81" t="s">
        <v>43</v>
      </c>
      <c r="V100" s="82">
        <v>104823</v>
      </c>
    </row>
    <row r="101" spans="1:22" x14ac:dyDescent="0.25">
      <c r="A101" s="21" t="s">
        <v>452</v>
      </c>
      <c r="B101" s="81">
        <v>268.8</v>
      </c>
      <c r="C101">
        <v>1300</v>
      </c>
      <c r="D101">
        <v>122.88</v>
      </c>
      <c r="E101" s="82">
        <v>40</v>
      </c>
      <c r="F101" s="3">
        <f t="shared" si="3"/>
        <v>42.067307692307693</v>
      </c>
      <c r="G101" s="81">
        <v>0</v>
      </c>
      <c r="H101">
        <v>4634.3999999999996</v>
      </c>
      <c r="I101">
        <v>498.92</v>
      </c>
      <c r="J101">
        <f t="shared" si="1"/>
        <v>38.408011358701707</v>
      </c>
      <c r="K101">
        <v>129.28</v>
      </c>
      <c r="L101">
        <v>45.64</v>
      </c>
      <c r="M101">
        <v>171.43</v>
      </c>
      <c r="N101" s="82">
        <v>82.31</v>
      </c>
      <c r="O101" s="81">
        <v>0.23</v>
      </c>
      <c r="P101">
        <f t="shared" si="2"/>
        <v>0.35335689045936397</v>
      </c>
      <c r="Q101">
        <v>2.83</v>
      </c>
      <c r="R101">
        <v>0.35</v>
      </c>
      <c r="S101" s="82">
        <v>0.44</v>
      </c>
      <c r="T101" s="83">
        <v>700</v>
      </c>
      <c r="U101" s="81" t="s">
        <v>43</v>
      </c>
      <c r="V101" s="82">
        <v>15036</v>
      </c>
    </row>
    <row r="102" spans="1:22" x14ac:dyDescent="0.25">
      <c r="A102" s="21" t="s">
        <v>453</v>
      </c>
      <c r="B102" s="81">
        <v>268.8</v>
      </c>
      <c r="C102">
        <v>1300</v>
      </c>
      <c r="D102">
        <v>122.88</v>
      </c>
      <c r="E102" s="82">
        <v>40</v>
      </c>
      <c r="F102" s="3">
        <f t="shared" si="3"/>
        <v>42.067307692307693</v>
      </c>
      <c r="G102" s="81">
        <v>0</v>
      </c>
      <c r="H102">
        <v>1557.51</v>
      </c>
      <c r="I102">
        <v>180.18</v>
      </c>
      <c r="J102">
        <f t="shared" si="1"/>
        <v>22.265911857144225</v>
      </c>
      <c r="K102">
        <v>69.510000000000005</v>
      </c>
      <c r="L102">
        <v>28.53</v>
      </c>
      <c r="M102">
        <v>74.69</v>
      </c>
      <c r="N102" s="82">
        <v>31.57</v>
      </c>
      <c r="O102" s="81">
        <v>0.6</v>
      </c>
      <c r="P102">
        <f t="shared" si="2"/>
        <v>0.4098360655737705</v>
      </c>
      <c r="Q102">
        <v>2.44</v>
      </c>
      <c r="R102">
        <v>0.41</v>
      </c>
      <c r="S102" s="82">
        <v>0.97</v>
      </c>
      <c r="T102" s="83">
        <v>700</v>
      </c>
      <c r="U102" s="81" t="s">
        <v>43</v>
      </c>
      <c r="V102" s="82">
        <v>23032</v>
      </c>
    </row>
    <row r="103" spans="1:22" x14ac:dyDescent="0.25">
      <c r="A103" s="21" t="s">
        <v>454</v>
      </c>
      <c r="B103" s="81">
        <v>268.8</v>
      </c>
      <c r="C103">
        <v>1300</v>
      </c>
      <c r="D103">
        <v>122.88</v>
      </c>
      <c r="E103" s="82">
        <v>40</v>
      </c>
      <c r="F103" s="3">
        <f t="shared" si="3"/>
        <v>42.067307692307693</v>
      </c>
      <c r="G103" s="81">
        <v>0</v>
      </c>
      <c r="H103">
        <v>830.32</v>
      </c>
      <c r="I103">
        <v>169.03</v>
      </c>
      <c r="J103">
        <f t="shared" si="1"/>
        <v>16.257277284223367</v>
      </c>
      <c r="K103">
        <v>42.83</v>
      </c>
      <c r="L103">
        <v>24.69</v>
      </c>
      <c r="M103">
        <v>59.2</v>
      </c>
      <c r="N103" s="82">
        <v>36.99</v>
      </c>
      <c r="O103" s="81">
        <v>0.37</v>
      </c>
      <c r="P103">
        <f t="shared" si="2"/>
        <v>0.5780346820809249</v>
      </c>
      <c r="Q103">
        <v>1.73</v>
      </c>
      <c r="R103">
        <v>0.57999999999999996</v>
      </c>
      <c r="S103" s="82">
        <v>0.65</v>
      </c>
      <c r="T103" s="83">
        <v>600</v>
      </c>
      <c r="U103" s="81" t="s">
        <v>43</v>
      </c>
      <c r="V103" s="82">
        <v>136248</v>
      </c>
    </row>
    <row r="104" spans="1:22" x14ac:dyDescent="0.25">
      <c r="A104" s="21" t="s">
        <v>455</v>
      </c>
      <c r="B104" s="81">
        <v>268.8</v>
      </c>
      <c r="C104">
        <v>1300</v>
      </c>
      <c r="D104">
        <v>122.88</v>
      </c>
      <c r="E104" s="82">
        <v>40</v>
      </c>
      <c r="F104" s="3">
        <f t="shared" si="3"/>
        <v>42.067307692307693</v>
      </c>
      <c r="G104" s="81">
        <v>428.2</v>
      </c>
      <c r="H104">
        <v>2516.88</v>
      </c>
      <c r="I104">
        <v>220.19</v>
      </c>
      <c r="J104">
        <f t="shared" si="1"/>
        <v>28.304554162506413</v>
      </c>
      <c r="K104">
        <v>89.42</v>
      </c>
      <c r="L104">
        <v>35.840000000000003</v>
      </c>
      <c r="M104">
        <v>90.52</v>
      </c>
      <c r="N104" s="82">
        <v>38.85</v>
      </c>
      <c r="O104" s="81">
        <v>0.65</v>
      </c>
      <c r="P104">
        <f t="shared" si="2"/>
        <v>0.4</v>
      </c>
      <c r="Q104">
        <v>2.5</v>
      </c>
      <c r="R104">
        <v>0.4</v>
      </c>
      <c r="S104" s="82">
        <v>0.91</v>
      </c>
      <c r="T104" s="83">
        <v>500</v>
      </c>
      <c r="U104" s="81" t="s">
        <v>43</v>
      </c>
      <c r="V104" s="82">
        <v>3330389</v>
      </c>
    </row>
    <row r="105" spans="1:22" x14ac:dyDescent="0.25">
      <c r="A105" s="21" t="s">
        <v>456</v>
      </c>
      <c r="B105" s="81">
        <v>268.8</v>
      </c>
      <c r="C105">
        <v>1300</v>
      </c>
      <c r="D105">
        <v>122.88</v>
      </c>
      <c r="E105" s="82">
        <v>40</v>
      </c>
      <c r="F105" s="3">
        <f t="shared" si="3"/>
        <v>42.067307692307693</v>
      </c>
      <c r="G105" s="81">
        <v>0</v>
      </c>
      <c r="H105">
        <v>751.6</v>
      </c>
      <c r="I105">
        <v>115.91</v>
      </c>
      <c r="J105">
        <f t="shared" si="1"/>
        <v>15.46744033302657</v>
      </c>
      <c r="K105">
        <v>42.34</v>
      </c>
      <c r="L105">
        <v>22.6</v>
      </c>
      <c r="M105">
        <v>42.33</v>
      </c>
      <c r="N105" s="82">
        <v>24.75</v>
      </c>
      <c r="O105" s="81">
        <v>0.7</v>
      </c>
      <c r="P105">
        <f t="shared" si="2"/>
        <v>0.53475935828876997</v>
      </c>
      <c r="Q105">
        <v>1.87</v>
      </c>
      <c r="R105">
        <v>0.53</v>
      </c>
      <c r="S105" s="82">
        <v>0.89</v>
      </c>
      <c r="T105" s="83">
        <v>700</v>
      </c>
      <c r="U105" s="81" t="s">
        <v>64</v>
      </c>
      <c r="V105" s="82">
        <v>31695</v>
      </c>
    </row>
    <row r="106" spans="1:22" x14ac:dyDescent="0.25">
      <c r="A106" s="21" t="s">
        <v>457</v>
      </c>
      <c r="B106" s="81">
        <v>268.8</v>
      </c>
      <c r="C106">
        <v>1300</v>
      </c>
      <c r="D106">
        <v>122.88</v>
      </c>
      <c r="E106" s="82">
        <v>40</v>
      </c>
      <c r="F106" s="3">
        <f t="shared" si="3"/>
        <v>42.067307692307693</v>
      </c>
      <c r="G106" s="81">
        <v>79.52</v>
      </c>
      <c r="H106">
        <v>4108.43</v>
      </c>
      <c r="I106">
        <v>327.66000000000003</v>
      </c>
      <c r="J106">
        <f t="shared" si="1"/>
        <v>36.162879941924857</v>
      </c>
      <c r="K106">
        <v>97.84</v>
      </c>
      <c r="L106">
        <v>53.47</v>
      </c>
      <c r="M106">
        <v>121.62</v>
      </c>
      <c r="N106" s="82">
        <v>68.599999999999994</v>
      </c>
      <c r="O106" s="81">
        <v>0.48</v>
      </c>
      <c r="P106">
        <f t="shared" si="2"/>
        <v>0.54644808743169393</v>
      </c>
      <c r="Q106">
        <v>1.83</v>
      </c>
      <c r="R106">
        <v>0.55000000000000004</v>
      </c>
      <c r="S106" s="82">
        <v>0.77</v>
      </c>
      <c r="T106" s="83">
        <v>600</v>
      </c>
      <c r="U106" s="81" t="s">
        <v>43</v>
      </c>
      <c r="V106" s="82">
        <v>159482</v>
      </c>
    </row>
    <row r="107" spans="1:22" x14ac:dyDescent="0.25">
      <c r="A107" s="21" t="s">
        <v>458</v>
      </c>
      <c r="B107" s="81">
        <v>268.8</v>
      </c>
      <c r="C107">
        <v>1300</v>
      </c>
      <c r="D107">
        <v>122.88</v>
      </c>
      <c r="E107" s="82">
        <v>40</v>
      </c>
      <c r="F107" s="3">
        <f t="shared" si="3"/>
        <v>42.067307692307693</v>
      </c>
      <c r="G107" s="81">
        <v>92.3</v>
      </c>
      <c r="H107">
        <v>1441.53</v>
      </c>
      <c r="I107">
        <v>259.83</v>
      </c>
      <c r="J107">
        <f t="shared" si="1"/>
        <v>21.420860165514359</v>
      </c>
      <c r="K107">
        <v>88.24</v>
      </c>
      <c r="L107">
        <v>20.8</v>
      </c>
      <c r="M107">
        <v>105.81</v>
      </c>
      <c r="N107" s="82">
        <v>32.74</v>
      </c>
      <c r="O107" s="81">
        <v>0.27</v>
      </c>
      <c r="P107">
        <f t="shared" si="2"/>
        <v>0.23584905660377356</v>
      </c>
      <c r="Q107">
        <v>4.24</v>
      </c>
      <c r="R107">
        <v>0.24</v>
      </c>
      <c r="S107" s="82">
        <v>0.56000000000000005</v>
      </c>
      <c r="T107" s="83">
        <v>500</v>
      </c>
      <c r="U107" s="81" t="s">
        <v>43</v>
      </c>
      <c r="V107" s="82">
        <v>3908201</v>
      </c>
    </row>
    <row r="108" spans="1:22" x14ac:dyDescent="0.25">
      <c r="A108" s="21" t="s">
        <v>459</v>
      </c>
      <c r="B108" s="81">
        <v>268.8</v>
      </c>
      <c r="C108">
        <v>1300</v>
      </c>
      <c r="D108">
        <v>122.88</v>
      </c>
      <c r="E108" s="82">
        <v>40</v>
      </c>
      <c r="F108" s="3">
        <f t="shared" si="3"/>
        <v>42.067307692307693</v>
      </c>
      <c r="G108" s="81">
        <v>1356.29</v>
      </c>
      <c r="H108">
        <v>2187.63</v>
      </c>
      <c r="I108">
        <v>288.43</v>
      </c>
      <c r="J108">
        <f t="shared" si="1"/>
        <v>26.388335610876371</v>
      </c>
      <c r="K108">
        <v>90.54</v>
      </c>
      <c r="L108">
        <v>30.76</v>
      </c>
      <c r="M108">
        <v>96.63</v>
      </c>
      <c r="N108" s="82">
        <v>47.24</v>
      </c>
      <c r="O108" s="81">
        <v>0.33</v>
      </c>
      <c r="P108">
        <f t="shared" si="2"/>
        <v>0.3401360544217687</v>
      </c>
      <c r="Q108">
        <v>2.94</v>
      </c>
      <c r="R108">
        <v>0.34</v>
      </c>
      <c r="S108" s="82">
        <v>0.61</v>
      </c>
      <c r="T108" s="83">
        <v>700</v>
      </c>
      <c r="U108" s="81" t="s">
        <v>43</v>
      </c>
      <c r="V108" s="82">
        <v>93323</v>
      </c>
    </row>
    <row r="109" spans="1:22" x14ac:dyDescent="0.25">
      <c r="A109" s="21" t="s">
        <v>461</v>
      </c>
      <c r="B109" s="81">
        <v>268.8</v>
      </c>
      <c r="C109">
        <v>1300</v>
      </c>
      <c r="D109">
        <v>122.88</v>
      </c>
      <c r="E109" s="82">
        <v>40</v>
      </c>
      <c r="F109" s="3">
        <f t="shared" si="3"/>
        <v>42.067307692307693</v>
      </c>
      <c r="G109" s="81">
        <v>449.53</v>
      </c>
      <c r="H109">
        <v>11842.82</v>
      </c>
      <c r="I109">
        <v>741.43</v>
      </c>
      <c r="J109">
        <f t="shared" si="1"/>
        <v>61.397774278023462</v>
      </c>
      <c r="K109">
        <v>126.98</v>
      </c>
      <c r="L109">
        <v>118.75</v>
      </c>
      <c r="M109">
        <v>190.14</v>
      </c>
      <c r="N109" s="82">
        <v>162.86000000000001</v>
      </c>
      <c r="O109" s="81">
        <v>0.27</v>
      </c>
      <c r="P109">
        <f t="shared" si="2"/>
        <v>0.93457943925233644</v>
      </c>
      <c r="Q109">
        <v>1.07</v>
      </c>
      <c r="R109">
        <v>0.94</v>
      </c>
      <c r="S109" s="82">
        <v>0.6</v>
      </c>
      <c r="T109" s="83">
        <v>500</v>
      </c>
      <c r="U109" s="81" t="s">
        <v>43</v>
      </c>
      <c r="V109" s="82">
        <v>334157</v>
      </c>
    </row>
    <row r="110" spans="1:22" x14ac:dyDescent="0.25">
      <c r="A110" s="21" t="s">
        <v>462</v>
      </c>
      <c r="B110" s="81">
        <v>268.8</v>
      </c>
      <c r="C110">
        <v>1300</v>
      </c>
      <c r="D110">
        <v>122.88</v>
      </c>
      <c r="E110" s="82">
        <v>40</v>
      </c>
      <c r="F110" s="3">
        <f t="shared" si="3"/>
        <v>42.067307692307693</v>
      </c>
      <c r="G110" s="81">
        <v>0</v>
      </c>
      <c r="H110">
        <v>14441.58</v>
      </c>
      <c r="I110">
        <v>574.67999999999995</v>
      </c>
      <c r="J110">
        <f t="shared" si="1"/>
        <v>67.800425412486234</v>
      </c>
      <c r="K110">
        <v>185.88</v>
      </c>
      <c r="L110">
        <v>98.92</v>
      </c>
      <c r="M110">
        <v>215.28</v>
      </c>
      <c r="N110" s="82">
        <v>118.37</v>
      </c>
      <c r="O110" s="81">
        <v>0.55000000000000004</v>
      </c>
      <c r="P110">
        <f t="shared" si="2"/>
        <v>0.53191489361702127</v>
      </c>
      <c r="Q110">
        <v>1.88</v>
      </c>
      <c r="R110">
        <v>0.53</v>
      </c>
      <c r="S110" s="82">
        <v>0.82</v>
      </c>
      <c r="T110" s="83">
        <v>600</v>
      </c>
      <c r="U110" s="81" t="s">
        <v>43</v>
      </c>
      <c r="V110" s="82">
        <v>18541</v>
      </c>
    </row>
    <row r="111" spans="1:22" x14ac:dyDescent="0.25">
      <c r="A111" s="98" t="s">
        <v>481</v>
      </c>
      <c r="B111" s="81">
        <v>280</v>
      </c>
      <c r="C111">
        <v>1300</v>
      </c>
      <c r="D111">
        <v>120</v>
      </c>
      <c r="E111" s="82">
        <v>40</v>
      </c>
      <c r="F111" s="3">
        <f t="shared" si="3"/>
        <v>44.871794871794869</v>
      </c>
      <c r="G111" s="81">
        <v>194.9</v>
      </c>
      <c r="H111">
        <v>12175.075000000001</v>
      </c>
      <c r="I111">
        <v>888.50400000000002</v>
      </c>
      <c r="J111">
        <f t="shared" si="1"/>
        <v>62.253086168712272</v>
      </c>
      <c r="K111">
        <v>137.9111</v>
      </c>
      <c r="L111">
        <v>112.404</v>
      </c>
      <c r="M111">
        <v>221.85499999999999</v>
      </c>
      <c r="N111" s="82">
        <v>143.30099999999999</v>
      </c>
      <c r="O111" s="81">
        <v>0.19400000000000001</v>
      </c>
      <c r="P111">
        <f>1/1.227</f>
        <v>0.81499592502037488</v>
      </c>
      <c r="Q111">
        <f>1/P111</f>
        <v>1.2270000000000001</v>
      </c>
      <c r="R111">
        <v>0.81499999999999995</v>
      </c>
      <c r="S111" s="82">
        <v>0.56299999999999994</v>
      </c>
      <c r="T111" s="83">
        <v>500</v>
      </c>
      <c r="U111" s="81" t="s">
        <v>43</v>
      </c>
      <c r="V111" s="82">
        <v>245727</v>
      </c>
    </row>
    <row r="112" spans="1:22" x14ac:dyDescent="0.25">
      <c r="A112" s="98" t="s">
        <v>483</v>
      </c>
      <c r="B112" s="81">
        <v>280</v>
      </c>
      <c r="C112">
        <v>1300</v>
      </c>
      <c r="D112">
        <v>120</v>
      </c>
      <c r="E112" s="82">
        <v>40</v>
      </c>
      <c r="F112" s="3">
        <f t="shared" si="3"/>
        <v>44.871794871794869</v>
      </c>
      <c r="G112" s="81">
        <v>1299.1043212916843</v>
      </c>
      <c r="H112">
        <v>4443.0360000000001</v>
      </c>
      <c r="I112">
        <v>392.12400000000002</v>
      </c>
      <c r="J112">
        <f t="shared" si="1"/>
        <v>37.606678708315691</v>
      </c>
      <c r="K112">
        <v>99.242999999999995</v>
      </c>
      <c r="L112">
        <v>57.002000000000002</v>
      </c>
      <c r="M112">
        <v>127.30800000000001</v>
      </c>
      <c r="N112" s="82">
        <v>78.415999999999997</v>
      </c>
      <c r="O112" s="81">
        <v>0.36299999999999999</v>
      </c>
      <c r="P112">
        <f>1/1.741</f>
        <v>0.57438253877082135</v>
      </c>
      <c r="Q112">
        <f t="shared" ref="Q112:Q130" si="4">1/P112</f>
        <v>1.7410000000000001</v>
      </c>
      <c r="R112">
        <v>0.57399999999999995</v>
      </c>
      <c r="S112" s="82">
        <v>0.66200000000000003</v>
      </c>
      <c r="T112" s="83">
        <v>700</v>
      </c>
      <c r="U112" s="81" t="s">
        <v>43</v>
      </c>
      <c r="V112" s="82">
        <v>67850</v>
      </c>
    </row>
    <row r="113" spans="1:22" x14ac:dyDescent="0.25">
      <c r="A113" s="98" t="s">
        <v>484</v>
      </c>
      <c r="B113" s="81">
        <v>280</v>
      </c>
      <c r="C113">
        <v>1300</v>
      </c>
      <c r="D113">
        <v>120</v>
      </c>
      <c r="E113" s="82">
        <v>40</v>
      </c>
      <c r="F113" s="3">
        <f t="shared" si="3"/>
        <v>44.871794871794869</v>
      </c>
      <c r="G113" s="81">
        <v>1778.2514156769882</v>
      </c>
      <c r="H113">
        <v>11752.647999999999</v>
      </c>
      <c r="I113">
        <v>802.43</v>
      </c>
      <c r="J113">
        <f t="shared" si="1"/>
        <v>61.163584323011634</v>
      </c>
      <c r="K113">
        <v>146.61000000000001</v>
      </c>
      <c r="L113">
        <v>102.06699999999999</v>
      </c>
      <c r="M113">
        <v>258.60700000000003</v>
      </c>
      <c r="N113" s="82">
        <v>124.128</v>
      </c>
      <c r="O113" s="81">
        <v>0.22900000000000001</v>
      </c>
      <c r="P113">
        <f>1/1.436</f>
        <v>0.69637883008356549</v>
      </c>
      <c r="Q113">
        <f t="shared" si="4"/>
        <v>1.4359999999999999</v>
      </c>
      <c r="R113">
        <v>0.69599999999999995</v>
      </c>
      <c r="S113" s="82">
        <v>0.47599999999999998</v>
      </c>
      <c r="T113" s="83">
        <v>600</v>
      </c>
      <c r="U113" s="81" t="s">
        <v>43</v>
      </c>
      <c r="V113" s="82">
        <v>157246</v>
      </c>
    </row>
    <row r="114" spans="1:22" x14ac:dyDescent="0.25">
      <c r="A114" s="98" t="s">
        <v>485</v>
      </c>
      <c r="B114" s="81">
        <v>280</v>
      </c>
      <c r="C114">
        <v>1300</v>
      </c>
      <c r="D114">
        <v>120</v>
      </c>
      <c r="E114" s="82">
        <v>40</v>
      </c>
      <c r="F114" s="3">
        <f t="shared" si="3"/>
        <v>44.871794871794869</v>
      </c>
      <c r="G114" s="81">
        <v>428.91884343046752</v>
      </c>
      <c r="H114">
        <v>7354.8559999999998</v>
      </c>
      <c r="I114">
        <v>542.95299999999997</v>
      </c>
      <c r="J114">
        <f t="shared" si="1"/>
        <v>48.385156569532462</v>
      </c>
      <c r="K114">
        <v>127.351</v>
      </c>
      <c r="L114">
        <v>73.534000000000006</v>
      </c>
      <c r="M114">
        <v>166.83600000000001</v>
      </c>
      <c r="N114" s="82">
        <v>100.833</v>
      </c>
      <c r="O114" s="81">
        <v>0.314</v>
      </c>
      <c r="P114">
        <f>1/1.732</f>
        <v>0.57736720554272514</v>
      </c>
      <c r="Q114">
        <f t="shared" si="4"/>
        <v>1.7320000000000002</v>
      </c>
      <c r="R114">
        <v>0.57699999999999996</v>
      </c>
      <c r="S114" s="82">
        <v>0.66400000000000003</v>
      </c>
      <c r="T114" s="83">
        <v>500</v>
      </c>
      <c r="U114" s="81" t="s">
        <v>43</v>
      </c>
      <c r="V114" s="82">
        <v>347011</v>
      </c>
    </row>
    <row r="115" spans="1:22" x14ac:dyDescent="0.25">
      <c r="A115" s="98" t="s">
        <v>486</v>
      </c>
      <c r="B115" s="81">
        <v>280</v>
      </c>
      <c r="C115">
        <v>1300</v>
      </c>
      <c r="D115">
        <v>120</v>
      </c>
      <c r="E115" s="82">
        <v>40</v>
      </c>
      <c r="F115" s="3">
        <f t="shared" si="3"/>
        <v>44.871794871794869</v>
      </c>
      <c r="G115" s="81">
        <v>1519.0868072495475</v>
      </c>
      <c r="H115">
        <v>2069.5349999999999</v>
      </c>
      <c r="I115">
        <v>213.90100000000001</v>
      </c>
      <c r="J115">
        <f t="shared" si="1"/>
        <v>25.666192750452321</v>
      </c>
      <c r="K115">
        <v>62.19</v>
      </c>
      <c r="L115">
        <v>42.37</v>
      </c>
      <c r="M115">
        <v>69.971999999999994</v>
      </c>
      <c r="N115" s="82">
        <v>48.475999999999999</v>
      </c>
      <c r="O115" s="81">
        <v>0.56799999999999995</v>
      </c>
      <c r="P115">
        <f>1/1.468</f>
        <v>0.68119891008174394</v>
      </c>
      <c r="Q115">
        <f t="shared" si="4"/>
        <v>1.4679999999999997</v>
      </c>
      <c r="R115">
        <v>0.68100000000000005</v>
      </c>
      <c r="S115" s="82">
        <v>0.85199999999999998</v>
      </c>
      <c r="T115" s="83">
        <v>600</v>
      </c>
      <c r="U115" s="81" t="s">
        <v>43</v>
      </c>
      <c r="V115" s="82">
        <v>280698</v>
      </c>
    </row>
    <row r="116" spans="1:22" x14ac:dyDescent="0.25">
      <c r="A116" s="98" t="s">
        <v>487</v>
      </c>
      <c r="B116" s="81">
        <v>280</v>
      </c>
      <c r="C116">
        <v>1300</v>
      </c>
      <c r="D116">
        <v>120</v>
      </c>
      <c r="E116" s="82">
        <v>40</v>
      </c>
      <c r="F116" s="3">
        <f t="shared" si="3"/>
        <v>44.871794871794869</v>
      </c>
      <c r="G116" s="81">
        <v>394.40742537564859</v>
      </c>
      <c r="H116">
        <v>1125.961</v>
      </c>
      <c r="I116">
        <v>120.367</v>
      </c>
      <c r="J116">
        <f t="shared" si="1"/>
        <v>18.931574624351434</v>
      </c>
      <c r="K116">
        <v>41.32</v>
      </c>
      <c r="L116">
        <v>34.695</v>
      </c>
      <c r="M116">
        <v>41.622999999999998</v>
      </c>
      <c r="N116" s="82">
        <v>34.344000000000001</v>
      </c>
      <c r="O116" s="81">
        <v>0.97699999999999998</v>
      </c>
      <c r="P116">
        <f>1/1.191</f>
        <v>0.83963056255247692</v>
      </c>
      <c r="Q116">
        <f t="shared" si="4"/>
        <v>1.1910000000000001</v>
      </c>
      <c r="R116">
        <v>0.84</v>
      </c>
      <c r="S116" s="82">
        <v>1</v>
      </c>
      <c r="T116" s="83">
        <v>500</v>
      </c>
      <c r="U116" s="81" t="s">
        <v>64</v>
      </c>
      <c r="V116" s="82">
        <v>2427812</v>
      </c>
    </row>
    <row r="117" spans="1:22" x14ac:dyDescent="0.25">
      <c r="A117" s="98" t="s">
        <v>488</v>
      </c>
      <c r="B117" s="81">
        <v>280</v>
      </c>
      <c r="C117">
        <v>1300</v>
      </c>
      <c r="D117">
        <v>120</v>
      </c>
      <c r="E117" s="82">
        <v>40</v>
      </c>
      <c r="F117" s="3">
        <f t="shared" si="3"/>
        <v>44.871794871794869</v>
      </c>
      <c r="G117" s="81">
        <v>565.14581989532974</v>
      </c>
      <c r="H117">
        <v>3092.7869999999998</v>
      </c>
      <c r="I117">
        <v>260.517</v>
      </c>
      <c r="J117">
        <f t="shared" si="1"/>
        <v>31.376180104670283</v>
      </c>
      <c r="K117">
        <v>77.691000000000003</v>
      </c>
      <c r="L117">
        <v>50.686</v>
      </c>
      <c r="M117">
        <v>92.974999999999994</v>
      </c>
      <c r="N117" s="82">
        <v>58.93</v>
      </c>
      <c r="O117" s="81">
        <v>0.57299999999999995</v>
      </c>
      <c r="P117">
        <f>1/1.533</f>
        <v>0.65231572080887157</v>
      </c>
      <c r="Q117">
        <f t="shared" si="4"/>
        <v>1.5329999999999999</v>
      </c>
      <c r="R117">
        <v>0.65200000000000002</v>
      </c>
      <c r="S117" s="82">
        <v>0.85499999999999998</v>
      </c>
      <c r="T117" s="83">
        <v>700</v>
      </c>
      <c r="U117" s="81" t="s">
        <v>43</v>
      </c>
      <c r="V117" s="82">
        <v>72511</v>
      </c>
    </row>
    <row r="118" spans="1:22" x14ac:dyDescent="0.25">
      <c r="A118" s="98" t="s">
        <v>489</v>
      </c>
      <c r="B118" s="81">
        <v>280</v>
      </c>
      <c r="C118">
        <v>1300</v>
      </c>
      <c r="D118">
        <v>120</v>
      </c>
      <c r="E118" s="82">
        <v>40</v>
      </c>
      <c r="F118" s="3">
        <f t="shared" si="3"/>
        <v>44.871794871794869</v>
      </c>
      <c r="G118" s="81">
        <v>949.25978757308962</v>
      </c>
      <c r="H118">
        <v>2388.15</v>
      </c>
      <c r="I118">
        <v>219.648</v>
      </c>
      <c r="J118">
        <f t="shared" ref="J118:J169" si="5">SQRT(H118/PI())</f>
        <v>27.571212426910424</v>
      </c>
      <c r="K118">
        <v>88.962000000000003</v>
      </c>
      <c r="L118">
        <v>34.179000000000002</v>
      </c>
      <c r="M118">
        <v>98.334999999999994</v>
      </c>
      <c r="N118" s="82">
        <v>37.229999999999997</v>
      </c>
      <c r="O118" s="81">
        <v>0.622</v>
      </c>
      <c r="P118">
        <f>1/2.603</f>
        <v>0.38417210910487898</v>
      </c>
      <c r="Q118">
        <f t="shared" si="4"/>
        <v>2.6030000000000002</v>
      </c>
      <c r="R118">
        <v>0.38400000000000001</v>
      </c>
      <c r="S118" s="82">
        <v>0.97399999999999998</v>
      </c>
      <c r="T118" s="83">
        <v>600</v>
      </c>
      <c r="U118" s="81" t="s">
        <v>43</v>
      </c>
      <c r="V118" s="82">
        <v>443049</v>
      </c>
    </row>
    <row r="119" spans="1:22" x14ac:dyDescent="0.25">
      <c r="A119" s="98" t="s">
        <v>490</v>
      </c>
      <c r="B119" s="81">
        <v>280</v>
      </c>
      <c r="C119">
        <v>1300</v>
      </c>
      <c r="D119">
        <v>120</v>
      </c>
      <c r="E119" s="82">
        <v>40</v>
      </c>
      <c r="F119" s="3">
        <f t="shared" si="3"/>
        <v>44.871794871794869</v>
      </c>
      <c r="G119" s="81">
        <v>698.04429624459794</v>
      </c>
      <c r="H119">
        <v>2782.694</v>
      </c>
      <c r="I119">
        <v>307.06700000000001</v>
      </c>
      <c r="J119">
        <f t="shared" si="5"/>
        <v>29.761703755402131</v>
      </c>
      <c r="K119">
        <v>88.753</v>
      </c>
      <c r="L119">
        <v>39.92</v>
      </c>
      <c r="M119">
        <v>115.248</v>
      </c>
      <c r="N119" s="82">
        <v>51.988999999999997</v>
      </c>
      <c r="O119" s="81">
        <v>0.371</v>
      </c>
      <c r="P119">
        <f>1/2.223</f>
        <v>0.44984255510571303</v>
      </c>
      <c r="Q119">
        <f t="shared" si="4"/>
        <v>2.2229999999999999</v>
      </c>
      <c r="R119">
        <v>0.45</v>
      </c>
      <c r="S119" s="82">
        <v>0.72</v>
      </c>
      <c r="T119" s="83">
        <v>700</v>
      </c>
      <c r="U119" s="81" t="s">
        <v>43</v>
      </c>
      <c r="V119" s="82">
        <v>108303</v>
      </c>
    </row>
    <row r="120" spans="1:22" x14ac:dyDescent="0.25">
      <c r="A120" s="98" t="s">
        <v>491</v>
      </c>
      <c r="B120" s="81">
        <v>280</v>
      </c>
      <c r="C120">
        <v>1300</v>
      </c>
      <c r="D120">
        <v>120</v>
      </c>
      <c r="E120" s="82">
        <v>40</v>
      </c>
      <c r="F120" s="3">
        <f t="shared" si="3"/>
        <v>44.871794871794869</v>
      </c>
      <c r="G120" s="81">
        <v>1586.1377814293121</v>
      </c>
      <c r="H120">
        <v>3524.6460000000002</v>
      </c>
      <c r="I120">
        <v>349.70400000000001</v>
      </c>
      <c r="J120">
        <f t="shared" si="5"/>
        <v>33.495218570687868</v>
      </c>
      <c r="K120">
        <v>87.313999999999993</v>
      </c>
      <c r="L120">
        <v>51.393000000000001</v>
      </c>
      <c r="M120">
        <v>103.075</v>
      </c>
      <c r="N120" s="82">
        <v>63.63</v>
      </c>
      <c r="O120" s="81">
        <v>0.36199999999999999</v>
      </c>
      <c r="P120">
        <f>1/1.699</f>
        <v>0.58858151854031782</v>
      </c>
      <c r="Q120">
        <f t="shared" si="4"/>
        <v>1.6990000000000001</v>
      </c>
      <c r="R120">
        <v>0.58899999999999997</v>
      </c>
      <c r="S120" s="82">
        <v>0.73099999999999998</v>
      </c>
      <c r="T120" s="83">
        <v>500</v>
      </c>
      <c r="U120" s="81" t="s">
        <v>43</v>
      </c>
      <c r="V120" s="82">
        <v>1270334</v>
      </c>
    </row>
    <row r="121" spans="1:22" x14ac:dyDescent="0.25">
      <c r="A121" s="98" t="s">
        <v>492</v>
      </c>
      <c r="B121" s="81">
        <v>280</v>
      </c>
      <c r="C121">
        <v>1300</v>
      </c>
      <c r="D121">
        <v>120</v>
      </c>
      <c r="E121" s="82">
        <v>40</v>
      </c>
      <c r="F121" s="3">
        <f t="shared" si="3"/>
        <v>44.871794871794869</v>
      </c>
      <c r="G121" s="81">
        <v>509.42782921637632</v>
      </c>
      <c r="H121">
        <v>2554.4760000000001</v>
      </c>
      <c r="I121">
        <v>233.72</v>
      </c>
      <c r="J121">
        <f t="shared" si="5"/>
        <v>28.51517078362367</v>
      </c>
      <c r="K121">
        <v>73.938999999999993</v>
      </c>
      <c r="L121">
        <v>43.988999999999997</v>
      </c>
      <c r="M121">
        <v>85.108000000000004</v>
      </c>
      <c r="N121" s="82">
        <v>51.404000000000003</v>
      </c>
      <c r="O121" s="81">
        <v>0.58799999999999997</v>
      </c>
      <c r="P121">
        <f>1/1.681</f>
        <v>0.59488399762046396</v>
      </c>
      <c r="Q121">
        <f t="shared" si="4"/>
        <v>1.681</v>
      </c>
      <c r="R121">
        <v>0.59499999999999997</v>
      </c>
      <c r="S121" s="82">
        <v>0.85299999999999998</v>
      </c>
      <c r="T121" s="83">
        <v>600</v>
      </c>
      <c r="U121" s="81" t="s">
        <v>43</v>
      </c>
      <c r="V121" s="82">
        <v>420382</v>
      </c>
    </row>
    <row r="122" spans="1:22" x14ac:dyDescent="0.25">
      <c r="A122" s="98" t="s">
        <v>493</v>
      </c>
      <c r="B122" s="81">
        <v>280</v>
      </c>
      <c r="C122">
        <v>1300</v>
      </c>
      <c r="D122">
        <v>120</v>
      </c>
      <c r="E122" s="82">
        <v>40</v>
      </c>
      <c r="F122" s="3">
        <f t="shared" si="3"/>
        <v>44.871794871794869</v>
      </c>
      <c r="G122" s="81">
        <v>95.693733584335504</v>
      </c>
      <c r="H122">
        <v>954.78899999999999</v>
      </c>
      <c r="I122">
        <v>134.16</v>
      </c>
      <c r="J122">
        <f t="shared" si="5"/>
        <v>17.433266415664487</v>
      </c>
      <c r="K122">
        <v>52.956000000000003</v>
      </c>
      <c r="L122">
        <v>22.956</v>
      </c>
      <c r="M122">
        <v>55.804000000000002</v>
      </c>
      <c r="N122" s="82">
        <v>24.059000000000001</v>
      </c>
      <c r="O122" s="81">
        <v>0.66700000000000004</v>
      </c>
      <c r="P122">
        <f>1/2.307</f>
        <v>0.43346337234503685</v>
      </c>
      <c r="Q122">
        <f t="shared" si="4"/>
        <v>2.3069999999999999</v>
      </c>
      <c r="R122">
        <v>0.433</v>
      </c>
      <c r="S122" s="82">
        <v>0.95099999999999996</v>
      </c>
      <c r="T122" s="83">
        <v>700</v>
      </c>
      <c r="U122" s="81" t="s">
        <v>43</v>
      </c>
      <c r="V122" s="82">
        <v>215659</v>
      </c>
    </row>
    <row r="123" spans="1:22" x14ac:dyDescent="0.25">
      <c r="A123" s="98" t="s">
        <v>494</v>
      </c>
      <c r="B123" s="81">
        <v>280</v>
      </c>
      <c r="C123">
        <v>1300</v>
      </c>
      <c r="D123">
        <v>120</v>
      </c>
      <c r="E123" s="82">
        <v>40</v>
      </c>
      <c r="F123" s="3">
        <f t="shared" si="3"/>
        <v>44.871794871794869</v>
      </c>
      <c r="G123" s="81">
        <v>325.0563555103418</v>
      </c>
      <c r="H123">
        <v>1442.174</v>
      </c>
      <c r="I123">
        <v>283.88099999999997</v>
      </c>
      <c r="J123">
        <f t="shared" si="5"/>
        <v>21.425644489658232</v>
      </c>
      <c r="K123">
        <v>61.094999999999999</v>
      </c>
      <c r="L123">
        <v>30.055</v>
      </c>
      <c r="M123">
        <v>100.396</v>
      </c>
      <c r="N123" s="82">
        <v>58.881999999999998</v>
      </c>
      <c r="O123" s="81">
        <v>0.22500000000000001</v>
      </c>
      <c r="P123">
        <f>1/2.033</f>
        <v>0.4918839153959666</v>
      </c>
      <c r="Q123">
        <f t="shared" si="4"/>
        <v>2.0329999999999999</v>
      </c>
      <c r="R123">
        <v>0.49199999999999999</v>
      </c>
      <c r="S123" s="82">
        <v>0.42899999999999999</v>
      </c>
      <c r="T123" s="83">
        <v>700</v>
      </c>
      <c r="U123" s="81" t="s">
        <v>43</v>
      </c>
      <c r="V123" s="82">
        <v>101608</v>
      </c>
    </row>
    <row r="124" spans="1:22" x14ac:dyDescent="0.25">
      <c r="A124" s="98" t="s">
        <v>495</v>
      </c>
      <c r="B124" s="81">
        <v>280</v>
      </c>
      <c r="C124">
        <v>1300</v>
      </c>
      <c r="D124">
        <v>120</v>
      </c>
      <c r="E124" s="82">
        <v>40</v>
      </c>
      <c r="F124" s="3">
        <f t="shared" si="3"/>
        <v>44.871794871794869</v>
      </c>
      <c r="G124" s="81">
        <v>1213.2319998614589</v>
      </c>
      <c r="H124">
        <v>2254.2289999999998</v>
      </c>
      <c r="I124">
        <v>241.172</v>
      </c>
      <c r="J124">
        <f t="shared" si="5"/>
        <v>26.787000138541089</v>
      </c>
      <c r="K124">
        <v>91.438000000000002</v>
      </c>
      <c r="L124">
        <v>31.388999999999999</v>
      </c>
      <c r="M124">
        <v>105.151</v>
      </c>
      <c r="N124" s="82">
        <v>34.948</v>
      </c>
      <c r="O124" s="81">
        <v>0.48699999999999999</v>
      </c>
      <c r="P124">
        <f>1/2.913</f>
        <v>0.34328870580157916</v>
      </c>
      <c r="Q124">
        <f t="shared" si="4"/>
        <v>2.9129999999999998</v>
      </c>
      <c r="R124">
        <v>0.34300000000000003</v>
      </c>
      <c r="S124" s="82">
        <v>0.91</v>
      </c>
      <c r="T124" s="83">
        <v>600</v>
      </c>
      <c r="U124" s="81" t="s">
        <v>43</v>
      </c>
      <c r="V124" s="82">
        <v>786035</v>
      </c>
    </row>
    <row r="125" spans="1:22" x14ac:dyDescent="0.25">
      <c r="A125" s="98" t="s">
        <v>496</v>
      </c>
      <c r="B125" s="81">
        <v>280</v>
      </c>
      <c r="C125">
        <v>1300</v>
      </c>
      <c r="D125">
        <v>120</v>
      </c>
      <c r="E125" s="82">
        <v>40</v>
      </c>
      <c r="F125" s="3">
        <f t="shared" si="3"/>
        <v>44.871794871794869</v>
      </c>
      <c r="G125" s="81">
        <v>663.44856954395277</v>
      </c>
      <c r="H125">
        <v>4503.6729999999998</v>
      </c>
      <c r="I125">
        <v>358.92399999999998</v>
      </c>
      <c r="J125">
        <f t="shared" si="5"/>
        <v>37.862430456047207</v>
      </c>
      <c r="K125">
        <v>95.286000000000001</v>
      </c>
      <c r="L125">
        <v>60.18</v>
      </c>
      <c r="M125">
        <v>121.319</v>
      </c>
      <c r="N125" s="82">
        <v>81.578000000000003</v>
      </c>
      <c r="O125" s="81">
        <v>0.439</v>
      </c>
      <c r="P125">
        <f>1/1.583</f>
        <v>0.63171193935565384</v>
      </c>
      <c r="Q125">
        <f t="shared" si="4"/>
        <v>1.583</v>
      </c>
      <c r="R125">
        <v>0.63200000000000001</v>
      </c>
      <c r="S125" s="82">
        <v>0.69399999999999995</v>
      </c>
      <c r="T125" s="83">
        <v>500</v>
      </c>
      <c r="U125" s="81" t="s">
        <v>43</v>
      </c>
      <c r="V125" s="82">
        <v>1395519</v>
      </c>
    </row>
    <row r="126" spans="1:22" x14ac:dyDescent="0.25">
      <c r="A126" s="98" t="s">
        <v>497</v>
      </c>
      <c r="B126" s="81">
        <v>280</v>
      </c>
      <c r="C126">
        <v>1300</v>
      </c>
      <c r="D126">
        <v>120</v>
      </c>
      <c r="E126" s="82">
        <v>40</v>
      </c>
      <c r="F126" s="3">
        <f t="shared" si="3"/>
        <v>44.871794871794869</v>
      </c>
      <c r="G126" s="81">
        <v>810.96446623922509</v>
      </c>
      <c r="H126">
        <v>1612.3530000000001</v>
      </c>
      <c r="I126">
        <v>274.53500000000003</v>
      </c>
      <c r="J126">
        <f t="shared" si="5"/>
        <v>22.654533760774981</v>
      </c>
      <c r="K126">
        <v>80.194999999999993</v>
      </c>
      <c r="L126">
        <v>25.599</v>
      </c>
      <c r="M126">
        <v>90.218000000000004</v>
      </c>
      <c r="N126" s="82">
        <v>34.618000000000002</v>
      </c>
      <c r="O126" s="81">
        <v>0.26900000000000002</v>
      </c>
      <c r="P126">
        <f>1/3.133</f>
        <v>0.31918289179699966</v>
      </c>
      <c r="Q126">
        <f t="shared" si="4"/>
        <v>3.1330000000000005</v>
      </c>
      <c r="R126">
        <v>0.31900000000000001</v>
      </c>
      <c r="S126" s="82">
        <v>0.67600000000000005</v>
      </c>
      <c r="T126" s="83">
        <v>500</v>
      </c>
      <c r="U126" s="81" t="s">
        <v>43</v>
      </c>
      <c r="V126" s="82">
        <v>3272126</v>
      </c>
    </row>
    <row r="127" spans="1:22" x14ac:dyDescent="0.25">
      <c r="A127" s="98" t="s">
        <v>498</v>
      </c>
      <c r="B127" s="81">
        <v>280</v>
      </c>
      <c r="C127">
        <v>1300</v>
      </c>
      <c r="D127">
        <v>120</v>
      </c>
      <c r="E127" s="82">
        <v>40</v>
      </c>
      <c r="F127" s="3">
        <f t="shared" si="3"/>
        <v>44.871794871794869</v>
      </c>
      <c r="G127" s="81">
        <v>363.97617473409088</v>
      </c>
      <c r="H127">
        <v>751.92899999999997</v>
      </c>
      <c r="I127">
        <v>99.128</v>
      </c>
      <c r="J127">
        <f t="shared" si="5"/>
        <v>15.470825265909106</v>
      </c>
      <c r="K127">
        <v>32.134</v>
      </c>
      <c r="L127">
        <v>29.794</v>
      </c>
      <c r="M127">
        <v>33.393000000000001</v>
      </c>
      <c r="N127" s="82">
        <v>29.378</v>
      </c>
      <c r="O127" s="81">
        <v>0.96199999999999997</v>
      </c>
      <c r="P127">
        <f>1/1.079</f>
        <v>0.92678405931417984</v>
      </c>
      <c r="Q127">
        <f t="shared" si="4"/>
        <v>1.079</v>
      </c>
      <c r="R127">
        <v>0.92700000000000005</v>
      </c>
      <c r="S127" s="82">
        <v>0.999</v>
      </c>
      <c r="T127" s="83">
        <v>700</v>
      </c>
      <c r="U127" s="81" t="s">
        <v>64</v>
      </c>
      <c r="V127" s="82">
        <v>85809</v>
      </c>
    </row>
    <row r="128" spans="1:22" x14ac:dyDescent="0.25">
      <c r="A128" s="98" t="s">
        <v>499</v>
      </c>
      <c r="B128" s="81">
        <v>280</v>
      </c>
      <c r="C128">
        <v>1300</v>
      </c>
      <c r="D128">
        <v>120</v>
      </c>
      <c r="E128" s="82">
        <v>40</v>
      </c>
      <c r="F128" s="3">
        <f t="shared" si="3"/>
        <v>44.871794871794869</v>
      </c>
      <c r="G128" s="81">
        <v>15.554</v>
      </c>
      <c r="H128">
        <v>2266.6190000000001</v>
      </c>
      <c r="I128">
        <v>283.71800000000002</v>
      </c>
      <c r="J128">
        <f t="shared" si="5"/>
        <v>26.860514438707565</v>
      </c>
      <c r="K128">
        <v>84.849000000000004</v>
      </c>
      <c r="L128">
        <v>34.012999999999998</v>
      </c>
      <c r="M128">
        <v>106.54</v>
      </c>
      <c r="N128" s="82">
        <v>42.32</v>
      </c>
      <c r="O128" s="81">
        <v>0.35399999999999998</v>
      </c>
      <c r="P128">
        <f>1/2.495</f>
        <v>0.40080160320641278</v>
      </c>
      <c r="Q128">
        <f t="shared" si="4"/>
        <v>2.4950000000000001</v>
      </c>
      <c r="R128">
        <v>0.40100000000000002</v>
      </c>
      <c r="S128" s="82">
        <v>0.71599999999999997</v>
      </c>
      <c r="T128" s="83">
        <v>600</v>
      </c>
      <c r="U128" s="81" t="s">
        <v>43</v>
      </c>
      <c r="V128" s="82">
        <v>368647</v>
      </c>
    </row>
    <row r="129" spans="1:22" x14ac:dyDescent="0.25">
      <c r="A129" s="98" t="s">
        <v>500</v>
      </c>
      <c r="B129" s="81">
        <v>280</v>
      </c>
      <c r="C129">
        <v>1300</v>
      </c>
      <c r="D129">
        <v>120</v>
      </c>
      <c r="E129" s="82">
        <v>40</v>
      </c>
      <c r="F129" s="3">
        <f t="shared" si="3"/>
        <v>44.871794871794869</v>
      </c>
      <c r="G129" s="81">
        <v>8.0296267506421195</v>
      </c>
      <c r="H129">
        <v>693.48</v>
      </c>
      <c r="I129">
        <v>132.31899999999999</v>
      </c>
      <c r="J129">
        <f t="shared" si="5"/>
        <v>14.857373249357881</v>
      </c>
      <c r="K129">
        <v>47.640999999999998</v>
      </c>
      <c r="L129">
        <v>18.533999999999999</v>
      </c>
      <c r="M129">
        <v>58.414999999999999</v>
      </c>
      <c r="N129" s="82">
        <v>20.29</v>
      </c>
      <c r="O129" s="81">
        <v>0.498</v>
      </c>
      <c r="P129">
        <f>1/2.571</f>
        <v>0.3889537145079735</v>
      </c>
      <c r="Q129">
        <f t="shared" si="4"/>
        <v>2.5710000000000002</v>
      </c>
      <c r="R129">
        <v>0.38900000000000001</v>
      </c>
      <c r="S129" s="82">
        <v>0.93799999999999994</v>
      </c>
      <c r="T129" s="83">
        <v>600</v>
      </c>
      <c r="U129" s="81" t="s">
        <v>43</v>
      </c>
      <c r="V129" s="82">
        <v>164291</v>
      </c>
    </row>
    <row r="130" spans="1:22" x14ac:dyDescent="0.25">
      <c r="A130" s="98" t="s">
        <v>501</v>
      </c>
      <c r="B130" s="81">
        <v>280</v>
      </c>
      <c r="C130">
        <v>1300</v>
      </c>
      <c r="D130">
        <v>120</v>
      </c>
      <c r="E130" s="82">
        <v>40</v>
      </c>
      <c r="F130" s="3">
        <f t="shared" si="3"/>
        <v>44.871794871794869</v>
      </c>
      <c r="G130" s="81">
        <v>0</v>
      </c>
      <c r="H130">
        <v>737.25</v>
      </c>
      <c r="I130">
        <v>149.72800000000001</v>
      </c>
      <c r="J130">
        <f t="shared" si="5"/>
        <v>15.319071890587878</v>
      </c>
      <c r="K130">
        <v>62.795999999999999</v>
      </c>
      <c r="L130">
        <v>14.948</v>
      </c>
      <c r="M130">
        <v>64.405000000000001</v>
      </c>
      <c r="N130" s="82">
        <v>19.661999999999999</v>
      </c>
      <c r="O130" s="81">
        <v>0.41299999999999998</v>
      </c>
      <c r="P130">
        <f>1/4.201</f>
        <v>0.23803856224708406</v>
      </c>
      <c r="Q130">
        <f t="shared" si="4"/>
        <v>4.2009999999999996</v>
      </c>
      <c r="R130">
        <v>0.23799999999999999</v>
      </c>
      <c r="S130" s="82">
        <v>0.82499999999999996</v>
      </c>
      <c r="T130" s="83">
        <v>600</v>
      </c>
      <c r="U130" s="81" t="s">
        <v>43</v>
      </c>
      <c r="V130" s="82">
        <v>217484</v>
      </c>
    </row>
    <row r="131" spans="1:22" x14ac:dyDescent="0.25">
      <c r="A131" s="98" t="s">
        <v>503</v>
      </c>
      <c r="B131" s="81">
        <v>280</v>
      </c>
      <c r="C131">
        <v>1300</v>
      </c>
      <c r="D131">
        <v>120</v>
      </c>
      <c r="E131" s="82">
        <v>40</v>
      </c>
      <c r="F131" s="3">
        <f t="shared" ref="F131:F169" si="6">1000000* B131/(C131*D131*E131)</f>
        <v>44.871794871794869</v>
      </c>
      <c r="G131" s="81">
        <v>121.381</v>
      </c>
      <c r="H131">
        <v>10761.898999999999</v>
      </c>
      <c r="I131">
        <v>607.38</v>
      </c>
      <c r="J131">
        <f t="shared" si="5"/>
        <v>58.528786471371937</v>
      </c>
      <c r="K131">
        <v>132.62100000000001</v>
      </c>
      <c r="L131">
        <v>103.321</v>
      </c>
      <c r="M131">
        <v>167.04</v>
      </c>
      <c r="N131" s="82">
        <v>114.809</v>
      </c>
      <c r="O131" s="81">
        <v>0.33300000000000002</v>
      </c>
      <c r="P131">
        <f>1/1.383</f>
        <v>0.72306579898770784</v>
      </c>
      <c r="Q131">
        <f>1/P131</f>
        <v>1.383</v>
      </c>
      <c r="R131">
        <v>0.72299999999999998</v>
      </c>
      <c r="S131" s="82">
        <v>0.69799999999999995</v>
      </c>
      <c r="T131" s="83">
        <v>600</v>
      </c>
      <c r="U131" s="81" t="s">
        <v>43</v>
      </c>
      <c r="V131" s="82">
        <v>60400</v>
      </c>
    </row>
    <row r="132" spans="1:22" x14ac:dyDescent="0.25">
      <c r="A132" s="98" t="s">
        <v>505</v>
      </c>
      <c r="B132" s="81">
        <v>280</v>
      </c>
      <c r="C132">
        <v>1300</v>
      </c>
      <c r="D132">
        <v>120</v>
      </c>
      <c r="E132" s="82">
        <v>40</v>
      </c>
      <c r="F132" s="3">
        <f t="shared" si="6"/>
        <v>44.871794871794869</v>
      </c>
      <c r="G132" s="81">
        <v>1257.0586535736843</v>
      </c>
      <c r="H132">
        <v>19379.678</v>
      </c>
      <c r="I132">
        <v>1374.329</v>
      </c>
      <c r="J132">
        <f t="shared" si="5"/>
        <v>78.54134642631557</v>
      </c>
      <c r="K132">
        <v>186.709</v>
      </c>
      <c r="L132">
        <v>132.15700000000001</v>
      </c>
      <c r="M132">
        <v>240.982</v>
      </c>
      <c r="N132" s="82">
        <v>156.92599999999999</v>
      </c>
      <c r="O132" s="81">
        <v>0.129</v>
      </c>
      <c r="P132">
        <f>1/1.413</f>
        <v>0.70771408351026188</v>
      </c>
      <c r="Q132">
        <f t="shared" ref="Q132:Q148" si="7">1/P132</f>
        <v>1.413</v>
      </c>
      <c r="R132">
        <v>0.70799999999999996</v>
      </c>
      <c r="S132" s="82">
        <v>0.65200000000000002</v>
      </c>
      <c r="T132" s="83">
        <v>500</v>
      </c>
      <c r="U132" s="81" t="s">
        <v>43</v>
      </c>
      <c r="V132" s="82">
        <v>149571</v>
      </c>
    </row>
    <row r="133" spans="1:22" x14ac:dyDescent="0.25">
      <c r="A133" s="98" t="s">
        <v>507</v>
      </c>
      <c r="B133" s="81">
        <v>280</v>
      </c>
      <c r="C133">
        <v>1300</v>
      </c>
      <c r="D133">
        <v>120</v>
      </c>
      <c r="E133" s="82">
        <v>40</v>
      </c>
      <c r="F133" s="3">
        <f t="shared" si="6"/>
        <v>44.871794871794869</v>
      </c>
      <c r="G133" s="81">
        <v>316.29998136713726</v>
      </c>
      <c r="H133">
        <v>6115.3490000000002</v>
      </c>
      <c r="I133">
        <v>793.10799999999995</v>
      </c>
      <c r="J133">
        <f t="shared" si="5"/>
        <v>44.120018632862774</v>
      </c>
      <c r="K133">
        <v>106.774</v>
      </c>
      <c r="L133">
        <v>72.923000000000002</v>
      </c>
      <c r="M133">
        <v>190.917</v>
      </c>
      <c r="N133" s="82">
        <v>121.49299999999999</v>
      </c>
      <c r="O133" s="81">
        <v>0.122</v>
      </c>
      <c r="P133">
        <f>1/1.464</f>
        <v>0.68306010928961747</v>
      </c>
      <c r="Q133">
        <f t="shared" si="7"/>
        <v>1.464</v>
      </c>
      <c r="R133">
        <v>0.68300000000000005</v>
      </c>
      <c r="S133" s="82">
        <v>0.49299999999999999</v>
      </c>
      <c r="T133" s="83">
        <v>600</v>
      </c>
      <c r="U133" s="81" t="s">
        <v>43</v>
      </c>
      <c r="V133" s="82">
        <v>171842</v>
      </c>
    </row>
    <row r="134" spans="1:22" x14ac:dyDescent="0.25">
      <c r="A134" s="98" t="s">
        <v>509</v>
      </c>
      <c r="B134" s="81">
        <v>280</v>
      </c>
      <c r="C134">
        <v>1300</v>
      </c>
      <c r="D134">
        <v>120</v>
      </c>
      <c r="E134" s="82">
        <v>40</v>
      </c>
      <c r="F134" s="3">
        <f t="shared" si="6"/>
        <v>44.871794871794869</v>
      </c>
      <c r="G134" s="81">
        <v>1675.9380209774799</v>
      </c>
      <c r="H134">
        <v>6131.4269999999997</v>
      </c>
      <c r="I134">
        <v>897.96699999999998</v>
      </c>
      <c r="J134">
        <f t="shared" si="5"/>
        <v>44.177979022520041</v>
      </c>
      <c r="K134">
        <v>161.03299999999999</v>
      </c>
      <c r="L134">
        <v>48.478999999999999</v>
      </c>
      <c r="M134">
        <v>231.101</v>
      </c>
      <c r="N134" s="82">
        <v>96.927999999999997</v>
      </c>
      <c r="O134" s="81">
        <v>9.6000000000000002E-2</v>
      </c>
      <c r="P134">
        <f>1/3.322</f>
        <v>0.30102347983142685</v>
      </c>
      <c r="Q134">
        <f t="shared" si="7"/>
        <v>3.3220000000000001</v>
      </c>
      <c r="R134">
        <v>0.30099999999999999</v>
      </c>
      <c r="S134" s="82">
        <v>0.40600000000000003</v>
      </c>
      <c r="T134" s="83">
        <v>700</v>
      </c>
      <c r="U134" s="81" t="s">
        <v>43</v>
      </c>
      <c r="V134" s="82">
        <v>57889</v>
      </c>
    </row>
    <row r="135" spans="1:22" x14ac:dyDescent="0.25">
      <c r="A135" s="98" t="s">
        <v>511</v>
      </c>
      <c r="B135" s="81">
        <v>280</v>
      </c>
      <c r="C135">
        <v>1300</v>
      </c>
      <c r="D135">
        <v>120</v>
      </c>
      <c r="E135" s="82">
        <v>40</v>
      </c>
      <c r="F135" s="3">
        <f t="shared" si="6"/>
        <v>44.871794871794869</v>
      </c>
      <c r="G135" s="81">
        <v>192.79179933634492</v>
      </c>
      <c r="H135">
        <v>5296.0209999999997</v>
      </c>
      <c r="I135">
        <v>504.03500000000003</v>
      </c>
      <c r="J135">
        <f t="shared" si="5"/>
        <v>41.058200663655064</v>
      </c>
      <c r="K135">
        <v>114.256</v>
      </c>
      <c r="L135">
        <v>59.017000000000003</v>
      </c>
      <c r="M135">
        <v>163.042</v>
      </c>
      <c r="N135" s="82">
        <v>96.927000000000007</v>
      </c>
      <c r="O135" s="81">
        <v>0.26200000000000001</v>
      </c>
      <c r="P135">
        <f>1/1.936</f>
        <v>0.51652892561983477</v>
      </c>
      <c r="Q135">
        <f t="shared" si="7"/>
        <v>1.9359999999999997</v>
      </c>
      <c r="R135">
        <v>0.51700000000000002</v>
      </c>
      <c r="S135" s="82">
        <v>0.53900000000000003</v>
      </c>
      <c r="T135" s="83">
        <v>600</v>
      </c>
      <c r="U135" s="81" t="s">
        <v>43</v>
      </c>
      <c r="V135" s="82">
        <v>92592</v>
      </c>
    </row>
    <row r="136" spans="1:22" x14ac:dyDescent="0.25">
      <c r="A136" s="98" t="s">
        <v>512</v>
      </c>
      <c r="B136" s="81">
        <v>280</v>
      </c>
      <c r="C136">
        <v>1300</v>
      </c>
      <c r="D136">
        <v>120</v>
      </c>
      <c r="E136" s="82">
        <v>40</v>
      </c>
      <c r="F136" s="3">
        <f t="shared" si="6"/>
        <v>44.871794871794869</v>
      </c>
      <c r="G136" s="81">
        <v>107.51331257628092</v>
      </c>
      <c r="H136">
        <v>5946.78</v>
      </c>
      <c r="I136">
        <v>429.935</v>
      </c>
      <c r="J136">
        <f t="shared" si="5"/>
        <v>43.507687423719069</v>
      </c>
      <c r="K136">
        <v>106.437</v>
      </c>
      <c r="L136">
        <v>71.137</v>
      </c>
      <c r="M136">
        <v>151.583</v>
      </c>
      <c r="N136" s="82">
        <v>94.881</v>
      </c>
      <c r="O136" s="81">
        <v>0.40400000000000003</v>
      </c>
      <c r="P136">
        <f>1/1.496</f>
        <v>0.66844919786096257</v>
      </c>
      <c r="Q136">
        <f t="shared" si="7"/>
        <v>1.496</v>
      </c>
      <c r="R136">
        <v>0.66800000000000004</v>
      </c>
      <c r="S136" s="82">
        <v>0.66800000000000004</v>
      </c>
      <c r="T136" s="83">
        <v>600</v>
      </c>
      <c r="U136" s="81" t="s">
        <v>43</v>
      </c>
      <c r="V136" s="82">
        <v>169169</v>
      </c>
    </row>
    <row r="137" spans="1:22" x14ac:dyDescent="0.25">
      <c r="A137" s="98" t="s">
        <v>513</v>
      </c>
      <c r="B137" s="81">
        <v>280</v>
      </c>
      <c r="C137">
        <v>1300</v>
      </c>
      <c r="D137">
        <v>120</v>
      </c>
      <c r="E137" s="82">
        <v>40</v>
      </c>
      <c r="F137" s="3">
        <f t="shared" si="6"/>
        <v>44.871794871794869</v>
      </c>
      <c r="G137" s="81">
        <v>285.12399625536023</v>
      </c>
      <c r="H137">
        <v>1705.2470000000001</v>
      </c>
      <c r="I137">
        <v>224.67099999999999</v>
      </c>
      <c r="J137">
        <f t="shared" si="5"/>
        <v>23.298003744639807</v>
      </c>
      <c r="K137">
        <v>79.491</v>
      </c>
      <c r="L137">
        <v>27.314</v>
      </c>
      <c r="M137">
        <v>93.372</v>
      </c>
      <c r="N137" s="82">
        <v>32.131999999999998</v>
      </c>
      <c r="O137" s="81">
        <v>0.42499999999999999</v>
      </c>
      <c r="P137">
        <f>1/2.91</f>
        <v>0.3436426116838488</v>
      </c>
      <c r="Q137">
        <f t="shared" si="7"/>
        <v>2.91</v>
      </c>
      <c r="R137">
        <v>0.34399999999999997</v>
      </c>
      <c r="S137" s="82">
        <v>0.77100000000000002</v>
      </c>
      <c r="T137" s="83">
        <v>700</v>
      </c>
      <c r="U137" s="81" t="s">
        <v>43</v>
      </c>
      <c r="V137" s="82">
        <v>171785</v>
      </c>
    </row>
    <row r="138" spans="1:22" x14ac:dyDescent="0.25">
      <c r="A138" s="98" t="s">
        <v>514</v>
      </c>
      <c r="B138" s="81">
        <v>280</v>
      </c>
      <c r="C138">
        <v>1300</v>
      </c>
      <c r="D138">
        <v>120</v>
      </c>
      <c r="E138" s="82">
        <v>40</v>
      </c>
      <c r="F138" s="3">
        <f t="shared" si="6"/>
        <v>44.871794871794869</v>
      </c>
      <c r="G138" s="81">
        <v>95.588866141793631</v>
      </c>
      <c r="H138">
        <v>1018.683</v>
      </c>
      <c r="I138">
        <v>171.60300000000001</v>
      </c>
      <c r="J138">
        <f t="shared" si="5"/>
        <v>18.007133858206377</v>
      </c>
      <c r="K138">
        <v>74.225999999999999</v>
      </c>
      <c r="L138">
        <v>17.474</v>
      </c>
      <c r="M138">
        <v>75.418000000000006</v>
      </c>
      <c r="N138" s="82">
        <v>20.254000000000001</v>
      </c>
      <c r="O138" s="81">
        <v>0.435</v>
      </c>
      <c r="P138">
        <f>1/4.248</f>
        <v>0.23540489642184556</v>
      </c>
      <c r="Q138">
        <f t="shared" si="7"/>
        <v>4.2480000000000002</v>
      </c>
      <c r="R138">
        <v>0.23499999999999999</v>
      </c>
      <c r="S138" s="82">
        <v>0.80800000000000005</v>
      </c>
      <c r="T138" s="83">
        <v>700</v>
      </c>
      <c r="U138" s="81" t="s">
        <v>43</v>
      </c>
      <c r="V138" s="82">
        <v>169848</v>
      </c>
    </row>
    <row r="139" spans="1:22" x14ac:dyDescent="0.25">
      <c r="A139" s="98" t="s">
        <v>516</v>
      </c>
      <c r="B139" s="81">
        <v>280</v>
      </c>
      <c r="C139">
        <v>1300</v>
      </c>
      <c r="D139">
        <v>120</v>
      </c>
      <c r="E139" s="82">
        <v>40</v>
      </c>
      <c r="F139" s="3">
        <f t="shared" si="6"/>
        <v>44.871794871794869</v>
      </c>
      <c r="G139" s="81">
        <v>15.305999999999999</v>
      </c>
      <c r="H139">
        <v>8838.3240000000005</v>
      </c>
      <c r="I139">
        <v>500.30799999999999</v>
      </c>
      <c r="J139">
        <f t="shared" si="5"/>
        <v>53.040794738535602</v>
      </c>
      <c r="K139">
        <v>140.19300000000001</v>
      </c>
      <c r="L139">
        <v>80.27</v>
      </c>
      <c r="M139">
        <v>168.65</v>
      </c>
      <c r="N139" s="82">
        <v>86.981999999999999</v>
      </c>
      <c r="O139" s="81">
        <v>0.44400000000000001</v>
      </c>
      <c r="P139">
        <f>1/1.747</f>
        <v>0.5724098454493417</v>
      </c>
      <c r="Q139">
        <f t="shared" si="7"/>
        <v>1.7470000000000001</v>
      </c>
      <c r="R139">
        <v>0.57299999999999995</v>
      </c>
      <c r="S139" s="82">
        <v>0.76900000000000002</v>
      </c>
      <c r="T139" s="83">
        <v>600</v>
      </c>
      <c r="U139" s="81" t="s">
        <v>43</v>
      </c>
      <c r="V139" s="82">
        <v>850319</v>
      </c>
    </row>
    <row r="140" spans="1:22" x14ac:dyDescent="0.25">
      <c r="A140" s="98" t="s">
        <v>518</v>
      </c>
      <c r="B140" s="81">
        <v>280</v>
      </c>
      <c r="C140">
        <v>1300</v>
      </c>
      <c r="D140">
        <v>120</v>
      </c>
      <c r="E140" s="82">
        <v>40</v>
      </c>
      <c r="F140" s="3">
        <f t="shared" si="6"/>
        <v>44.871794871794869</v>
      </c>
      <c r="G140" s="81">
        <v>123.001</v>
      </c>
      <c r="H140">
        <v>1264.5999999999999</v>
      </c>
      <c r="I140">
        <v>132.22800000000001</v>
      </c>
      <c r="J140">
        <f t="shared" si="5"/>
        <v>20.063266983919185</v>
      </c>
      <c r="K140">
        <v>44.680999999999997</v>
      </c>
      <c r="L140">
        <v>36.036000000000001</v>
      </c>
      <c r="M140">
        <v>44.284999999999997</v>
      </c>
      <c r="N140" s="82">
        <v>35.423999999999999</v>
      </c>
      <c r="O140" s="81">
        <v>0.90900000000000003</v>
      </c>
      <c r="P140">
        <f>1/1.24</f>
        <v>0.80645161290322587</v>
      </c>
      <c r="Q140">
        <f t="shared" si="7"/>
        <v>1.24</v>
      </c>
      <c r="R140">
        <v>0.80700000000000005</v>
      </c>
      <c r="S140" s="82">
        <v>0.98199999999999998</v>
      </c>
      <c r="T140" s="83">
        <v>700</v>
      </c>
      <c r="U140" s="81" t="s">
        <v>64</v>
      </c>
      <c r="V140" s="82">
        <v>41820</v>
      </c>
    </row>
    <row r="141" spans="1:22" x14ac:dyDescent="0.25">
      <c r="A141" s="98" t="s">
        <v>519</v>
      </c>
      <c r="B141" s="81">
        <v>280</v>
      </c>
      <c r="C141">
        <v>1300</v>
      </c>
      <c r="D141">
        <v>120</v>
      </c>
      <c r="E141" s="82">
        <v>40</v>
      </c>
      <c r="F141" s="3">
        <f t="shared" si="6"/>
        <v>44.871794871794869</v>
      </c>
      <c r="G141" s="81">
        <v>279.09899999999999</v>
      </c>
      <c r="H141">
        <v>1700.787</v>
      </c>
      <c r="I141">
        <v>261.80399999999997</v>
      </c>
      <c r="J141">
        <f t="shared" si="5"/>
        <v>23.267516334857721</v>
      </c>
      <c r="K141">
        <v>55.765999999999998</v>
      </c>
      <c r="L141">
        <v>38.832000000000001</v>
      </c>
      <c r="M141">
        <v>77.816000000000003</v>
      </c>
      <c r="N141" s="82">
        <v>56.381</v>
      </c>
      <c r="O141" s="81">
        <v>0.312</v>
      </c>
      <c r="P141">
        <f>1/1.436</f>
        <v>0.69637883008356549</v>
      </c>
      <c r="Q141">
        <f t="shared" si="7"/>
        <v>1.4359999999999999</v>
      </c>
      <c r="R141">
        <v>0.69599999999999995</v>
      </c>
      <c r="S141" s="82">
        <v>0.60499999999999998</v>
      </c>
      <c r="T141" s="83">
        <v>500</v>
      </c>
      <c r="U141" s="81" t="s">
        <v>43</v>
      </c>
      <c r="V141" s="82">
        <v>4032138</v>
      </c>
    </row>
    <row r="142" spans="1:22" x14ac:dyDescent="0.25">
      <c r="A142" s="98" t="s">
        <v>520</v>
      </c>
      <c r="B142" s="81">
        <v>280</v>
      </c>
      <c r="C142">
        <v>1300</v>
      </c>
      <c r="D142">
        <v>120</v>
      </c>
      <c r="E142" s="82">
        <v>40</v>
      </c>
      <c r="F142" s="3">
        <f t="shared" si="6"/>
        <v>44.871794871794869</v>
      </c>
      <c r="G142" s="81">
        <v>398.32</v>
      </c>
      <c r="H142">
        <v>1079.556</v>
      </c>
      <c r="I142">
        <v>174.86699999999999</v>
      </c>
      <c r="J142">
        <f t="shared" si="5"/>
        <v>18.53735006652861</v>
      </c>
      <c r="K142">
        <v>70.899000000000001</v>
      </c>
      <c r="L142">
        <v>19.387</v>
      </c>
      <c r="M142">
        <v>72.692999999999998</v>
      </c>
      <c r="N142" s="82">
        <v>24.036999999999999</v>
      </c>
      <c r="O142" s="81">
        <v>0.44400000000000001</v>
      </c>
      <c r="P142">
        <f>1/3.657</f>
        <v>0.27344818156959255</v>
      </c>
      <c r="Q142">
        <f t="shared" si="7"/>
        <v>3.657</v>
      </c>
      <c r="R142">
        <v>0.27300000000000002</v>
      </c>
      <c r="S142" s="82">
        <v>0.73</v>
      </c>
      <c r="T142" s="83">
        <v>600</v>
      </c>
      <c r="U142" s="81" t="s">
        <v>43</v>
      </c>
      <c r="V142" s="82">
        <v>1439677</v>
      </c>
    </row>
    <row r="143" spans="1:22" x14ac:dyDescent="0.25">
      <c r="A143" s="98" t="s">
        <v>521</v>
      </c>
      <c r="B143" s="81">
        <v>280</v>
      </c>
      <c r="C143">
        <v>1300</v>
      </c>
      <c r="D143">
        <v>120</v>
      </c>
      <c r="E143" s="82">
        <v>40</v>
      </c>
      <c r="F143" s="3">
        <f t="shared" si="6"/>
        <v>44.871794871794869</v>
      </c>
      <c r="G143" s="81">
        <v>568.57899999999995</v>
      </c>
      <c r="H143">
        <v>512.19200000000001</v>
      </c>
      <c r="I143">
        <v>80.224999999999994</v>
      </c>
      <c r="J143">
        <f t="shared" si="5"/>
        <v>12.768546402165288</v>
      </c>
      <c r="K143">
        <v>25.777000000000001</v>
      </c>
      <c r="L143">
        <v>25.3</v>
      </c>
      <c r="M143">
        <v>25.774000000000001</v>
      </c>
      <c r="N143" s="82">
        <v>25.297999999999998</v>
      </c>
      <c r="O143" s="81">
        <v>1</v>
      </c>
      <c r="P143">
        <f>1/1.019</f>
        <v>0.9813542688910698</v>
      </c>
      <c r="Q143">
        <f t="shared" si="7"/>
        <v>1.0189999999999999</v>
      </c>
      <c r="R143">
        <v>0.98199999999999998</v>
      </c>
      <c r="S143" s="82">
        <v>0.999</v>
      </c>
      <c r="T143" s="83">
        <v>700</v>
      </c>
      <c r="U143" s="81" t="s">
        <v>522</v>
      </c>
      <c r="V143" s="82">
        <v>160788</v>
      </c>
    </row>
    <row r="144" spans="1:22" x14ac:dyDescent="0.25">
      <c r="A144" s="98" t="s">
        <v>524</v>
      </c>
      <c r="B144" s="81">
        <v>280</v>
      </c>
      <c r="C144">
        <v>1300</v>
      </c>
      <c r="D144">
        <v>120</v>
      </c>
      <c r="E144" s="82">
        <v>40</v>
      </c>
      <c r="F144" s="3">
        <f t="shared" si="6"/>
        <v>44.871794871794869</v>
      </c>
      <c r="G144" s="81">
        <v>909.96199999999999</v>
      </c>
      <c r="H144">
        <v>404.512</v>
      </c>
      <c r="I144">
        <v>74.941999999999993</v>
      </c>
      <c r="J144">
        <f t="shared" si="5"/>
        <v>11.347253794640249</v>
      </c>
      <c r="K144">
        <v>24.283999999999999</v>
      </c>
      <c r="L144">
        <v>21.209</v>
      </c>
      <c r="M144">
        <v>25.645</v>
      </c>
      <c r="N144" s="82">
        <v>21.538</v>
      </c>
      <c r="O144" s="81">
        <v>0.90500000000000003</v>
      </c>
      <c r="P144">
        <f>1/1.145</f>
        <v>0.8733624454148472</v>
      </c>
      <c r="Q144">
        <f t="shared" si="7"/>
        <v>1.145</v>
      </c>
      <c r="R144">
        <v>0.873</v>
      </c>
      <c r="S144" s="82">
        <v>0.96799999999999997</v>
      </c>
      <c r="T144" s="83">
        <v>600</v>
      </c>
      <c r="U144" s="81" t="s">
        <v>522</v>
      </c>
      <c r="V144" s="82">
        <v>472076</v>
      </c>
    </row>
    <row r="145" spans="1:22" x14ac:dyDescent="0.25">
      <c r="A145" s="98" t="s">
        <v>525</v>
      </c>
      <c r="B145" s="81">
        <v>280</v>
      </c>
      <c r="C145">
        <v>1300</v>
      </c>
      <c r="D145">
        <v>120</v>
      </c>
      <c r="E145" s="82">
        <v>40</v>
      </c>
      <c r="F145" s="3">
        <f t="shared" si="6"/>
        <v>44.871794871794869</v>
      </c>
      <c r="G145" s="81">
        <v>1293.2270000000001</v>
      </c>
      <c r="H145">
        <v>526.23</v>
      </c>
      <c r="I145">
        <v>83.177999999999997</v>
      </c>
      <c r="J145">
        <f t="shared" si="5"/>
        <v>12.942341805349455</v>
      </c>
      <c r="K145">
        <v>29.51</v>
      </c>
      <c r="L145">
        <v>22.704999999999998</v>
      </c>
      <c r="M145">
        <v>30.161000000000001</v>
      </c>
      <c r="N145" s="82">
        <v>22.977</v>
      </c>
      <c r="O145" s="81">
        <v>0.95599999999999996</v>
      </c>
      <c r="P145">
        <f>1/1.3</f>
        <v>0.76923076923076916</v>
      </c>
      <c r="Q145">
        <f t="shared" si="7"/>
        <v>1.3</v>
      </c>
      <c r="R145">
        <v>0.76900000000000002</v>
      </c>
      <c r="S145" s="82">
        <v>0.999</v>
      </c>
      <c r="T145" s="83">
        <v>700</v>
      </c>
      <c r="U145" s="81" t="s">
        <v>522</v>
      </c>
      <c r="V145" s="82">
        <v>130336</v>
      </c>
    </row>
    <row r="146" spans="1:22" x14ac:dyDescent="0.25">
      <c r="A146" s="98" t="s">
        <v>526</v>
      </c>
      <c r="B146" s="81">
        <v>280</v>
      </c>
      <c r="C146">
        <v>1300</v>
      </c>
      <c r="D146">
        <v>120</v>
      </c>
      <c r="E146" s="82">
        <v>40</v>
      </c>
      <c r="F146" s="3">
        <f t="shared" si="6"/>
        <v>44.871794871794869</v>
      </c>
      <c r="G146" s="81">
        <v>30.007999999999999</v>
      </c>
      <c r="H146">
        <v>1012.18</v>
      </c>
      <c r="I146">
        <v>146.9</v>
      </c>
      <c r="J146">
        <f t="shared" si="5"/>
        <v>17.949565470994255</v>
      </c>
      <c r="K146">
        <v>37.890999999999998</v>
      </c>
      <c r="L146">
        <v>34.012</v>
      </c>
      <c r="M146">
        <v>50.777999999999999</v>
      </c>
      <c r="N146" s="82">
        <v>39.360999999999997</v>
      </c>
      <c r="O146" s="81">
        <v>0.58899999999999997</v>
      </c>
      <c r="P146">
        <f>1/1.114</f>
        <v>0.89766606822262107</v>
      </c>
      <c r="Q146">
        <f t="shared" si="7"/>
        <v>1.1140000000000001</v>
      </c>
      <c r="R146">
        <v>0.89800000000000002</v>
      </c>
      <c r="S146" s="82">
        <v>0.86299999999999999</v>
      </c>
      <c r="T146" s="83">
        <v>600</v>
      </c>
      <c r="U146" s="81" t="s">
        <v>43</v>
      </c>
      <c r="V146" s="82">
        <v>952097</v>
      </c>
    </row>
    <row r="147" spans="1:22" x14ac:dyDescent="0.25">
      <c r="A147" s="98" t="s">
        <v>527</v>
      </c>
      <c r="B147" s="81">
        <v>280</v>
      </c>
      <c r="C147">
        <v>1300</v>
      </c>
      <c r="D147">
        <v>120</v>
      </c>
      <c r="E147" s="82">
        <v>40</v>
      </c>
      <c r="F147" s="3">
        <f t="shared" si="6"/>
        <v>44.871794871794869</v>
      </c>
      <c r="G147" s="81">
        <v>347.25700000000001</v>
      </c>
      <c r="H147">
        <v>2704.8020000000001</v>
      </c>
      <c r="I147">
        <v>256.98099999999999</v>
      </c>
      <c r="J147">
        <f t="shared" si="5"/>
        <v>29.342208791597294</v>
      </c>
      <c r="K147">
        <v>85.882999999999996</v>
      </c>
      <c r="L147">
        <v>40.098999999999997</v>
      </c>
      <c r="M147">
        <v>87.96</v>
      </c>
      <c r="N147" s="82">
        <v>48.314</v>
      </c>
      <c r="O147" s="81">
        <v>0.51500000000000001</v>
      </c>
      <c r="P147">
        <f>1/2.142</f>
        <v>0.46685340802987862</v>
      </c>
      <c r="Q147">
        <f t="shared" si="7"/>
        <v>2.1419999999999999</v>
      </c>
      <c r="R147">
        <v>0.46700000000000003</v>
      </c>
      <c r="S147" s="82">
        <v>0.83099999999999996</v>
      </c>
      <c r="T147" s="83">
        <v>500</v>
      </c>
      <c r="U147" s="81" t="s">
        <v>43</v>
      </c>
      <c r="V147" s="82">
        <v>2058041</v>
      </c>
    </row>
    <row r="148" spans="1:22" x14ac:dyDescent="0.25">
      <c r="A148" s="98" t="s">
        <v>528</v>
      </c>
      <c r="B148" s="81">
        <v>280</v>
      </c>
      <c r="C148">
        <v>1300</v>
      </c>
      <c r="D148">
        <v>120</v>
      </c>
      <c r="E148" s="82">
        <v>40</v>
      </c>
      <c r="F148" s="3">
        <f t="shared" si="6"/>
        <v>44.871794871794869</v>
      </c>
      <c r="G148" s="81">
        <v>19.600000000000001</v>
      </c>
      <c r="H148">
        <v>5858.21</v>
      </c>
      <c r="I148">
        <v>532.90700000000004</v>
      </c>
      <c r="J148">
        <f t="shared" si="5"/>
        <v>43.182475129857302</v>
      </c>
      <c r="K148">
        <v>156.30500000000001</v>
      </c>
      <c r="L148">
        <v>47.72</v>
      </c>
      <c r="M148">
        <v>189.017</v>
      </c>
      <c r="N148" s="82">
        <v>60.860999999999997</v>
      </c>
      <c r="O148" s="81">
        <v>0.25900000000000001</v>
      </c>
      <c r="P148">
        <f>1/3.275</f>
        <v>0.30534351145038169</v>
      </c>
      <c r="Q148">
        <f t="shared" si="7"/>
        <v>3.2749999999999999</v>
      </c>
      <c r="R148">
        <v>0.30499999999999999</v>
      </c>
      <c r="S148" s="82">
        <v>0.69599999999999995</v>
      </c>
      <c r="T148" s="83">
        <v>700</v>
      </c>
      <c r="U148" s="81" t="s">
        <v>43</v>
      </c>
      <c r="V148" s="82">
        <v>31989</v>
      </c>
    </row>
    <row r="149" spans="1:22" x14ac:dyDescent="0.25">
      <c r="A149" s="98" t="s">
        <v>530</v>
      </c>
      <c r="B149" s="81">
        <v>280</v>
      </c>
      <c r="C149">
        <v>1300</v>
      </c>
      <c r="D149">
        <v>120</v>
      </c>
      <c r="E149" s="82">
        <v>40</v>
      </c>
      <c r="F149" s="3">
        <f t="shared" si="6"/>
        <v>44.871794871794869</v>
      </c>
      <c r="G149" s="81">
        <v>319.53399999999999</v>
      </c>
      <c r="H149">
        <v>19317.82</v>
      </c>
      <c r="I149">
        <v>981.721</v>
      </c>
      <c r="J149">
        <f t="shared" si="5"/>
        <v>78.415898168158193</v>
      </c>
      <c r="K149">
        <v>181.11600000000001</v>
      </c>
      <c r="L149">
        <v>135.803</v>
      </c>
      <c r="M149">
        <v>245.88399999999999</v>
      </c>
      <c r="N149" s="82">
        <v>169.066</v>
      </c>
      <c r="O149" s="81">
        <v>0.252</v>
      </c>
      <c r="P149">
        <f>1/1.334</f>
        <v>0.7496251874062968</v>
      </c>
      <c r="Q149">
        <f>1/P149</f>
        <v>1.3340000000000001</v>
      </c>
      <c r="R149">
        <v>0.75</v>
      </c>
      <c r="S149" s="82">
        <v>0.63500000000000001</v>
      </c>
      <c r="T149" s="83">
        <v>500</v>
      </c>
      <c r="U149" s="81" t="s">
        <v>43</v>
      </c>
      <c r="V149" s="82">
        <v>121492</v>
      </c>
    </row>
    <row r="150" spans="1:22" x14ac:dyDescent="0.25">
      <c r="A150" s="98" t="s">
        <v>531</v>
      </c>
      <c r="B150" s="81">
        <v>280</v>
      </c>
      <c r="C150">
        <v>1300</v>
      </c>
      <c r="D150">
        <v>120</v>
      </c>
      <c r="E150" s="82">
        <v>40</v>
      </c>
      <c r="F150" s="3">
        <f t="shared" si="6"/>
        <v>44.871794871794869</v>
      </c>
      <c r="G150" s="81">
        <v>167.61199999999999</v>
      </c>
      <c r="H150">
        <v>13694.822</v>
      </c>
      <c r="I150">
        <v>718.36</v>
      </c>
      <c r="J150">
        <f t="shared" si="5"/>
        <v>66.024217012602833</v>
      </c>
      <c r="K150">
        <v>162.59100000000001</v>
      </c>
      <c r="L150">
        <v>107.244</v>
      </c>
      <c r="M150">
        <v>188.22200000000001</v>
      </c>
      <c r="N150" s="82">
        <v>122.649</v>
      </c>
      <c r="O150" s="81">
        <v>0.33300000000000002</v>
      </c>
      <c r="P150">
        <f>1/1.516</f>
        <v>0.65963060686015829</v>
      </c>
      <c r="Q150">
        <f t="shared" ref="Q150:Q169" si="8">1/P150</f>
        <v>1.516</v>
      </c>
      <c r="R150">
        <v>0.66</v>
      </c>
      <c r="S150" s="82">
        <v>0.74</v>
      </c>
      <c r="T150" s="83">
        <v>600</v>
      </c>
      <c r="U150" s="81" t="s">
        <v>43</v>
      </c>
      <c r="V150" s="82">
        <v>77903</v>
      </c>
    </row>
    <row r="151" spans="1:22" x14ac:dyDescent="0.25">
      <c r="A151" s="98" t="s">
        <v>532</v>
      </c>
      <c r="B151" s="81">
        <v>280</v>
      </c>
      <c r="C151">
        <v>1300</v>
      </c>
      <c r="D151">
        <v>120</v>
      </c>
      <c r="E151" s="82">
        <v>40</v>
      </c>
      <c r="F151" s="3">
        <f t="shared" si="6"/>
        <v>44.871794871794869</v>
      </c>
      <c r="G151" s="81">
        <v>1639.17</v>
      </c>
      <c r="H151">
        <v>3047.4720000000002</v>
      </c>
      <c r="I151">
        <v>330.65100000000001</v>
      </c>
      <c r="J151">
        <f t="shared" si="5"/>
        <v>31.145472631961923</v>
      </c>
      <c r="K151">
        <v>118.514</v>
      </c>
      <c r="L151">
        <v>32.74</v>
      </c>
      <c r="M151">
        <v>130.27799999999999</v>
      </c>
      <c r="N151" s="82">
        <v>39.155000000000001</v>
      </c>
      <c r="O151" s="81">
        <v>0.35</v>
      </c>
      <c r="P151">
        <f>1/3.62</f>
        <v>0.27624309392265195</v>
      </c>
      <c r="Q151">
        <f t="shared" si="8"/>
        <v>3.6199999999999997</v>
      </c>
      <c r="R151">
        <v>0.27600000000000002</v>
      </c>
      <c r="S151" s="82">
        <v>0.75700000000000001</v>
      </c>
      <c r="T151" s="83">
        <v>500</v>
      </c>
      <c r="U151" s="81" t="s">
        <v>43</v>
      </c>
      <c r="V151" s="82">
        <v>1968826</v>
      </c>
    </row>
    <row r="152" spans="1:22" x14ac:dyDescent="0.25">
      <c r="A152" s="98" t="s">
        <v>534</v>
      </c>
      <c r="B152" s="81">
        <v>280</v>
      </c>
      <c r="C152">
        <v>1300</v>
      </c>
      <c r="D152">
        <v>120</v>
      </c>
      <c r="E152" s="82">
        <v>40</v>
      </c>
      <c r="F152" s="3">
        <f t="shared" si="6"/>
        <v>44.871794871794869</v>
      </c>
      <c r="G152" s="81">
        <v>302.01400000000001</v>
      </c>
      <c r="H152">
        <v>22234.323</v>
      </c>
      <c r="I152">
        <v>838.59799999999996</v>
      </c>
      <c r="J152">
        <f t="shared" si="5"/>
        <v>84.127313183672044</v>
      </c>
      <c r="K152">
        <v>191.476</v>
      </c>
      <c r="L152">
        <v>147.85</v>
      </c>
      <c r="M152">
        <v>252.01499999999999</v>
      </c>
      <c r="N152" s="82">
        <v>173.49600000000001</v>
      </c>
      <c r="O152" s="81">
        <v>0.39700000000000002</v>
      </c>
      <c r="P152">
        <f>1/1.295</f>
        <v>0.77220077220077221</v>
      </c>
      <c r="Q152">
        <f t="shared" si="8"/>
        <v>1.2949999999999999</v>
      </c>
      <c r="R152">
        <v>0.77200000000000002</v>
      </c>
      <c r="S152" s="82">
        <v>0.71699999999999997</v>
      </c>
      <c r="T152" s="83">
        <v>700</v>
      </c>
      <c r="U152" s="81" t="s">
        <v>43</v>
      </c>
      <c r="V152" s="82">
        <v>29804</v>
      </c>
    </row>
    <row r="153" spans="1:22" x14ac:dyDescent="0.25">
      <c r="A153" s="98" t="s">
        <v>535</v>
      </c>
      <c r="B153" s="81">
        <v>280</v>
      </c>
      <c r="C153">
        <v>1300</v>
      </c>
      <c r="D153">
        <v>120</v>
      </c>
      <c r="E153" s="82">
        <v>40</v>
      </c>
      <c r="F153" s="3">
        <f t="shared" si="6"/>
        <v>44.871794871794869</v>
      </c>
      <c r="G153" s="81">
        <v>1066.258</v>
      </c>
      <c r="H153">
        <v>12333.941000000001</v>
      </c>
      <c r="I153">
        <v>580.11699999999996</v>
      </c>
      <c r="J153">
        <f t="shared" si="5"/>
        <v>62.657923329037885</v>
      </c>
      <c r="K153">
        <v>156.40700000000001</v>
      </c>
      <c r="L153">
        <v>100.405</v>
      </c>
      <c r="M153">
        <v>199.185</v>
      </c>
      <c r="N153" s="82">
        <v>118.27800000000001</v>
      </c>
      <c r="O153" s="81">
        <v>0.46100000000000002</v>
      </c>
      <c r="P153">
        <f>1/1.558</f>
        <v>0.64184852374839541</v>
      </c>
      <c r="Q153">
        <f t="shared" si="8"/>
        <v>1.5579999999999998</v>
      </c>
      <c r="R153">
        <v>0.64200000000000002</v>
      </c>
      <c r="S153" s="82">
        <v>0.73399999999999999</v>
      </c>
      <c r="T153" s="83">
        <v>600</v>
      </c>
      <c r="U153" s="81" t="s">
        <v>43</v>
      </c>
      <c r="V153" s="82">
        <v>75645</v>
      </c>
    </row>
    <row r="154" spans="1:22" x14ac:dyDescent="0.25">
      <c r="A154" s="98" t="s">
        <v>536</v>
      </c>
      <c r="B154" s="81">
        <v>280</v>
      </c>
      <c r="C154">
        <v>1300</v>
      </c>
      <c r="D154">
        <v>120</v>
      </c>
      <c r="E154" s="82">
        <v>40</v>
      </c>
      <c r="F154" s="3">
        <f t="shared" si="6"/>
        <v>44.871794871794869</v>
      </c>
      <c r="G154" s="81">
        <v>1050.7819999999999</v>
      </c>
      <c r="H154">
        <v>18395.534</v>
      </c>
      <c r="I154">
        <v>775.20100000000002</v>
      </c>
      <c r="J154">
        <f t="shared" si="5"/>
        <v>76.521110380273839</v>
      </c>
      <c r="K154">
        <v>198.673</v>
      </c>
      <c r="L154">
        <v>117.892</v>
      </c>
      <c r="M154">
        <v>250.208</v>
      </c>
      <c r="N154" s="82">
        <v>127.60299999999999</v>
      </c>
      <c r="O154" s="81">
        <v>0.38500000000000001</v>
      </c>
      <c r="P154">
        <f>1/1.685</f>
        <v>0.59347181008902072</v>
      </c>
      <c r="Q154">
        <f t="shared" si="8"/>
        <v>1.6850000000000001</v>
      </c>
      <c r="R154">
        <v>0.59299999999999997</v>
      </c>
      <c r="S154" s="82">
        <v>0.74099999999999999</v>
      </c>
      <c r="T154" s="83">
        <v>500</v>
      </c>
      <c r="U154" s="81" t="s">
        <v>43</v>
      </c>
      <c r="V154" s="82">
        <v>148753</v>
      </c>
    </row>
    <row r="155" spans="1:22" x14ac:dyDescent="0.25">
      <c r="A155" s="98" t="s">
        <v>537</v>
      </c>
      <c r="B155" s="81">
        <v>280</v>
      </c>
      <c r="C155">
        <v>1300</v>
      </c>
      <c r="D155">
        <v>120</v>
      </c>
      <c r="E155" s="82">
        <v>40</v>
      </c>
      <c r="F155" s="3">
        <f t="shared" si="6"/>
        <v>44.871794871794869</v>
      </c>
      <c r="G155" s="81">
        <v>51.85</v>
      </c>
      <c r="H155">
        <v>7180.9</v>
      </c>
      <c r="I155">
        <v>629.59900000000005</v>
      </c>
      <c r="J155">
        <f t="shared" si="5"/>
        <v>47.809533167530326</v>
      </c>
      <c r="K155">
        <v>133.77000000000001</v>
      </c>
      <c r="L155">
        <v>68.347999999999999</v>
      </c>
      <c r="M155">
        <v>185.15100000000001</v>
      </c>
      <c r="N155" s="82">
        <v>116.277</v>
      </c>
      <c r="O155" s="81">
        <v>0.22800000000000001</v>
      </c>
      <c r="P155">
        <f>1/1.957</f>
        <v>0.51098620337250888</v>
      </c>
      <c r="Q155">
        <f t="shared" si="8"/>
        <v>1.9570000000000003</v>
      </c>
      <c r="R155">
        <v>0.51100000000000001</v>
      </c>
      <c r="S155" s="82">
        <v>0.51600000000000001</v>
      </c>
      <c r="T155" s="83">
        <v>600</v>
      </c>
      <c r="U155" s="81" t="s">
        <v>43</v>
      </c>
      <c r="V155" s="82">
        <v>132724</v>
      </c>
    </row>
    <row r="156" spans="1:22" x14ac:dyDescent="0.25">
      <c r="A156" s="98" t="s">
        <v>538</v>
      </c>
      <c r="B156" s="81">
        <v>280</v>
      </c>
      <c r="C156">
        <v>1300</v>
      </c>
      <c r="D156">
        <v>120</v>
      </c>
      <c r="E156" s="82">
        <v>40</v>
      </c>
      <c r="F156" s="3">
        <f t="shared" si="6"/>
        <v>44.871794871794869</v>
      </c>
      <c r="G156" s="81">
        <v>416.86</v>
      </c>
      <c r="H156">
        <v>4086.67</v>
      </c>
      <c r="I156">
        <v>341.98399999999998</v>
      </c>
      <c r="J156">
        <f t="shared" si="5"/>
        <v>36.066985770517505</v>
      </c>
      <c r="K156">
        <v>89.695999999999998</v>
      </c>
      <c r="L156">
        <v>58.011000000000003</v>
      </c>
      <c r="M156">
        <v>100.947</v>
      </c>
      <c r="N156" s="82">
        <v>73.19</v>
      </c>
      <c r="O156" s="81">
        <v>0.439</v>
      </c>
      <c r="P156">
        <f>1/1.546</f>
        <v>0.64683053040103489</v>
      </c>
      <c r="Q156">
        <f t="shared" si="8"/>
        <v>1.546</v>
      </c>
      <c r="R156">
        <v>0.64700000000000002</v>
      </c>
      <c r="S156" s="82">
        <v>0.78600000000000003</v>
      </c>
      <c r="T156" s="83">
        <v>700</v>
      </c>
      <c r="U156" s="81" t="s">
        <v>43</v>
      </c>
      <c r="V156" s="82">
        <v>63477</v>
      </c>
    </row>
    <row r="157" spans="1:22" x14ac:dyDescent="0.25">
      <c r="A157" s="98" t="s">
        <v>539</v>
      </c>
      <c r="B157" s="81">
        <v>280</v>
      </c>
      <c r="C157">
        <v>1300</v>
      </c>
      <c r="D157">
        <v>120</v>
      </c>
      <c r="E157" s="82">
        <v>40</v>
      </c>
      <c r="F157" s="3">
        <f t="shared" si="6"/>
        <v>44.871794871794869</v>
      </c>
      <c r="G157" s="81">
        <v>8.5</v>
      </c>
      <c r="H157">
        <v>5542.2719999999999</v>
      </c>
      <c r="I157">
        <v>549.16800000000001</v>
      </c>
      <c r="J157">
        <f t="shared" si="5"/>
        <v>42.001904355869506</v>
      </c>
      <c r="K157">
        <v>109.001</v>
      </c>
      <c r="L157">
        <v>64.739000000000004</v>
      </c>
      <c r="M157">
        <v>152.91399999999999</v>
      </c>
      <c r="N157" s="82">
        <v>95.457999999999998</v>
      </c>
      <c r="O157" s="81">
        <v>0.23100000000000001</v>
      </c>
      <c r="P157">
        <f>1/1.684</f>
        <v>0.59382422802850354</v>
      </c>
      <c r="Q157">
        <f t="shared" si="8"/>
        <v>1.6840000000000002</v>
      </c>
      <c r="R157">
        <v>0.59399999999999997</v>
      </c>
      <c r="S157" s="82">
        <v>0.61399999999999999</v>
      </c>
      <c r="T157" s="83">
        <v>600</v>
      </c>
      <c r="U157" s="81" t="s">
        <v>43</v>
      </c>
      <c r="V157" s="82">
        <v>40182</v>
      </c>
    </row>
    <row r="158" spans="1:22" x14ac:dyDescent="0.25">
      <c r="A158" s="98" t="s">
        <v>540</v>
      </c>
      <c r="B158" s="81">
        <v>280</v>
      </c>
      <c r="C158">
        <v>1300</v>
      </c>
      <c r="D158">
        <v>120</v>
      </c>
      <c r="E158" s="82">
        <v>40</v>
      </c>
      <c r="F158" s="3">
        <f t="shared" si="6"/>
        <v>44.871794871794869</v>
      </c>
      <c r="G158" s="81">
        <v>64.978999999999999</v>
      </c>
      <c r="H158">
        <v>7173.4219999999996</v>
      </c>
      <c r="I158">
        <v>398.50900000000001</v>
      </c>
      <c r="J158">
        <f t="shared" si="5"/>
        <v>47.784632889332741</v>
      </c>
      <c r="K158">
        <v>139.09800000000001</v>
      </c>
      <c r="L158">
        <v>65.662000000000006</v>
      </c>
      <c r="M158">
        <v>169.22300000000001</v>
      </c>
      <c r="N158" s="82">
        <v>71.953000000000003</v>
      </c>
      <c r="O158" s="81">
        <v>0.56799999999999995</v>
      </c>
      <c r="P158">
        <f>1/2.118</f>
        <v>0.47214353163361666</v>
      </c>
      <c r="Q158">
        <f t="shared" si="8"/>
        <v>2.1179999999999999</v>
      </c>
      <c r="R158">
        <v>0.47199999999999998</v>
      </c>
      <c r="S158" s="82">
        <v>0.89700000000000002</v>
      </c>
      <c r="T158" s="83">
        <v>500</v>
      </c>
      <c r="U158" s="81" t="s">
        <v>43</v>
      </c>
      <c r="V158" s="82">
        <v>673318</v>
      </c>
    </row>
    <row r="159" spans="1:22" x14ac:dyDescent="0.25">
      <c r="A159" s="98" t="s">
        <v>541</v>
      </c>
      <c r="B159" s="81">
        <v>280</v>
      </c>
      <c r="C159">
        <v>1300</v>
      </c>
      <c r="D159">
        <v>120</v>
      </c>
      <c r="E159" s="82">
        <v>40</v>
      </c>
      <c r="F159" s="3">
        <f t="shared" si="6"/>
        <v>44.871794871794869</v>
      </c>
      <c r="G159" s="81">
        <v>448.279</v>
      </c>
      <c r="H159">
        <v>2027.692</v>
      </c>
      <c r="I159">
        <v>283.32100000000003</v>
      </c>
      <c r="J159">
        <f t="shared" si="5"/>
        <v>25.405401192183188</v>
      </c>
      <c r="K159">
        <v>63.901000000000003</v>
      </c>
      <c r="L159">
        <v>40.402000000000001</v>
      </c>
      <c r="M159">
        <v>103.64</v>
      </c>
      <c r="N159" s="82">
        <v>61.218000000000004</v>
      </c>
      <c r="O159" s="81">
        <v>0.317</v>
      </c>
      <c r="P159">
        <f>1/1.582</f>
        <v>0.63211125158027814</v>
      </c>
      <c r="Q159">
        <f t="shared" si="8"/>
        <v>1.5820000000000001</v>
      </c>
      <c r="R159">
        <v>0.63200000000000001</v>
      </c>
      <c r="S159" s="82">
        <v>0.63300000000000001</v>
      </c>
      <c r="T159" s="83">
        <v>700</v>
      </c>
      <c r="U159" s="81" t="s">
        <v>43</v>
      </c>
      <c r="V159" s="82">
        <v>106802</v>
      </c>
    </row>
    <row r="160" spans="1:22" x14ac:dyDescent="0.25">
      <c r="A160" s="98" t="s">
        <v>542</v>
      </c>
      <c r="B160" s="81">
        <v>280</v>
      </c>
      <c r="C160">
        <v>1300</v>
      </c>
      <c r="D160">
        <v>120</v>
      </c>
      <c r="E160" s="82">
        <v>40</v>
      </c>
      <c r="F160" s="3">
        <f t="shared" si="6"/>
        <v>44.871794871794869</v>
      </c>
      <c r="G160" s="81">
        <v>773.26700000000005</v>
      </c>
      <c r="H160">
        <v>3999.0129999999999</v>
      </c>
      <c r="I160">
        <v>386.024</v>
      </c>
      <c r="J160">
        <f t="shared" si="5"/>
        <v>35.678079725196802</v>
      </c>
      <c r="K160">
        <v>105.42100000000001</v>
      </c>
      <c r="L160">
        <v>48.298999999999999</v>
      </c>
      <c r="M160">
        <v>118.491</v>
      </c>
      <c r="N160" s="82">
        <v>57.02</v>
      </c>
      <c r="O160" s="81">
        <v>0.33700000000000002</v>
      </c>
      <c r="P160">
        <f>1/2.183</f>
        <v>0.45808520384791573</v>
      </c>
      <c r="Q160">
        <f t="shared" si="8"/>
        <v>2.1829999999999998</v>
      </c>
      <c r="R160">
        <v>0.45800000000000002</v>
      </c>
      <c r="S160" s="82">
        <v>0.68300000000000005</v>
      </c>
      <c r="T160" s="83">
        <v>500</v>
      </c>
      <c r="U160" s="81" t="s">
        <v>43</v>
      </c>
      <c r="V160" s="82">
        <v>1883639</v>
      </c>
    </row>
    <row r="161" spans="1:22" x14ac:dyDescent="0.25">
      <c r="A161" s="98" t="s">
        <v>543</v>
      </c>
      <c r="B161" s="81">
        <v>280</v>
      </c>
      <c r="C161">
        <v>1300</v>
      </c>
      <c r="D161">
        <v>120</v>
      </c>
      <c r="E161" s="82">
        <v>40</v>
      </c>
      <c r="F161" s="3">
        <f t="shared" si="6"/>
        <v>44.871794871794869</v>
      </c>
      <c r="G161" s="81">
        <v>847.822</v>
      </c>
      <c r="H161">
        <v>1237.5889999999999</v>
      </c>
      <c r="I161">
        <v>145.01300000000001</v>
      </c>
      <c r="J161">
        <f t="shared" si="5"/>
        <v>19.847841538371654</v>
      </c>
      <c r="K161">
        <v>46.616</v>
      </c>
      <c r="L161">
        <v>33.802999999999997</v>
      </c>
      <c r="M161">
        <v>50.945</v>
      </c>
      <c r="N161" s="82">
        <v>35.826000000000001</v>
      </c>
      <c r="O161" s="81">
        <v>0.74</v>
      </c>
      <c r="P161">
        <f>1/1.379</f>
        <v>0.72516316171138506</v>
      </c>
      <c r="Q161">
        <f t="shared" si="8"/>
        <v>1.379</v>
      </c>
      <c r="R161">
        <v>0.72499999999999998</v>
      </c>
      <c r="S161" s="82">
        <v>0.94199999999999995</v>
      </c>
      <c r="T161" s="83">
        <v>600</v>
      </c>
      <c r="U161" s="81" t="s">
        <v>64</v>
      </c>
      <c r="V161" s="82">
        <v>53451</v>
      </c>
    </row>
    <row r="162" spans="1:22" x14ac:dyDescent="0.25">
      <c r="A162" s="98" t="s">
        <v>544</v>
      </c>
      <c r="B162" s="81">
        <v>280</v>
      </c>
      <c r="C162">
        <v>1300</v>
      </c>
      <c r="D162">
        <v>120</v>
      </c>
      <c r="E162" s="82">
        <v>40</v>
      </c>
      <c r="F162" s="3">
        <f t="shared" si="6"/>
        <v>44.871794871794869</v>
      </c>
      <c r="G162" s="81">
        <v>498.06299999999999</v>
      </c>
      <c r="H162">
        <v>1382.479</v>
      </c>
      <c r="I162">
        <v>180.82599999999999</v>
      </c>
      <c r="J162">
        <f t="shared" si="5"/>
        <v>20.977529243013361</v>
      </c>
      <c r="K162">
        <v>74.007000000000005</v>
      </c>
      <c r="L162">
        <v>23.785</v>
      </c>
      <c r="M162">
        <v>83.974000000000004</v>
      </c>
      <c r="N162" s="82">
        <v>26.117999999999999</v>
      </c>
      <c r="O162" s="81">
        <v>0.53100000000000003</v>
      </c>
      <c r="P162">
        <f>1/3.112</f>
        <v>0.32133676092544988</v>
      </c>
      <c r="Q162">
        <f t="shared" si="8"/>
        <v>3.1120000000000001</v>
      </c>
      <c r="R162">
        <v>0.32100000000000001</v>
      </c>
      <c r="S162" s="82">
        <v>0.95699999999999996</v>
      </c>
      <c r="T162" s="83">
        <v>700</v>
      </c>
      <c r="U162" s="81" t="s">
        <v>64</v>
      </c>
      <c r="V162" s="82">
        <v>187756</v>
      </c>
    </row>
    <row r="163" spans="1:22" x14ac:dyDescent="0.25">
      <c r="A163" s="98" t="s">
        <v>545</v>
      </c>
      <c r="B163" s="81">
        <v>280</v>
      </c>
      <c r="C163">
        <v>1300</v>
      </c>
      <c r="D163">
        <v>120</v>
      </c>
      <c r="E163" s="82">
        <v>40</v>
      </c>
      <c r="F163" s="3">
        <f t="shared" si="6"/>
        <v>44.871794871794869</v>
      </c>
      <c r="G163" s="81">
        <v>1395.84</v>
      </c>
      <c r="H163">
        <v>1111.933</v>
      </c>
      <c r="I163">
        <v>118.21899999999999</v>
      </c>
      <c r="J163">
        <f t="shared" si="5"/>
        <v>18.813273683067521</v>
      </c>
      <c r="K163">
        <v>38.21</v>
      </c>
      <c r="L163">
        <v>37.052</v>
      </c>
      <c r="M163">
        <v>38.204999999999998</v>
      </c>
      <c r="N163" s="82">
        <v>72.114999999999995</v>
      </c>
      <c r="O163" s="81">
        <v>1</v>
      </c>
      <c r="P163">
        <f>1/1.031</f>
        <v>0.96993210475266745</v>
      </c>
      <c r="Q163">
        <f t="shared" si="8"/>
        <v>1.0309999999999999</v>
      </c>
      <c r="R163">
        <v>0.97</v>
      </c>
      <c r="S163" s="82">
        <v>1.002</v>
      </c>
      <c r="T163" s="83">
        <v>600</v>
      </c>
      <c r="U163" s="81" t="s">
        <v>64</v>
      </c>
      <c r="V163" s="82">
        <v>653822</v>
      </c>
    </row>
    <row r="164" spans="1:22" x14ac:dyDescent="0.25">
      <c r="A164" s="98" t="s">
        <v>547</v>
      </c>
      <c r="B164" s="81">
        <v>280</v>
      </c>
      <c r="C164">
        <v>1300</v>
      </c>
      <c r="D164">
        <v>120</v>
      </c>
      <c r="E164" s="82">
        <v>40</v>
      </c>
      <c r="F164" s="3">
        <f t="shared" si="6"/>
        <v>44.871794871794869</v>
      </c>
      <c r="G164" s="81">
        <v>1.8</v>
      </c>
      <c r="H164">
        <v>834.71299999999997</v>
      </c>
      <c r="I164">
        <v>152.89400000000001</v>
      </c>
      <c r="J164">
        <f t="shared" si="5"/>
        <v>16.300226993086032</v>
      </c>
      <c r="K164">
        <v>66.998000000000005</v>
      </c>
      <c r="L164">
        <v>15.863</v>
      </c>
      <c r="M164">
        <v>65.111000000000004</v>
      </c>
      <c r="N164" s="82">
        <v>18.867000000000001</v>
      </c>
      <c r="O164" s="81">
        <v>0.44900000000000001</v>
      </c>
      <c r="P164">
        <f>1/4.224</f>
        <v>0.23674242424242423</v>
      </c>
      <c r="Q164">
        <f t="shared" si="8"/>
        <v>4.2240000000000002</v>
      </c>
      <c r="R164">
        <v>0.23699999999999999</v>
      </c>
      <c r="S164" s="82">
        <v>0.87</v>
      </c>
      <c r="T164" s="83">
        <v>700</v>
      </c>
      <c r="U164" s="81" t="s">
        <v>43</v>
      </c>
      <c r="V164" s="82">
        <v>75325</v>
      </c>
    </row>
    <row r="165" spans="1:22" x14ac:dyDescent="0.25">
      <c r="A165" s="98" t="s">
        <v>548</v>
      </c>
      <c r="B165" s="81">
        <v>280</v>
      </c>
      <c r="C165">
        <v>1300</v>
      </c>
      <c r="D165">
        <v>120</v>
      </c>
      <c r="E165" s="82">
        <v>40</v>
      </c>
      <c r="F165" s="3">
        <f t="shared" si="6"/>
        <v>44.871794871794869</v>
      </c>
      <c r="G165" s="81">
        <v>648.87300000000005</v>
      </c>
      <c r="H165">
        <v>2435.7829999999999</v>
      </c>
      <c r="I165">
        <v>269.32499999999999</v>
      </c>
      <c r="J165">
        <f t="shared" si="5"/>
        <v>27.844816564280183</v>
      </c>
      <c r="K165">
        <v>110.40900000000001</v>
      </c>
      <c r="L165">
        <v>28.088999999999999</v>
      </c>
      <c r="M165">
        <v>125.75700000000001</v>
      </c>
      <c r="N165" s="82">
        <v>32.524000000000001</v>
      </c>
      <c r="O165" s="81">
        <v>0.42199999999999999</v>
      </c>
      <c r="P165">
        <f>1/3.931</f>
        <v>0.25438819638768762</v>
      </c>
      <c r="Q165">
        <f t="shared" si="8"/>
        <v>3.931</v>
      </c>
      <c r="R165">
        <v>0.254</v>
      </c>
      <c r="S165" s="82">
        <v>0.89700000000000002</v>
      </c>
      <c r="T165" s="83">
        <v>500</v>
      </c>
      <c r="U165" s="81" t="s">
        <v>43</v>
      </c>
      <c r="V165" s="82">
        <v>2900679</v>
      </c>
    </row>
    <row r="166" spans="1:22" x14ac:dyDescent="0.25">
      <c r="A166" s="98" t="s">
        <v>549</v>
      </c>
      <c r="B166" s="81">
        <v>280</v>
      </c>
      <c r="C166">
        <v>1300</v>
      </c>
      <c r="D166">
        <v>120</v>
      </c>
      <c r="E166" s="82">
        <v>40</v>
      </c>
      <c r="F166" s="3">
        <f t="shared" si="6"/>
        <v>44.871794871794869</v>
      </c>
      <c r="G166" s="81">
        <v>679.78899999999999</v>
      </c>
      <c r="H166">
        <v>1712.02</v>
      </c>
      <c r="I166">
        <v>150.06100000000001</v>
      </c>
      <c r="J166">
        <f t="shared" si="5"/>
        <v>23.344226081504036</v>
      </c>
      <c r="K166">
        <v>53.226999999999997</v>
      </c>
      <c r="L166">
        <v>40.953000000000003</v>
      </c>
      <c r="M166">
        <v>54.720999999999997</v>
      </c>
      <c r="N166" s="82">
        <v>40.664000000000001</v>
      </c>
      <c r="O166" s="81">
        <v>0.95499999999999996</v>
      </c>
      <c r="P166">
        <f>1/1.3</f>
        <v>0.76923076923076916</v>
      </c>
      <c r="Q166">
        <f t="shared" si="8"/>
        <v>1.3</v>
      </c>
      <c r="R166">
        <v>0.76900000000000002</v>
      </c>
      <c r="S166" s="82">
        <v>1</v>
      </c>
      <c r="T166" s="83">
        <v>600</v>
      </c>
      <c r="U166" s="81" t="s">
        <v>64</v>
      </c>
      <c r="V166" s="82">
        <v>75342</v>
      </c>
    </row>
    <row r="167" spans="1:22" x14ac:dyDescent="0.25">
      <c r="A167" s="98" t="s">
        <v>550</v>
      </c>
      <c r="B167" s="81">
        <v>280</v>
      </c>
      <c r="C167">
        <v>1300</v>
      </c>
      <c r="D167">
        <v>120</v>
      </c>
      <c r="E167" s="82">
        <v>40</v>
      </c>
      <c r="F167" s="3">
        <f t="shared" si="6"/>
        <v>44.871794871794869</v>
      </c>
      <c r="G167" s="81">
        <v>966.13099999999997</v>
      </c>
      <c r="H167">
        <v>1186.779</v>
      </c>
      <c r="I167">
        <v>125.66800000000001</v>
      </c>
      <c r="J167">
        <f t="shared" si="5"/>
        <v>19.436138721858129</v>
      </c>
      <c r="K167">
        <v>44.54</v>
      </c>
      <c r="L167">
        <v>33.926000000000002</v>
      </c>
      <c r="M167">
        <v>44.572000000000003</v>
      </c>
      <c r="N167" s="82">
        <v>33.792000000000002</v>
      </c>
      <c r="O167" s="81">
        <v>0.94399999999999995</v>
      </c>
      <c r="P167">
        <f>1/1.313</f>
        <v>0.76161462300076166</v>
      </c>
      <c r="Q167">
        <f t="shared" si="8"/>
        <v>1.3129999999999999</v>
      </c>
      <c r="R167">
        <v>0.76200000000000001</v>
      </c>
      <c r="S167" s="82">
        <v>0.998</v>
      </c>
      <c r="T167" s="83">
        <v>700</v>
      </c>
      <c r="U167" s="81" t="s">
        <v>64</v>
      </c>
      <c r="V167" s="82">
        <v>234308</v>
      </c>
    </row>
    <row r="168" spans="1:22" x14ac:dyDescent="0.25">
      <c r="A168" s="98" t="s">
        <v>551</v>
      </c>
      <c r="B168" s="81">
        <v>280</v>
      </c>
      <c r="C168">
        <v>1300</v>
      </c>
      <c r="D168">
        <v>120</v>
      </c>
      <c r="E168" s="82">
        <v>40</v>
      </c>
      <c r="F168" s="3">
        <f t="shared" si="6"/>
        <v>44.871794871794869</v>
      </c>
      <c r="G168" s="81">
        <v>291.75799999999998</v>
      </c>
      <c r="H168">
        <v>3355.7759999999998</v>
      </c>
      <c r="I168">
        <v>344.11</v>
      </c>
      <c r="J168">
        <f t="shared" si="5"/>
        <v>32.682972273315293</v>
      </c>
      <c r="K168">
        <v>71.921999999999997</v>
      </c>
      <c r="L168">
        <v>59.408000000000001</v>
      </c>
      <c r="M168">
        <v>107.176</v>
      </c>
      <c r="N168" s="82">
        <v>77.284000000000006</v>
      </c>
      <c r="O168" s="81">
        <v>0.35599999999999998</v>
      </c>
      <c r="P168">
        <f>1/1.211</f>
        <v>0.82576383154417832</v>
      </c>
      <c r="Q168">
        <f t="shared" si="8"/>
        <v>1.2110000000000001</v>
      </c>
      <c r="R168">
        <v>0.82599999999999996</v>
      </c>
      <c r="S168" s="82">
        <v>0.58499999999999996</v>
      </c>
      <c r="T168" s="83">
        <v>600</v>
      </c>
      <c r="U168" s="81" t="s">
        <v>43</v>
      </c>
      <c r="V168" s="82">
        <v>284141</v>
      </c>
    </row>
    <row r="169" spans="1:22" x14ac:dyDescent="0.25">
      <c r="A169" s="98" t="s">
        <v>552</v>
      </c>
      <c r="B169" s="81">
        <v>280</v>
      </c>
      <c r="C169">
        <v>1300</v>
      </c>
      <c r="D169">
        <v>120</v>
      </c>
      <c r="E169" s="82">
        <v>40</v>
      </c>
      <c r="F169" s="3">
        <f t="shared" si="6"/>
        <v>44.871794871794869</v>
      </c>
      <c r="G169" s="81">
        <v>659.41800000000001</v>
      </c>
      <c r="H169">
        <v>1745.5250000000001</v>
      </c>
      <c r="I169">
        <v>152.62700000000001</v>
      </c>
      <c r="J169">
        <f t="shared" si="5"/>
        <v>23.571547765918158</v>
      </c>
      <c r="K169">
        <v>54.048000000000002</v>
      </c>
      <c r="L169">
        <v>41.12</v>
      </c>
      <c r="M169">
        <v>55.734999999999999</v>
      </c>
      <c r="N169" s="82">
        <v>40.75</v>
      </c>
      <c r="O169" s="81">
        <v>0.94199999999999995</v>
      </c>
      <c r="P169">
        <f>1/1.314</f>
        <v>0.76103500761035003</v>
      </c>
      <c r="Q169">
        <f t="shared" si="8"/>
        <v>1.3140000000000001</v>
      </c>
      <c r="R169">
        <v>0.76100000000000001</v>
      </c>
      <c r="S169" s="82">
        <v>0.997</v>
      </c>
      <c r="T169" s="83">
        <v>700</v>
      </c>
      <c r="U169" s="81" t="s">
        <v>64</v>
      </c>
      <c r="V169" s="82">
        <v>53159</v>
      </c>
    </row>
  </sheetData>
  <autoFilter ref="A1:U169" xr:uid="{332FF369-3E9E-4015-92C7-F8374306568C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3859-03CC-4034-8C3A-BCA5270EF697}">
  <dimension ref="A1:AD14"/>
  <sheetViews>
    <sheetView topLeftCell="G1" zoomScale="70" zoomScaleNormal="70" workbookViewId="0">
      <selection activeCell="P7" sqref="P7"/>
    </sheetView>
  </sheetViews>
  <sheetFormatPr defaultRowHeight="15" x14ac:dyDescent="0.25"/>
  <cols>
    <col min="1" max="30" width="15.7109375" customWidth="1"/>
  </cols>
  <sheetData>
    <row r="1" spans="1:30" x14ac:dyDescent="0.25">
      <c r="A1" s="77" t="s">
        <v>3</v>
      </c>
      <c r="B1" s="84" t="s">
        <v>555</v>
      </c>
      <c r="C1" s="78" t="s">
        <v>559</v>
      </c>
      <c r="D1" s="78" t="s">
        <v>560</v>
      </c>
      <c r="E1" s="85" t="s">
        <v>563</v>
      </c>
      <c r="F1" s="85" t="s">
        <v>565</v>
      </c>
      <c r="G1" s="86" t="s">
        <v>19</v>
      </c>
      <c r="H1" s="79" t="s">
        <v>18</v>
      </c>
      <c r="I1" s="79" t="s">
        <v>553</v>
      </c>
      <c r="J1" s="79" t="s">
        <v>554</v>
      </c>
      <c r="K1" s="80" t="s">
        <v>561</v>
      </c>
      <c r="L1" s="79" t="s">
        <v>562</v>
      </c>
      <c r="M1" s="79" t="s">
        <v>16</v>
      </c>
      <c r="N1" s="87" t="s">
        <v>17</v>
      </c>
      <c r="O1" s="79" t="s">
        <v>23</v>
      </c>
      <c r="P1" s="79" t="s">
        <v>24</v>
      </c>
      <c r="Q1" s="79" t="s">
        <v>25</v>
      </c>
      <c r="R1" s="79" t="s">
        <v>26</v>
      </c>
      <c r="S1" s="79" t="s">
        <v>27</v>
      </c>
      <c r="T1" s="96" t="s">
        <v>566</v>
      </c>
      <c r="U1" s="96" t="s">
        <v>567</v>
      </c>
      <c r="V1" s="96" t="s">
        <v>568</v>
      </c>
      <c r="W1" s="96" t="s">
        <v>569</v>
      </c>
      <c r="X1" s="96" t="s">
        <v>570</v>
      </c>
      <c r="Y1" s="96" t="s">
        <v>571</v>
      </c>
      <c r="Z1" s="96" t="s">
        <v>25</v>
      </c>
      <c r="AA1" s="96" t="s">
        <v>572</v>
      </c>
      <c r="AB1" s="92" t="s">
        <v>5</v>
      </c>
      <c r="AC1" s="93" t="s">
        <v>12</v>
      </c>
      <c r="AD1" s="94" t="s">
        <v>9</v>
      </c>
    </row>
    <row r="2" spans="1:30" x14ac:dyDescent="0.25">
      <c r="A2" t="s">
        <v>63</v>
      </c>
      <c r="B2">
        <v>336</v>
      </c>
      <c r="C2">
        <v>840</v>
      </c>
      <c r="D2">
        <v>140</v>
      </c>
      <c r="E2">
        <v>30</v>
      </c>
      <c r="F2">
        <f>1000000* B2/(C2*D2*E2)</f>
        <v>95.238095238095241</v>
      </c>
      <c r="G2">
        <v>126.70407004814837</v>
      </c>
      <c r="H2">
        <v>3052.26</v>
      </c>
      <c r="I2">
        <v>213.58699999999999</v>
      </c>
      <c r="J2">
        <v>31.169929951851625</v>
      </c>
      <c r="K2">
        <v>67.191000000000003</v>
      </c>
      <c r="L2">
        <v>57.838999999999999</v>
      </c>
      <c r="M2">
        <v>72.509</v>
      </c>
      <c r="N2">
        <v>59.948999999999998</v>
      </c>
      <c r="O2">
        <v>0.84099999999999997</v>
      </c>
      <c r="P2">
        <v>0.86058519793459554</v>
      </c>
      <c r="Q2">
        <v>1.1619999999999999</v>
      </c>
      <c r="R2">
        <v>0.86099999999999999</v>
      </c>
      <c r="S2">
        <v>0.97899999999999998</v>
      </c>
      <c r="T2">
        <v>132404.10944954501</v>
      </c>
      <c r="U2">
        <v>18252.9207172522</v>
      </c>
      <c r="V2">
        <v>39.876016779521997</v>
      </c>
      <c r="W2">
        <v>140356.067089766</v>
      </c>
      <c r="X2">
        <v>0.56928571428571395</v>
      </c>
      <c r="Y2">
        <v>0.94334439682515103</v>
      </c>
      <c r="Z2">
        <v>1.32714158868441</v>
      </c>
      <c r="AA2">
        <v>1.0743806802335301</v>
      </c>
      <c r="AB2">
        <v>450</v>
      </c>
      <c r="AC2" t="s">
        <v>64</v>
      </c>
      <c r="AD2">
        <v>3386100</v>
      </c>
    </row>
    <row r="3" spans="1:30" x14ac:dyDescent="0.25">
      <c r="A3" t="s">
        <v>66</v>
      </c>
      <c r="B3">
        <v>336</v>
      </c>
      <c r="C3">
        <v>840</v>
      </c>
      <c r="D3">
        <v>140</v>
      </c>
      <c r="E3">
        <v>30</v>
      </c>
      <c r="F3">
        <f t="shared" ref="F3:F14" si="0">1000000* B3/(C3*D3*E3)</f>
        <v>95.238095238095241</v>
      </c>
      <c r="G3">
        <v>338.0099596013581</v>
      </c>
      <c r="H3">
        <v>4068.1210000000001</v>
      </c>
      <c r="I3">
        <v>241.32599999999999</v>
      </c>
      <c r="J3">
        <v>35.985040398641885</v>
      </c>
      <c r="K3">
        <v>81.713999999999999</v>
      </c>
      <c r="L3">
        <v>63.387999999999998</v>
      </c>
      <c r="M3">
        <v>82.731999999999999</v>
      </c>
      <c r="N3">
        <v>61.386000000000003</v>
      </c>
      <c r="O3">
        <v>0.878</v>
      </c>
      <c r="P3">
        <v>0.77579519006982156</v>
      </c>
      <c r="Q3">
        <v>1.2889999999999999</v>
      </c>
      <c r="R3">
        <v>0.77600000000000002</v>
      </c>
      <c r="S3">
        <v>0.98399999999999999</v>
      </c>
      <c r="T3">
        <v>145362.50876375998</v>
      </c>
      <c r="U3" s="3">
        <v>20554.278534721598</v>
      </c>
      <c r="V3">
        <v>42.0501054260167</v>
      </c>
      <c r="W3">
        <v>148269.22646746199</v>
      </c>
      <c r="X3">
        <v>0.52103365384615297</v>
      </c>
      <c r="Y3">
        <v>0.98039567769418701</v>
      </c>
      <c r="Z3">
        <v>1.21544116280829</v>
      </c>
      <c r="AA3">
        <v>1.42190621523716</v>
      </c>
      <c r="AB3">
        <v>500</v>
      </c>
      <c r="AC3" t="s">
        <v>64</v>
      </c>
      <c r="AD3" s="95">
        <v>1080624</v>
      </c>
    </row>
    <row r="4" spans="1:30" x14ac:dyDescent="0.25">
      <c r="A4" t="s">
        <v>75</v>
      </c>
      <c r="B4">
        <v>336</v>
      </c>
      <c r="C4">
        <v>840</v>
      </c>
      <c r="D4">
        <v>140</v>
      </c>
      <c r="E4">
        <v>30</v>
      </c>
      <c r="F4">
        <f t="shared" si="0"/>
        <v>95.238095238095241</v>
      </c>
      <c r="G4">
        <v>5</v>
      </c>
      <c r="H4">
        <v>987.16600000000005</v>
      </c>
      <c r="I4">
        <v>131.88399999999999</v>
      </c>
      <c r="J4">
        <v>17.726384208419603</v>
      </c>
      <c r="K4">
        <v>50.116999999999997</v>
      </c>
      <c r="L4">
        <v>25.097000000000001</v>
      </c>
      <c r="M4">
        <v>50.323</v>
      </c>
      <c r="N4">
        <v>25.279</v>
      </c>
      <c r="O4">
        <v>0.71299999999999997</v>
      </c>
      <c r="P4">
        <v>0.50050050050050054</v>
      </c>
      <c r="Q4">
        <v>1.9979999999999998</v>
      </c>
      <c r="R4">
        <v>0.5</v>
      </c>
      <c r="S4">
        <v>0.95799999999999996</v>
      </c>
      <c r="T4">
        <v>115088.42467562101</v>
      </c>
      <c r="U4" s="3">
        <v>18877.2572324311</v>
      </c>
      <c r="V4">
        <v>38.792772766704701</v>
      </c>
      <c r="W4">
        <v>129581.17814238199</v>
      </c>
      <c r="X4">
        <v>0.413690476190476</v>
      </c>
      <c r="Y4">
        <v>0.88815695555078</v>
      </c>
      <c r="Z4">
        <v>1.3148010633567899</v>
      </c>
      <c r="AA4">
        <v>1.0916389878392301</v>
      </c>
      <c r="AB4">
        <v>600</v>
      </c>
      <c r="AC4" t="s">
        <v>64</v>
      </c>
      <c r="AD4">
        <v>58339</v>
      </c>
    </row>
    <row r="5" spans="1:30" x14ac:dyDescent="0.25">
      <c r="A5" t="s">
        <v>99</v>
      </c>
      <c r="B5">
        <v>252</v>
      </c>
      <c r="C5">
        <v>1200</v>
      </c>
      <c r="D5">
        <v>140</v>
      </c>
      <c r="E5">
        <v>30</v>
      </c>
      <c r="F5">
        <f t="shared" si="0"/>
        <v>50</v>
      </c>
      <c r="G5">
        <v>191.024</v>
      </c>
      <c r="H5">
        <v>5004.0990000000002</v>
      </c>
      <c r="I5">
        <v>393.70100000000002</v>
      </c>
      <c r="J5">
        <v>39.910577334115587</v>
      </c>
      <c r="K5">
        <v>139.97900000000001</v>
      </c>
      <c r="L5">
        <v>45.517000000000003</v>
      </c>
      <c r="M5">
        <v>154.667</v>
      </c>
      <c r="N5">
        <v>61.597999999999999</v>
      </c>
      <c r="O5">
        <v>0.40600000000000003</v>
      </c>
      <c r="P5">
        <v>0.32520325203252032</v>
      </c>
      <c r="Q5">
        <v>3.0750000000000002</v>
      </c>
      <c r="R5">
        <v>0.32500000000000001</v>
      </c>
      <c r="S5">
        <v>0.77200000000000002</v>
      </c>
      <c r="T5">
        <v>50672.025828403202</v>
      </c>
      <c r="U5" s="3">
        <v>10433.7555955691</v>
      </c>
      <c r="V5">
        <v>34.309146707871697</v>
      </c>
      <c r="W5">
        <v>52182.880784336405</v>
      </c>
      <c r="X5">
        <v>0.51515151515151503</v>
      </c>
      <c r="Y5">
        <v>0.97104692318200503</v>
      </c>
      <c r="Z5">
        <v>1.58670548873007</v>
      </c>
      <c r="AA5">
        <v>1.28764943031068</v>
      </c>
      <c r="AB5">
        <v>450</v>
      </c>
      <c r="AC5" t="s">
        <v>43</v>
      </c>
      <c r="AD5" s="95">
        <v>2653709</v>
      </c>
    </row>
    <row r="6" spans="1:30" x14ac:dyDescent="0.25">
      <c r="A6" t="s">
        <v>105</v>
      </c>
      <c r="B6">
        <v>252</v>
      </c>
      <c r="C6">
        <v>1200</v>
      </c>
      <c r="D6">
        <v>140</v>
      </c>
      <c r="E6">
        <v>30</v>
      </c>
      <c r="F6">
        <f t="shared" si="0"/>
        <v>50</v>
      </c>
      <c r="G6">
        <v>1</v>
      </c>
      <c r="H6">
        <v>5910.1850000000004</v>
      </c>
      <c r="I6">
        <v>420.596</v>
      </c>
      <c r="J6">
        <v>43.373613115293345</v>
      </c>
      <c r="K6">
        <v>120.926</v>
      </c>
      <c r="L6">
        <v>62.228999999999999</v>
      </c>
      <c r="M6">
        <v>133.125</v>
      </c>
      <c r="N6">
        <v>75.191999999999993</v>
      </c>
      <c r="O6">
        <v>0.42</v>
      </c>
      <c r="P6">
        <v>0.51466803911477099</v>
      </c>
      <c r="Q6">
        <v>1.9429999999999998</v>
      </c>
      <c r="R6">
        <v>0.51500000000000001</v>
      </c>
      <c r="S6">
        <v>0.81399999999999995</v>
      </c>
      <c r="T6">
        <v>37576.464028747003</v>
      </c>
      <c r="U6" s="3">
        <v>9279.9083685497899</v>
      </c>
      <c r="V6">
        <v>33.4749958395658</v>
      </c>
      <c r="W6">
        <v>39741.529970329997</v>
      </c>
      <c r="X6">
        <v>0.51136363636363602</v>
      </c>
      <c r="Y6">
        <v>0.94552132383429899</v>
      </c>
      <c r="Z6">
        <v>1.18353881964122</v>
      </c>
      <c r="AA6">
        <v>2.8225431255562099</v>
      </c>
      <c r="AB6">
        <v>600</v>
      </c>
      <c r="AC6" t="s">
        <v>43</v>
      </c>
      <c r="AD6" s="95">
        <v>21527</v>
      </c>
    </row>
    <row r="7" spans="1:30" x14ac:dyDescent="0.25">
      <c r="A7" t="s">
        <v>129</v>
      </c>
      <c r="B7">
        <v>280</v>
      </c>
      <c r="C7">
        <v>1200</v>
      </c>
      <c r="D7">
        <v>168</v>
      </c>
      <c r="E7">
        <v>30</v>
      </c>
      <c r="F7">
        <f t="shared" si="0"/>
        <v>46.296296296296298</v>
      </c>
      <c r="G7">
        <v>0</v>
      </c>
      <c r="H7">
        <v>2404.2420000000002</v>
      </c>
      <c r="I7">
        <v>268.26600000000002</v>
      </c>
      <c r="J7">
        <v>27.663947610171064</v>
      </c>
      <c r="K7">
        <v>72.855999999999995</v>
      </c>
      <c r="L7">
        <v>42.017000000000003</v>
      </c>
      <c r="M7">
        <v>94.644999999999996</v>
      </c>
      <c r="N7">
        <v>46.9</v>
      </c>
      <c r="O7">
        <v>0.42</v>
      </c>
      <c r="P7">
        <v>0.57670126874279126</v>
      </c>
      <c r="Q7">
        <v>1.734</v>
      </c>
      <c r="R7">
        <v>0.57699999999999996</v>
      </c>
      <c r="S7">
        <v>0.745</v>
      </c>
      <c r="T7">
        <v>257934.19882896999</v>
      </c>
      <c r="U7" s="3">
        <v>33679.426678597702</v>
      </c>
      <c r="V7">
        <v>61.420870404145703</v>
      </c>
      <c r="W7">
        <v>288581.26386755996</v>
      </c>
      <c r="X7">
        <v>0.41467304625199303</v>
      </c>
      <c r="Y7">
        <v>0.893800918923639</v>
      </c>
      <c r="Z7">
        <v>1.64486634660716</v>
      </c>
      <c r="AA7">
        <v>1.24310303393531</v>
      </c>
      <c r="AB7">
        <v>450</v>
      </c>
      <c r="AC7" t="s">
        <v>43</v>
      </c>
      <c r="AD7" s="95">
        <v>118193</v>
      </c>
    </row>
    <row r="8" spans="1:30" x14ac:dyDescent="0.25">
      <c r="A8" t="s">
        <v>131</v>
      </c>
      <c r="B8">
        <v>280</v>
      </c>
      <c r="C8">
        <v>1200</v>
      </c>
      <c r="D8">
        <v>168</v>
      </c>
      <c r="E8">
        <v>30</v>
      </c>
      <c r="F8">
        <f t="shared" si="0"/>
        <v>46.296296296296298</v>
      </c>
      <c r="G8">
        <v>0</v>
      </c>
      <c r="H8">
        <v>4151.951</v>
      </c>
      <c r="I8">
        <v>276.875</v>
      </c>
      <c r="J8">
        <v>36.35391382300778</v>
      </c>
      <c r="K8">
        <v>87.19</v>
      </c>
      <c r="L8">
        <v>60.631</v>
      </c>
      <c r="M8">
        <v>97.700999999999993</v>
      </c>
      <c r="N8">
        <v>65.027000000000001</v>
      </c>
      <c r="O8">
        <v>0.68100000000000005</v>
      </c>
      <c r="P8">
        <v>0.69541029207232274</v>
      </c>
      <c r="Q8">
        <v>1.4379999999999999</v>
      </c>
      <c r="R8">
        <v>0.69499999999999995</v>
      </c>
      <c r="S8">
        <v>0.92500000000000004</v>
      </c>
      <c r="T8">
        <v>65671.860066215595</v>
      </c>
      <c r="U8" s="3">
        <v>17236.7441691145</v>
      </c>
      <c r="V8">
        <v>56.336663193390805</v>
      </c>
      <c r="W8">
        <v>137004.370979156</v>
      </c>
      <c r="X8">
        <v>0.12724358974358899</v>
      </c>
      <c r="Y8">
        <v>0.47934134945378398</v>
      </c>
      <c r="Z8">
        <v>1.8128925615388201</v>
      </c>
      <c r="AA8">
        <v>1.6633490393721599</v>
      </c>
      <c r="AB8">
        <v>500</v>
      </c>
      <c r="AC8" t="s">
        <v>43</v>
      </c>
      <c r="AD8" s="95">
        <v>78108</v>
      </c>
    </row>
    <row r="9" spans="1:30" x14ac:dyDescent="0.25">
      <c r="A9" t="s">
        <v>125</v>
      </c>
      <c r="B9">
        <v>280</v>
      </c>
      <c r="C9">
        <v>1200</v>
      </c>
      <c r="D9">
        <v>168</v>
      </c>
      <c r="E9">
        <v>30</v>
      </c>
      <c r="F9">
        <f t="shared" si="0"/>
        <v>46.296296296296298</v>
      </c>
      <c r="G9">
        <v>155.45896525732047</v>
      </c>
      <c r="H9">
        <v>13104.700999999999</v>
      </c>
      <c r="I9">
        <v>639.23</v>
      </c>
      <c r="J9">
        <v>64.58603474267953</v>
      </c>
      <c r="K9">
        <v>224.58600000000001</v>
      </c>
      <c r="L9">
        <v>74.293999999999997</v>
      </c>
      <c r="M9">
        <v>242.786</v>
      </c>
      <c r="N9">
        <v>92.302000000000007</v>
      </c>
      <c r="O9">
        <v>0.40300000000000002</v>
      </c>
      <c r="P9">
        <v>0.33079722130334105</v>
      </c>
      <c r="Q9">
        <v>3.0230000000000001</v>
      </c>
      <c r="R9">
        <v>0.33100000000000002</v>
      </c>
      <c r="S9">
        <v>0.78</v>
      </c>
      <c r="T9">
        <v>143263.31518534099</v>
      </c>
      <c r="U9" s="3">
        <v>21788.494711966501</v>
      </c>
      <c r="V9">
        <v>54.161279687960899</v>
      </c>
      <c r="W9">
        <v>153105.365860672</v>
      </c>
      <c r="X9">
        <v>0.420098039215686</v>
      </c>
      <c r="Y9">
        <v>0.93571714080688795</v>
      </c>
      <c r="Z9">
        <v>2.0590325559218599</v>
      </c>
      <c r="AA9">
        <v>1.0252705922031</v>
      </c>
      <c r="AB9">
        <v>450</v>
      </c>
      <c r="AC9" t="s">
        <v>43</v>
      </c>
      <c r="AD9" s="95">
        <v>504109</v>
      </c>
    </row>
    <row r="10" spans="1:30" x14ac:dyDescent="0.25">
      <c r="A10" t="s">
        <v>130</v>
      </c>
      <c r="B10">
        <v>280</v>
      </c>
      <c r="C10">
        <v>1200</v>
      </c>
      <c r="D10">
        <v>168</v>
      </c>
      <c r="E10">
        <v>30</v>
      </c>
      <c r="F10">
        <f t="shared" si="0"/>
        <v>46.296296296296298</v>
      </c>
      <c r="G10">
        <v>14.384</v>
      </c>
      <c r="H10">
        <v>2300.9009999999998</v>
      </c>
      <c r="I10">
        <v>236.44</v>
      </c>
      <c r="J10">
        <v>27.062881136903552</v>
      </c>
      <c r="K10">
        <v>69.691000000000003</v>
      </c>
      <c r="L10">
        <v>42.036999999999999</v>
      </c>
      <c r="M10">
        <v>86.278999999999996</v>
      </c>
      <c r="N10">
        <v>55.866</v>
      </c>
      <c r="O10">
        <v>0.51700000000000002</v>
      </c>
      <c r="P10">
        <v>0.60313630880579017</v>
      </c>
      <c r="Q10">
        <v>1.6579999999999999</v>
      </c>
      <c r="R10">
        <v>0.60299999999999998</v>
      </c>
      <c r="S10">
        <v>0.78</v>
      </c>
      <c r="T10">
        <v>46274.570263896094</v>
      </c>
      <c r="U10" s="3">
        <v>11371.745816433</v>
      </c>
      <c r="V10">
        <v>49.2973760559629</v>
      </c>
      <c r="W10">
        <v>48634.861933440407</v>
      </c>
      <c r="X10">
        <v>0.25555555555555498</v>
      </c>
      <c r="Y10">
        <v>0.95146914012474104</v>
      </c>
      <c r="Z10">
        <v>2.75042336436836</v>
      </c>
      <c r="AA10">
        <v>1.3639963708793099</v>
      </c>
      <c r="AB10">
        <v>500</v>
      </c>
      <c r="AC10" t="s">
        <v>43</v>
      </c>
      <c r="AD10" s="95">
        <v>87299</v>
      </c>
    </row>
    <row r="11" spans="1:30" x14ac:dyDescent="0.25">
      <c r="A11" t="s">
        <v>48</v>
      </c>
      <c r="B11">
        <v>280</v>
      </c>
      <c r="C11">
        <v>1200</v>
      </c>
      <c r="D11">
        <v>140</v>
      </c>
      <c r="E11">
        <v>30</v>
      </c>
      <c r="F11">
        <f t="shared" si="0"/>
        <v>55.555555555555557</v>
      </c>
      <c r="G11">
        <v>472.46646721743321</v>
      </c>
      <c r="H11">
        <v>4185.509</v>
      </c>
      <c r="I11">
        <v>359.012</v>
      </c>
      <c r="J11">
        <v>36.500532782566772</v>
      </c>
      <c r="K11">
        <v>82.388999999999996</v>
      </c>
      <c r="L11">
        <v>64.683000000000007</v>
      </c>
      <c r="M11">
        <v>115.417</v>
      </c>
      <c r="N11">
        <v>76.313000000000002</v>
      </c>
      <c r="O11">
        <v>0.40799999999999997</v>
      </c>
      <c r="P11">
        <v>0.78492935635792782</v>
      </c>
      <c r="Q11">
        <v>1.274</v>
      </c>
      <c r="R11">
        <v>0.78500000000000003</v>
      </c>
      <c r="S11">
        <v>0.68899999999999995</v>
      </c>
      <c r="T11">
        <v>25151.6958406427</v>
      </c>
      <c r="U11" s="3">
        <v>6394.0811105247003</v>
      </c>
      <c r="V11">
        <v>24.225483075648498</v>
      </c>
      <c r="W11">
        <v>26201.571001006003</v>
      </c>
      <c r="X11">
        <v>0.44897959183673403</v>
      </c>
      <c r="Y11">
        <v>0.95993083161604997</v>
      </c>
      <c r="Z11">
        <v>1.35738833185296</v>
      </c>
      <c r="AA11">
        <v>1.2335886676008601</v>
      </c>
      <c r="AB11">
        <v>500</v>
      </c>
      <c r="AC11" t="s">
        <v>43</v>
      </c>
      <c r="AD11" s="95">
        <v>1629807</v>
      </c>
    </row>
    <row r="12" spans="1:30" x14ac:dyDescent="0.25">
      <c r="A12" t="s">
        <v>115</v>
      </c>
      <c r="B12">
        <v>224</v>
      </c>
      <c r="C12">
        <v>1200</v>
      </c>
      <c r="D12">
        <v>140</v>
      </c>
      <c r="E12">
        <v>30</v>
      </c>
      <c r="F12">
        <f t="shared" si="0"/>
        <v>44.444444444444443</v>
      </c>
      <c r="G12">
        <v>0</v>
      </c>
      <c r="H12">
        <v>2726</v>
      </c>
      <c r="I12">
        <v>279.44</v>
      </c>
      <c r="J12">
        <v>29.456964367310718</v>
      </c>
      <c r="K12">
        <v>107.30500000000001</v>
      </c>
      <c r="L12">
        <v>32.066000000000003</v>
      </c>
      <c r="M12">
        <v>115.57299999999999</v>
      </c>
      <c r="N12">
        <v>45.19</v>
      </c>
      <c r="O12">
        <v>0.51800000000000002</v>
      </c>
      <c r="P12">
        <v>0.30349013657056145</v>
      </c>
      <c r="Q12">
        <v>3.2949999999999999</v>
      </c>
      <c r="R12">
        <v>0.29899999999999999</v>
      </c>
      <c r="S12">
        <v>0.86</v>
      </c>
      <c r="T12" s="3">
        <v>84274.513336179501</v>
      </c>
      <c r="U12" s="3">
        <v>13983.3175688715</v>
      </c>
      <c r="V12">
        <v>41.530338853425604</v>
      </c>
      <c r="W12">
        <v>89771.215496683202</v>
      </c>
      <c r="X12">
        <v>0.53749999999999998</v>
      </c>
      <c r="Y12">
        <v>0.93876988152503205</v>
      </c>
      <c r="Z12">
        <v>1.7909201955015801</v>
      </c>
      <c r="AA12">
        <v>1.0420665097959201</v>
      </c>
      <c r="AB12">
        <v>500</v>
      </c>
      <c r="AC12" t="s">
        <v>43</v>
      </c>
      <c r="AD12" s="95">
        <v>57456</v>
      </c>
    </row>
    <row r="13" spans="1:30" x14ac:dyDescent="0.25">
      <c r="A13" t="s">
        <v>84</v>
      </c>
      <c r="B13">
        <v>364</v>
      </c>
      <c r="C13">
        <v>960</v>
      </c>
      <c r="D13">
        <v>140</v>
      </c>
      <c r="E13">
        <v>30</v>
      </c>
      <c r="F13">
        <f t="shared" si="0"/>
        <v>90.277777777777771</v>
      </c>
      <c r="G13">
        <v>429.76367630507116</v>
      </c>
      <c r="H13">
        <v>3926.3209999999999</v>
      </c>
      <c r="I13">
        <v>224.20400000000001</v>
      </c>
      <c r="J13">
        <v>35.352323694928842</v>
      </c>
      <c r="K13">
        <v>74.611999999999995</v>
      </c>
      <c r="L13">
        <v>67.001999999999995</v>
      </c>
      <c r="M13">
        <v>74.483999999999995</v>
      </c>
      <c r="N13">
        <v>65.436000000000007</v>
      </c>
      <c r="O13">
        <v>0.98199999999999998</v>
      </c>
      <c r="P13">
        <v>0.89766606822262107</v>
      </c>
      <c r="Q13">
        <v>1.1140000000000001</v>
      </c>
      <c r="R13">
        <v>0.89800000000000002</v>
      </c>
      <c r="S13">
        <v>0.998</v>
      </c>
      <c r="T13">
        <v>127342.443993601</v>
      </c>
      <c r="U13" s="3">
        <v>18334.460699641801</v>
      </c>
      <c r="V13">
        <v>38.138532645721099</v>
      </c>
      <c r="W13">
        <v>135485.50339853799</v>
      </c>
      <c r="X13">
        <v>0.59751359751359701</v>
      </c>
      <c r="Y13">
        <v>0.939897190469273</v>
      </c>
      <c r="Z13">
        <v>1.1310120397694201</v>
      </c>
      <c r="AA13">
        <v>1.34076678370097</v>
      </c>
      <c r="AB13">
        <v>600</v>
      </c>
      <c r="AC13" t="s">
        <v>64</v>
      </c>
      <c r="AD13" s="95">
        <v>282211</v>
      </c>
    </row>
    <row r="14" spans="1:30" x14ac:dyDescent="0.25">
      <c r="A14" t="s">
        <v>88</v>
      </c>
      <c r="B14">
        <v>364</v>
      </c>
      <c r="C14">
        <v>960</v>
      </c>
      <c r="D14">
        <v>140</v>
      </c>
      <c r="E14">
        <v>30</v>
      </c>
      <c r="F14">
        <f t="shared" si="0"/>
        <v>90.277777777777771</v>
      </c>
      <c r="G14">
        <v>5</v>
      </c>
      <c r="H14">
        <v>1695.43</v>
      </c>
      <c r="I14">
        <v>156.03800000000001</v>
      </c>
      <c r="J14">
        <f t="shared" ref="J14" si="1">SQRT(H14/PI())</f>
        <v>23.230844374076984</v>
      </c>
      <c r="K14" s="3">
        <v>57.622999999999998</v>
      </c>
      <c r="L14">
        <v>37.462000000000003</v>
      </c>
      <c r="M14">
        <v>56.963000000000001</v>
      </c>
      <c r="N14">
        <v>35.959000000000003</v>
      </c>
      <c r="O14">
        <v>0.875</v>
      </c>
      <c r="P14">
        <f>1/1.538</f>
        <v>0.65019505851755521</v>
      </c>
      <c r="Q14">
        <f t="shared" ref="Q14" si="2">1/P14</f>
        <v>1.538</v>
      </c>
      <c r="R14">
        <v>0.65</v>
      </c>
      <c r="S14" s="3">
        <v>0.99099999999999999</v>
      </c>
      <c r="T14">
        <v>21196.141522992199</v>
      </c>
      <c r="U14" s="3">
        <v>5247.0331605992096</v>
      </c>
      <c r="V14">
        <v>19.205368136098901</v>
      </c>
      <c r="W14">
        <v>21793.173667747098</v>
      </c>
      <c r="X14">
        <v>0.592592592592592</v>
      </c>
      <c r="Y14">
        <v>0.97260462593208696</v>
      </c>
      <c r="Z14">
        <v>1.1124592495246901</v>
      </c>
      <c r="AA14">
        <v>1.10019025706634</v>
      </c>
      <c r="AB14">
        <v>500</v>
      </c>
      <c r="AC14" t="s">
        <v>64</v>
      </c>
      <c r="AD14" s="95">
        <v>1858496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262D-EA6D-4795-BBAD-27349759D2A6}">
  <dimension ref="A1:J182"/>
  <sheetViews>
    <sheetView topLeftCell="A148" workbookViewId="0">
      <selection activeCell="F169" sqref="F169"/>
    </sheetView>
  </sheetViews>
  <sheetFormatPr defaultRowHeight="15" x14ac:dyDescent="0.25"/>
  <cols>
    <col min="1" max="10" width="22.28515625" customWidth="1"/>
  </cols>
  <sheetData>
    <row r="1" spans="1:10" x14ac:dyDescent="0.25">
      <c r="A1" s="77" t="s">
        <v>3</v>
      </c>
      <c r="B1" s="84" t="s">
        <v>555</v>
      </c>
      <c r="C1" s="78" t="s">
        <v>559</v>
      </c>
      <c r="D1" s="78" t="s">
        <v>560</v>
      </c>
      <c r="E1" s="85" t="s">
        <v>563</v>
      </c>
      <c r="F1" s="85" t="s">
        <v>565</v>
      </c>
      <c r="G1" s="85" t="s">
        <v>576</v>
      </c>
      <c r="H1" s="85" t="s">
        <v>573</v>
      </c>
      <c r="I1" s="92" t="s">
        <v>5</v>
      </c>
      <c r="J1" s="94" t="s">
        <v>9</v>
      </c>
    </row>
    <row r="2" spans="1:10" x14ac:dyDescent="0.25">
      <c r="A2" t="s">
        <v>63</v>
      </c>
      <c r="B2">
        <v>336</v>
      </c>
      <c r="C2">
        <v>840</v>
      </c>
      <c r="D2">
        <v>140</v>
      </c>
      <c r="E2">
        <v>30</v>
      </c>
      <c r="F2">
        <f>1000000* B2/(C2*D2*E2)</f>
        <v>95.238095238095241</v>
      </c>
      <c r="G2" t="s">
        <v>577</v>
      </c>
      <c r="H2" t="s">
        <v>574</v>
      </c>
      <c r="I2">
        <v>450</v>
      </c>
      <c r="J2">
        <v>3386100</v>
      </c>
    </row>
    <row r="3" spans="1:10" x14ac:dyDescent="0.25">
      <c r="A3" t="s">
        <v>66</v>
      </c>
      <c r="B3">
        <v>336</v>
      </c>
      <c r="C3">
        <v>840</v>
      </c>
      <c r="D3">
        <v>140</v>
      </c>
      <c r="E3">
        <v>30</v>
      </c>
      <c r="F3">
        <f t="shared" ref="F3:F14" si="0">1000000* B3/(C3*D3*E3)</f>
        <v>95.238095238095241</v>
      </c>
      <c r="G3" t="s">
        <v>577</v>
      </c>
      <c r="H3" t="s">
        <v>574</v>
      </c>
      <c r="I3">
        <v>500</v>
      </c>
      <c r="J3" s="95">
        <v>1080624</v>
      </c>
    </row>
    <row r="4" spans="1:10" x14ac:dyDescent="0.25">
      <c r="A4" t="s">
        <v>75</v>
      </c>
      <c r="B4">
        <v>336</v>
      </c>
      <c r="C4">
        <v>840</v>
      </c>
      <c r="D4">
        <v>140</v>
      </c>
      <c r="E4">
        <v>30</v>
      </c>
      <c r="F4">
        <f t="shared" si="0"/>
        <v>95.238095238095241</v>
      </c>
      <c r="G4" t="s">
        <v>577</v>
      </c>
      <c r="H4" t="s">
        <v>574</v>
      </c>
      <c r="I4">
        <v>600</v>
      </c>
      <c r="J4">
        <v>58339</v>
      </c>
    </row>
    <row r="5" spans="1:10" x14ac:dyDescent="0.25">
      <c r="A5" t="s">
        <v>99</v>
      </c>
      <c r="B5">
        <v>252</v>
      </c>
      <c r="C5">
        <v>1200</v>
      </c>
      <c r="D5">
        <v>140</v>
      </c>
      <c r="E5">
        <v>30</v>
      </c>
      <c r="F5">
        <f t="shared" si="0"/>
        <v>50</v>
      </c>
      <c r="G5" t="s">
        <v>578</v>
      </c>
      <c r="H5" t="s">
        <v>574</v>
      </c>
      <c r="I5">
        <v>450</v>
      </c>
      <c r="J5" s="95">
        <v>2653709</v>
      </c>
    </row>
    <row r="6" spans="1:10" x14ac:dyDescent="0.25">
      <c r="A6" t="s">
        <v>105</v>
      </c>
      <c r="B6">
        <v>252</v>
      </c>
      <c r="C6">
        <v>1200</v>
      </c>
      <c r="D6">
        <v>140</v>
      </c>
      <c r="E6">
        <v>30</v>
      </c>
      <c r="F6">
        <f t="shared" si="0"/>
        <v>50</v>
      </c>
      <c r="G6" t="s">
        <v>578</v>
      </c>
      <c r="H6" t="s">
        <v>574</v>
      </c>
      <c r="I6">
        <v>600</v>
      </c>
      <c r="J6" s="95">
        <v>21527</v>
      </c>
    </row>
    <row r="7" spans="1:10" x14ac:dyDescent="0.25">
      <c r="A7" t="s">
        <v>129</v>
      </c>
      <c r="B7">
        <v>280</v>
      </c>
      <c r="C7">
        <v>1200</v>
      </c>
      <c r="D7">
        <v>168</v>
      </c>
      <c r="E7">
        <v>30</v>
      </c>
      <c r="F7">
        <f t="shared" si="0"/>
        <v>46.296296296296298</v>
      </c>
      <c r="G7" t="s">
        <v>578</v>
      </c>
      <c r="H7" t="s">
        <v>574</v>
      </c>
      <c r="I7">
        <v>450</v>
      </c>
      <c r="J7" s="95">
        <v>118193</v>
      </c>
    </row>
    <row r="8" spans="1:10" x14ac:dyDescent="0.25">
      <c r="A8" t="s">
        <v>131</v>
      </c>
      <c r="B8">
        <v>280</v>
      </c>
      <c r="C8">
        <v>1200</v>
      </c>
      <c r="D8">
        <v>168</v>
      </c>
      <c r="E8">
        <v>30</v>
      </c>
      <c r="F8">
        <f t="shared" si="0"/>
        <v>46.296296296296298</v>
      </c>
      <c r="G8" t="s">
        <v>578</v>
      </c>
      <c r="H8" t="s">
        <v>574</v>
      </c>
      <c r="I8">
        <v>500</v>
      </c>
      <c r="J8" s="95">
        <v>78108</v>
      </c>
    </row>
    <row r="9" spans="1:10" x14ac:dyDescent="0.25">
      <c r="A9" t="s">
        <v>125</v>
      </c>
      <c r="B9">
        <v>280</v>
      </c>
      <c r="C9">
        <v>1200</v>
      </c>
      <c r="D9">
        <v>168</v>
      </c>
      <c r="E9">
        <v>30</v>
      </c>
      <c r="F9">
        <f t="shared" si="0"/>
        <v>46.296296296296298</v>
      </c>
      <c r="G9" t="s">
        <v>578</v>
      </c>
      <c r="H9" t="s">
        <v>574</v>
      </c>
      <c r="I9">
        <v>450</v>
      </c>
      <c r="J9" s="95">
        <v>504109</v>
      </c>
    </row>
    <row r="10" spans="1:10" x14ac:dyDescent="0.25">
      <c r="A10" t="s">
        <v>130</v>
      </c>
      <c r="B10">
        <v>280</v>
      </c>
      <c r="C10">
        <v>1200</v>
      </c>
      <c r="D10">
        <v>168</v>
      </c>
      <c r="E10">
        <v>30</v>
      </c>
      <c r="F10">
        <f t="shared" si="0"/>
        <v>46.296296296296298</v>
      </c>
      <c r="G10" t="s">
        <v>578</v>
      </c>
      <c r="H10" t="s">
        <v>574</v>
      </c>
      <c r="I10">
        <v>500</v>
      </c>
      <c r="J10" s="95">
        <v>87299</v>
      </c>
    </row>
    <row r="11" spans="1:10" x14ac:dyDescent="0.25">
      <c r="A11" t="s">
        <v>48</v>
      </c>
      <c r="B11">
        <v>280</v>
      </c>
      <c r="C11">
        <v>1200</v>
      </c>
      <c r="D11">
        <v>140</v>
      </c>
      <c r="E11">
        <v>30</v>
      </c>
      <c r="F11">
        <f t="shared" si="0"/>
        <v>55.555555555555557</v>
      </c>
      <c r="G11" t="s">
        <v>578</v>
      </c>
      <c r="H11" t="s">
        <v>574</v>
      </c>
      <c r="I11">
        <v>500</v>
      </c>
      <c r="J11" s="95">
        <v>1629807</v>
      </c>
    </row>
    <row r="12" spans="1:10" x14ac:dyDescent="0.25">
      <c r="A12" t="s">
        <v>115</v>
      </c>
      <c r="B12">
        <v>224</v>
      </c>
      <c r="C12">
        <v>1200</v>
      </c>
      <c r="D12">
        <v>140</v>
      </c>
      <c r="E12">
        <v>30</v>
      </c>
      <c r="F12">
        <f t="shared" si="0"/>
        <v>44.444444444444443</v>
      </c>
      <c r="G12" t="s">
        <v>578</v>
      </c>
      <c r="H12" t="s">
        <v>574</v>
      </c>
      <c r="I12">
        <v>500</v>
      </c>
      <c r="J12" s="95">
        <v>57456</v>
      </c>
    </row>
    <row r="13" spans="1:10" x14ac:dyDescent="0.25">
      <c r="A13" t="s">
        <v>84</v>
      </c>
      <c r="B13">
        <v>364</v>
      </c>
      <c r="C13">
        <v>960</v>
      </c>
      <c r="D13">
        <v>140</v>
      </c>
      <c r="E13">
        <v>30</v>
      </c>
      <c r="F13">
        <f t="shared" si="0"/>
        <v>90.277777777777771</v>
      </c>
      <c r="G13" t="s">
        <v>577</v>
      </c>
      <c r="H13" t="s">
        <v>574</v>
      </c>
      <c r="I13">
        <v>600</v>
      </c>
      <c r="J13" s="95">
        <v>282211</v>
      </c>
    </row>
    <row r="14" spans="1:10" x14ac:dyDescent="0.25">
      <c r="A14" t="s">
        <v>88</v>
      </c>
      <c r="B14">
        <v>364</v>
      </c>
      <c r="C14">
        <v>960</v>
      </c>
      <c r="D14">
        <v>140</v>
      </c>
      <c r="E14">
        <v>30</v>
      </c>
      <c r="F14">
        <f t="shared" si="0"/>
        <v>90.277777777777771</v>
      </c>
      <c r="G14" t="s">
        <v>577</v>
      </c>
      <c r="H14" t="s">
        <v>574</v>
      </c>
      <c r="I14">
        <v>500</v>
      </c>
      <c r="J14" s="95">
        <v>1858496</v>
      </c>
    </row>
    <row r="15" spans="1:10" x14ac:dyDescent="0.25">
      <c r="A15" t="s">
        <v>41</v>
      </c>
      <c r="B15" s="81">
        <v>280</v>
      </c>
      <c r="C15">
        <v>1200</v>
      </c>
      <c r="D15">
        <v>140</v>
      </c>
      <c r="E15" s="82">
        <v>30</v>
      </c>
      <c r="F15" s="3">
        <f>1000000* B15/(C15*D15*E15)</f>
        <v>55.555555555555557</v>
      </c>
      <c r="G15" t="s">
        <v>578</v>
      </c>
      <c r="H15" t="s">
        <v>575</v>
      </c>
      <c r="I15" s="83">
        <v>450</v>
      </c>
      <c r="J15" s="82">
        <v>4305823</v>
      </c>
    </row>
    <row r="16" spans="1:10" x14ac:dyDescent="0.25">
      <c r="A16" t="s">
        <v>50</v>
      </c>
      <c r="B16" s="81">
        <v>280</v>
      </c>
      <c r="C16">
        <v>1200</v>
      </c>
      <c r="D16">
        <v>140</v>
      </c>
      <c r="E16" s="82">
        <v>30</v>
      </c>
      <c r="F16" s="3">
        <f t="shared" ref="F16:F79" si="1">1000000* B16/(C16*D16*E16)</f>
        <v>55.555555555555557</v>
      </c>
      <c r="G16" t="s">
        <v>578</v>
      </c>
      <c r="H16" t="s">
        <v>575</v>
      </c>
      <c r="I16" s="83">
        <v>500</v>
      </c>
      <c r="J16" s="82">
        <v>1544620</v>
      </c>
    </row>
    <row r="17" spans="1:10" x14ac:dyDescent="0.25">
      <c r="A17" t="s">
        <v>52</v>
      </c>
      <c r="B17" s="81">
        <v>280</v>
      </c>
      <c r="C17">
        <v>1200</v>
      </c>
      <c r="D17">
        <v>140</v>
      </c>
      <c r="E17" s="82">
        <v>30</v>
      </c>
      <c r="F17" s="3">
        <f t="shared" si="1"/>
        <v>55.555555555555557</v>
      </c>
      <c r="G17" t="s">
        <v>578</v>
      </c>
      <c r="H17" t="s">
        <v>575</v>
      </c>
      <c r="I17" s="83">
        <v>500</v>
      </c>
      <c r="J17" s="82">
        <v>2136507</v>
      </c>
    </row>
    <row r="18" spans="1:10" x14ac:dyDescent="0.25">
      <c r="A18" t="s">
        <v>53</v>
      </c>
      <c r="B18" s="81">
        <v>280</v>
      </c>
      <c r="C18">
        <v>1200</v>
      </c>
      <c r="D18">
        <v>140</v>
      </c>
      <c r="E18" s="82">
        <v>30</v>
      </c>
      <c r="F18" s="3">
        <f t="shared" si="1"/>
        <v>55.555555555555557</v>
      </c>
      <c r="G18" t="s">
        <v>578</v>
      </c>
      <c r="H18" t="s">
        <v>575</v>
      </c>
      <c r="I18" s="83">
        <v>600</v>
      </c>
      <c r="J18" s="82">
        <v>33689</v>
      </c>
    </row>
    <row r="19" spans="1:10" x14ac:dyDescent="0.25">
      <c r="A19" t="s">
        <v>54</v>
      </c>
      <c r="B19" s="81">
        <v>280</v>
      </c>
      <c r="C19">
        <v>1200</v>
      </c>
      <c r="D19">
        <v>140</v>
      </c>
      <c r="E19" s="82">
        <v>30</v>
      </c>
      <c r="F19" s="3">
        <f t="shared" si="1"/>
        <v>55.555555555555557</v>
      </c>
      <c r="G19" t="s">
        <v>578</v>
      </c>
      <c r="H19" t="s">
        <v>575</v>
      </c>
      <c r="I19" s="83">
        <v>450</v>
      </c>
      <c r="J19" s="82">
        <v>3616919</v>
      </c>
    </row>
    <row r="20" spans="1:10" x14ac:dyDescent="0.25">
      <c r="A20" t="s">
        <v>56</v>
      </c>
      <c r="B20" s="81">
        <v>280</v>
      </c>
      <c r="C20">
        <v>1200</v>
      </c>
      <c r="D20">
        <v>140</v>
      </c>
      <c r="E20" s="82">
        <v>30</v>
      </c>
      <c r="F20" s="3">
        <f t="shared" si="1"/>
        <v>55.555555555555557</v>
      </c>
      <c r="G20" t="s">
        <v>578</v>
      </c>
      <c r="H20" t="s">
        <v>575</v>
      </c>
      <c r="I20" s="83">
        <v>450</v>
      </c>
      <c r="J20" s="82">
        <v>2057094</v>
      </c>
    </row>
    <row r="21" spans="1:10" x14ac:dyDescent="0.25">
      <c r="A21" t="s">
        <v>59</v>
      </c>
      <c r="B21" s="81">
        <v>280</v>
      </c>
      <c r="C21">
        <v>1200</v>
      </c>
      <c r="D21">
        <v>140</v>
      </c>
      <c r="E21" s="82">
        <v>30</v>
      </c>
      <c r="F21" s="3">
        <f t="shared" si="1"/>
        <v>55.555555555555557</v>
      </c>
      <c r="G21" t="s">
        <v>578</v>
      </c>
      <c r="H21" t="s">
        <v>575</v>
      </c>
      <c r="I21" s="83">
        <v>600</v>
      </c>
      <c r="J21" s="82">
        <v>30900</v>
      </c>
    </row>
    <row r="22" spans="1:10" x14ac:dyDescent="0.25">
      <c r="A22" t="s">
        <v>61</v>
      </c>
      <c r="B22" s="81">
        <v>280</v>
      </c>
      <c r="C22">
        <v>1200</v>
      </c>
      <c r="D22">
        <v>140</v>
      </c>
      <c r="E22" s="82">
        <v>30</v>
      </c>
      <c r="F22" s="3">
        <f t="shared" si="1"/>
        <v>55.555555555555557</v>
      </c>
      <c r="G22" t="s">
        <v>578</v>
      </c>
      <c r="H22" t="s">
        <v>575</v>
      </c>
      <c r="I22" s="83">
        <v>600</v>
      </c>
      <c r="J22" s="82">
        <v>24908</v>
      </c>
    </row>
    <row r="23" spans="1:10" x14ac:dyDescent="0.25">
      <c r="A23" t="s">
        <v>68</v>
      </c>
      <c r="B23" s="81">
        <v>336</v>
      </c>
      <c r="C23">
        <v>840</v>
      </c>
      <c r="D23">
        <v>140</v>
      </c>
      <c r="E23" s="82">
        <v>30</v>
      </c>
      <c r="F23" s="3">
        <f t="shared" si="1"/>
        <v>95.238095238095241</v>
      </c>
      <c r="G23" t="s">
        <v>577</v>
      </c>
      <c r="H23" t="s">
        <v>575</v>
      </c>
      <c r="I23" s="83">
        <v>500</v>
      </c>
      <c r="J23" s="82">
        <v>738546</v>
      </c>
    </row>
    <row r="24" spans="1:10" x14ac:dyDescent="0.25">
      <c r="A24" t="s">
        <v>70</v>
      </c>
      <c r="B24" s="81">
        <v>336</v>
      </c>
      <c r="C24">
        <v>840</v>
      </c>
      <c r="D24">
        <v>140</v>
      </c>
      <c r="E24" s="82">
        <v>30</v>
      </c>
      <c r="F24" s="3">
        <f t="shared" si="1"/>
        <v>95.238095238095241</v>
      </c>
      <c r="G24" t="s">
        <v>577</v>
      </c>
      <c r="H24" t="s">
        <v>575</v>
      </c>
      <c r="I24" s="83">
        <v>600</v>
      </c>
      <c r="J24" s="82">
        <v>146688</v>
      </c>
    </row>
    <row r="25" spans="1:10" x14ac:dyDescent="0.25">
      <c r="A25" t="s">
        <v>72</v>
      </c>
      <c r="B25" s="81">
        <v>336</v>
      </c>
      <c r="C25">
        <v>840</v>
      </c>
      <c r="D25">
        <v>140</v>
      </c>
      <c r="E25" s="82">
        <v>30</v>
      </c>
      <c r="F25" s="3">
        <f t="shared" si="1"/>
        <v>95.238095238095241</v>
      </c>
      <c r="G25" t="s">
        <v>577</v>
      </c>
      <c r="H25" t="s">
        <v>575</v>
      </c>
      <c r="I25" s="83">
        <v>600</v>
      </c>
      <c r="J25" s="82">
        <v>133016</v>
      </c>
    </row>
    <row r="26" spans="1:10" x14ac:dyDescent="0.25">
      <c r="A26" t="s">
        <v>76</v>
      </c>
      <c r="B26" s="81">
        <v>336</v>
      </c>
      <c r="C26">
        <v>840</v>
      </c>
      <c r="D26">
        <v>140</v>
      </c>
      <c r="E26" s="82">
        <v>30</v>
      </c>
      <c r="F26" s="3">
        <f t="shared" si="1"/>
        <v>95.238095238095241</v>
      </c>
      <c r="G26" t="s">
        <v>577</v>
      </c>
      <c r="H26" t="s">
        <v>575</v>
      </c>
      <c r="I26" s="83">
        <v>600</v>
      </c>
      <c r="J26" s="82">
        <v>42753</v>
      </c>
    </row>
    <row r="27" spans="1:10" x14ac:dyDescent="0.25">
      <c r="A27" t="s">
        <v>79</v>
      </c>
      <c r="B27" s="81">
        <v>364</v>
      </c>
      <c r="C27">
        <v>960</v>
      </c>
      <c r="D27">
        <v>140</v>
      </c>
      <c r="E27" s="82">
        <v>30</v>
      </c>
      <c r="F27" s="3">
        <f t="shared" si="1"/>
        <v>90.277777777777771</v>
      </c>
      <c r="G27" t="s">
        <v>577</v>
      </c>
      <c r="H27" t="s">
        <v>575</v>
      </c>
      <c r="I27" s="83">
        <v>450</v>
      </c>
      <c r="J27" s="82">
        <v>8440701</v>
      </c>
    </row>
    <row r="28" spans="1:10" x14ac:dyDescent="0.25">
      <c r="A28" t="s">
        <v>80</v>
      </c>
      <c r="B28" s="81">
        <v>364</v>
      </c>
      <c r="C28">
        <v>960</v>
      </c>
      <c r="D28">
        <v>140</v>
      </c>
      <c r="E28" s="82">
        <v>30</v>
      </c>
      <c r="F28" s="3">
        <f t="shared" si="1"/>
        <v>90.277777777777771</v>
      </c>
      <c r="G28" t="s">
        <v>577</v>
      </c>
      <c r="H28" t="s">
        <v>575</v>
      </c>
      <c r="I28" s="83">
        <v>450</v>
      </c>
      <c r="J28" s="82">
        <v>6053604</v>
      </c>
    </row>
    <row r="29" spans="1:10" x14ac:dyDescent="0.25">
      <c r="A29" t="s">
        <v>83</v>
      </c>
      <c r="B29" s="81">
        <v>364</v>
      </c>
      <c r="C29">
        <v>960</v>
      </c>
      <c r="D29">
        <v>140</v>
      </c>
      <c r="E29" s="82">
        <v>30</v>
      </c>
      <c r="F29" s="3">
        <f t="shared" si="1"/>
        <v>90.277777777777771</v>
      </c>
      <c r="G29" t="s">
        <v>577</v>
      </c>
      <c r="H29" t="s">
        <v>575</v>
      </c>
      <c r="I29" s="83">
        <v>500</v>
      </c>
      <c r="J29" s="82">
        <v>1490267</v>
      </c>
    </row>
    <row r="30" spans="1:10" x14ac:dyDescent="0.25">
      <c r="A30" t="s">
        <v>85</v>
      </c>
      <c r="B30" s="81">
        <v>364</v>
      </c>
      <c r="C30">
        <v>960</v>
      </c>
      <c r="D30">
        <v>140</v>
      </c>
      <c r="E30" s="82">
        <v>30</v>
      </c>
      <c r="F30" s="3">
        <f t="shared" si="1"/>
        <v>90.277777777777771</v>
      </c>
      <c r="G30" t="s">
        <v>577</v>
      </c>
      <c r="H30" t="s">
        <v>575</v>
      </c>
      <c r="I30" s="83">
        <v>600</v>
      </c>
      <c r="J30" s="82">
        <v>423405</v>
      </c>
    </row>
    <row r="31" spans="1:10" x14ac:dyDescent="0.25">
      <c r="A31" t="s">
        <v>86</v>
      </c>
      <c r="B31" s="81">
        <v>364</v>
      </c>
      <c r="C31">
        <v>960</v>
      </c>
      <c r="D31">
        <v>140</v>
      </c>
      <c r="E31" s="82">
        <v>30</v>
      </c>
      <c r="F31" s="3">
        <f t="shared" si="1"/>
        <v>90.277777777777771</v>
      </c>
      <c r="G31" t="s">
        <v>577</v>
      </c>
      <c r="H31" t="s">
        <v>575</v>
      </c>
      <c r="I31" s="83">
        <v>600</v>
      </c>
      <c r="J31" s="82">
        <v>299497</v>
      </c>
    </row>
    <row r="32" spans="1:10" x14ac:dyDescent="0.25">
      <c r="A32" t="s">
        <v>90</v>
      </c>
      <c r="B32" s="81">
        <v>364</v>
      </c>
      <c r="C32">
        <v>960</v>
      </c>
      <c r="D32">
        <v>140</v>
      </c>
      <c r="E32" s="82">
        <v>30</v>
      </c>
      <c r="F32" s="3">
        <f t="shared" si="1"/>
        <v>90.277777777777771</v>
      </c>
      <c r="G32" t="s">
        <v>577</v>
      </c>
      <c r="H32" t="s">
        <v>575</v>
      </c>
      <c r="I32" s="83">
        <v>600</v>
      </c>
      <c r="J32" s="82">
        <v>79110</v>
      </c>
    </row>
    <row r="33" spans="1:10" x14ac:dyDescent="0.25">
      <c r="A33" t="s">
        <v>95</v>
      </c>
      <c r="B33" s="81">
        <v>252</v>
      </c>
      <c r="C33">
        <v>1200</v>
      </c>
      <c r="D33">
        <v>140</v>
      </c>
      <c r="E33" s="82">
        <v>30</v>
      </c>
      <c r="F33" s="3">
        <f t="shared" si="1"/>
        <v>50</v>
      </c>
      <c r="G33" t="s">
        <v>578</v>
      </c>
      <c r="H33" t="s">
        <v>575</v>
      </c>
      <c r="I33" s="83">
        <v>500</v>
      </c>
      <c r="J33" s="82">
        <v>607174</v>
      </c>
    </row>
    <row r="34" spans="1:10" x14ac:dyDescent="0.25">
      <c r="A34" t="s">
        <v>96</v>
      </c>
      <c r="B34" s="81">
        <v>252</v>
      </c>
      <c r="C34">
        <v>1200</v>
      </c>
      <c r="D34">
        <v>140</v>
      </c>
      <c r="E34" s="82">
        <v>30</v>
      </c>
      <c r="F34" s="3">
        <f t="shared" si="1"/>
        <v>50</v>
      </c>
      <c r="G34" t="s">
        <v>578</v>
      </c>
      <c r="H34" t="s">
        <v>575</v>
      </c>
      <c r="I34" s="83">
        <v>600</v>
      </c>
      <c r="J34" s="82">
        <v>224671</v>
      </c>
    </row>
    <row r="35" spans="1:10" x14ac:dyDescent="0.25">
      <c r="A35" t="s">
        <v>97</v>
      </c>
      <c r="B35" s="81">
        <v>252</v>
      </c>
      <c r="C35">
        <v>1200</v>
      </c>
      <c r="D35">
        <v>140</v>
      </c>
      <c r="E35" s="82">
        <v>30</v>
      </c>
      <c r="F35" s="3">
        <f t="shared" si="1"/>
        <v>50</v>
      </c>
      <c r="G35" t="s">
        <v>578</v>
      </c>
      <c r="H35" t="s">
        <v>575</v>
      </c>
      <c r="I35" s="83">
        <v>500</v>
      </c>
      <c r="J35" s="82">
        <v>143298</v>
      </c>
    </row>
    <row r="36" spans="1:10" x14ac:dyDescent="0.25">
      <c r="A36" t="s">
        <v>98</v>
      </c>
      <c r="B36" s="81">
        <v>252</v>
      </c>
      <c r="C36">
        <v>1200</v>
      </c>
      <c r="D36">
        <v>140</v>
      </c>
      <c r="E36" s="82">
        <v>30</v>
      </c>
      <c r="F36" s="3">
        <f t="shared" si="1"/>
        <v>50</v>
      </c>
      <c r="G36" t="s">
        <v>578</v>
      </c>
      <c r="H36" t="s">
        <v>575</v>
      </c>
      <c r="I36" s="83">
        <v>600</v>
      </c>
      <c r="J36" s="82">
        <v>73284</v>
      </c>
    </row>
    <row r="37" spans="1:10" x14ac:dyDescent="0.25">
      <c r="A37" t="s">
        <v>100</v>
      </c>
      <c r="B37" s="81">
        <v>252</v>
      </c>
      <c r="C37">
        <v>1200</v>
      </c>
      <c r="D37">
        <v>140</v>
      </c>
      <c r="E37" s="82">
        <v>30</v>
      </c>
      <c r="F37" s="3">
        <f t="shared" si="1"/>
        <v>50</v>
      </c>
      <c r="G37" t="s">
        <v>578</v>
      </c>
      <c r="H37" t="s">
        <v>575</v>
      </c>
      <c r="I37" s="83">
        <v>450</v>
      </c>
      <c r="J37" s="82">
        <v>92287</v>
      </c>
    </row>
    <row r="38" spans="1:10" x14ac:dyDescent="0.25">
      <c r="A38" t="s">
        <v>101</v>
      </c>
      <c r="B38" s="81">
        <v>252</v>
      </c>
      <c r="C38">
        <v>1200</v>
      </c>
      <c r="D38">
        <v>140</v>
      </c>
      <c r="E38" s="82">
        <v>30</v>
      </c>
      <c r="F38" s="3">
        <f t="shared" si="1"/>
        <v>50</v>
      </c>
      <c r="G38" t="s">
        <v>578</v>
      </c>
      <c r="H38" t="s">
        <v>575</v>
      </c>
      <c r="I38" s="83">
        <v>450</v>
      </c>
      <c r="J38" s="82">
        <v>76618</v>
      </c>
    </row>
    <row r="39" spans="1:10" x14ac:dyDescent="0.25">
      <c r="A39" t="s">
        <v>102</v>
      </c>
      <c r="B39" s="81">
        <v>252</v>
      </c>
      <c r="C39">
        <v>1200</v>
      </c>
      <c r="D39">
        <v>140</v>
      </c>
      <c r="E39" s="82">
        <v>30</v>
      </c>
      <c r="F39" s="3">
        <f t="shared" si="1"/>
        <v>50</v>
      </c>
      <c r="G39" t="s">
        <v>578</v>
      </c>
      <c r="H39" t="s">
        <v>575</v>
      </c>
      <c r="I39" s="83">
        <v>600</v>
      </c>
      <c r="J39" s="82">
        <v>55098</v>
      </c>
    </row>
    <row r="40" spans="1:10" x14ac:dyDescent="0.25">
      <c r="A40" t="s">
        <v>106</v>
      </c>
      <c r="B40" s="81">
        <v>252</v>
      </c>
      <c r="C40">
        <v>1200</v>
      </c>
      <c r="D40">
        <v>140</v>
      </c>
      <c r="E40" s="82">
        <v>30</v>
      </c>
      <c r="F40" s="3">
        <f t="shared" si="1"/>
        <v>50</v>
      </c>
      <c r="G40" t="s">
        <v>578</v>
      </c>
      <c r="H40" t="s">
        <v>575</v>
      </c>
      <c r="I40" s="83">
        <v>600</v>
      </c>
      <c r="J40" s="82">
        <v>29035</v>
      </c>
    </row>
    <row r="41" spans="1:10" x14ac:dyDescent="0.25">
      <c r="A41" t="s">
        <v>110</v>
      </c>
      <c r="B41" s="81">
        <v>224</v>
      </c>
      <c r="C41">
        <v>1200</v>
      </c>
      <c r="D41">
        <v>140</v>
      </c>
      <c r="E41" s="82">
        <v>30</v>
      </c>
      <c r="F41" s="3">
        <f t="shared" si="1"/>
        <v>44.444444444444443</v>
      </c>
      <c r="G41" t="s">
        <v>578</v>
      </c>
      <c r="H41" t="s">
        <v>575</v>
      </c>
      <c r="I41" s="83">
        <v>450</v>
      </c>
      <c r="J41" s="82">
        <v>75479</v>
      </c>
    </row>
    <row r="42" spans="1:10" x14ac:dyDescent="0.25">
      <c r="A42" t="s">
        <v>111</v>
      </c>
      <c r="B42" s="81">
        <v>224</v>
      </c>
      <c r="C42">
        <v>1200</v>
      </c>
      <c r="D42">
        <v>140</v>
      </c>
      <c r="E42" s="82">
        <v>30</v>
      </c>
      <c r="F42" s="3">
        <f t="shared" si="1"/>
        <v>44.444444444444443</v>
      </c>
      <c r="G42" t="s">
        <v>578</v>
      </c>
      <c r="H42" t="s">
        <v>575</v>
      </c>
      <c r="I42" s="83">
        <v>500</v>
      </c>
      <c r="J42" s="82">
        <v>51337</v>
      </c>
    </row>
    <row r="43" spans="1:10" x14ac:dyDescent="0.25">
      <c r="A43" t="s">
        <v>112</v>
      </c>
      <c r="B43" s="81">
        <v>224</v>
      </c>
      <c r="C43">
        <v>1200</v>
      </c>
      <c r="D43">
        <v>140</v>
      </c>
      <c r="E43" s="82">
        <v>30</v>
      </c>
      <c r="F43" s="3">
        <f t="shared" si="1"/>
        <v>44.444444444444443</v>
      </c>
      <c r="G43" t="s">
        <v>578</v>
      </c>
      <c r="H43" t="s">
        <v>575</v>
      </c>
      <c r="I43" s="83">
        <v>600</v>
      </c>
      <c r="J43" s="82">
        <v>14605</v>
      </c>
    </row>
    <row r="44" spans="1:10" x14ac:dyDescent="0.25">
      <c r="A44" t="s">
        <v>113</v>
      </c>
      <c r="B44" s="81">
        <v>224</v>
      </c>
      <c r="C44">
        <v>1200</v>
      </c>
      <c r="D44">
        <v>140</v>
      </c>
      <c r="E44" s="82">
        <v>30</v>
      </c>
      <c r="F44" s="3">
        <f t="shared" si="1"/>
        <v>44.444444444444443</v>
      </c>
      <c r="G44" t="s">
        <v>578</v>
      </c>
      <c r="H44" t="s">
        <v>575</v>
      </c>
      <c r="I44" s="83">
        <v>450</v>
      </c>
      <c r="J44" s="82">
        <v>66984</v>
      </c>
    </row>
    <row r="45" spans="1:10" x14ac:dyDescent="0.25">
      <c r="A45" t="s">
        <v>119</v>
      </c>
      <c r="B45" s="81">
        <v>224</v>
      </c>
      <c r="C45">
        <v>1200</v>
      </c>
      <c r="D45">
        <v>140</v>
      </c>
      <c r="E45" s="82">
        <v>30</v>
      </c>
      <c r="F45" s="3">
        <f t="shared" si="1"/>
        <v>44.444444444444443</v>
      </c>
      <c r="G45" t="s">
        <v>578</v>
      </c>
      <c r="H45" t="s">
        <v>575</v>
      </c>
      <c r="I45" s="83">
        <v>500</v>
      </c>
      <c r="J45" s="82">
        <v>29475</v>
      </c>
    </row>
    <row r="46" spans="1:10" x14ac:dyDescent="0.25">
      <c r="A46" t="s">
        <v>121</v>
      </c>
      <c r="B46" s="81">
        <v>224</v>
      </c>
      <c r="C46">
        <v>1200</v>
      </c>
      <c r="D46">
        <v>140</v>
      </c>
      <c r="E46" s="82">
        <v>30</v>
      </c>
      <c r="F46" s="3">
        <f t="shared" si="1"/>
        <v>44.444444444444443</v>
      </c>
      <c r="G46" t="s">
        <v>578</v>
      </c>
      <c r="H46" t="s">
        <v>575</v>
      </c>
      <c r="I46" s="83">
        <v>600</v>
      </c>
      <c r="J46" s="82">
        <v>22154</v>
      </c>
    </row>
    <row r="47" spans="1:10" x14ac:dyDescent="0.25">
      <c r="A47" t="s">
        <v>123</v>
      </c>
      <c r="B47" s="81">
        <v>224</v>
      </c>
      <c r="C47">
        <v>1200</v>
      </c>
      <c r="D47">
        <v>140</v>
      </c>
      <c r="E47" s="82">
        <v>30</v>
      </c>
      <c r="F47" s="3">
        <f t="shared" si="1"/>
        <v>44.444444444444443</v>
      </c>
      <c r="G47" t="s">
        <v>578</v>
      </c>
      <c r="H47" t="s">
        <v>575</v>
      </c>
      <c r="I47" s="83">
        <v>600</v>
      </c>
      <c r="J47" s="82">
        <v>18769</v>
      </c>
    </row>
    <row r="48" spans="1:10" x14ac:dyDescent="0.25">
      <c r="A48" t="s">
        <v>126</v>
      </c>
      <c r="B48" s="81">
        <v>280</v>
      </c>
      <c r="C48">
        <v>1200</v>
      </c>
      <c r="D48">
        <v>168</v>
      </c>
      <c r="E48" s="82">
        <v>30</v>
      </c>
      <c r="F48" s="3">
        <f t="shared" si="1"/>
        <v>46.296296296296298</v>
      </c>
      <c r="G48" t="s">
        <v>578</v>
      </c>
      <c r="H48" t="s">
        <v>575</v>
      </c>
      <c r="I48" s="83">
        <v>500</v>
      </c>
      <c r="J48" s="82">
        <v>358390</v>
      </c>
    </row>
    <row r="49" spans="1:10" x14ac:dyDescent="0.25">
      <c r="A49" t="s">
        <v>127</v>
      </c>
      <c r="B49" s="81">
        <v>280</v>
      </c>
      <c r="C49">
        <v>1200</v>
      </c>
      <c r="D49">
        <v>168</v>
      </c>
      <c r="E49" s="82">
        <v>30</v>
      </c>
      <c r="F49" s="3">
        <f t="shared" si="1"/>
        <v>46.296296296296298</v>
      </c>
      <c r="G49" t="s">
        <v>578</v>
      </c>
      <c r="H49" t="s">
        <v>575</v>
      </c>
      <c r="I49" s="83">
        <v>600</v>
      </c>
      <c r="J49" s="82">
        <v>42567</v>
      </c>
    </row>
    <row r="50" spans="1:10" x14ac:dyDescent="0.25">
      <c r="A50" t="s">
        <v>132</v>
      </c>
      <c r="B50" s="81">
        <v>280</v>
      </c>
      <c r="C50">
        <v>1200</v>
      </c>
      <c r="D50">
        <v>168</v>
      </c>
      <c r="E50" s="82">
        <v>30</v>
      </c>
      <c r="F50" s="3">
        <f t="shared" si="1"/>
        <v>46.296296296296298</v>
      </c>
      <c r="G50" t="s">
        <v>578</v>
      </c>
      <c r="H50" t="s">
        <v>575</v>
      </c>
      <c r="I50" s="83">
        <v>450</v>
      </c>
      <c r="J50" s="82">
        <v>67423</v>
      </c>
    </row>
    <row r="51" spans="1:10" x14ac:dyDescent="0.25">
      <c r="A51" t="s">
        <v>133</v>
      </c>
      <c r="B51" s="81">
        <v>280</v>
      </c>
      <c r="C51">
        <v>1200</v>
      </c>
      <c r="D51">
        <v>168</v>
      </c>
      <c r="E51" s="82">
        <v>30</v>
      </c>
      <c r="F51" s="3">
        <f t="shared" si="1"/>
        <v>46.296296296296298</v>
      </c>
      <c r="G51" t="s">
        <v>578</v>
      </c>
      <c r="H51" t="s">
        <v>575</v>
      </c>
      <c r="I51" s="83">
        <v>600</v>
      </c>
      <c r="J51" s="82">
        <v>16296</v>
      </c>
    </row>
    <row r="52" spans="1:10" x14ac:dyDescent="0.25">
      <c r="A52" t="s">
        <v>134</v>
      </c>
      <c r="B52" s="81">
        <v>280</v>
      </c>
      <c r="C52">
        <v>1200</v>
      </c>
      <c r="D52">
        <v>168</v>
      </c>
      <c r="E52" s="82">
        <v>30</v>
      </c>
      <c r="F52" s="3">
        <f t="shared" si="1"/>
        <v>46.296296296296298</v>
      </c>
      <c r="G52" t="s">
        <v>578</v>
      </c>
      <c r="H52" t="s">
        <v>575</v>
      </c>
      <c r="I52" s="83">
        <v>600</v>
      </c>
      <c r="J52" s="82">
        <v>15280</v>
      </c>
    </row>
    <row r="53" spans="1:10" x14ac:dyDescent="0.25">
      <c r="A53" t="s">
        <v>136</v>
      </c>
      <c r="B53" s="81">
        <v>280</v>
      </c>
      <c r="C53">
        <v>1200</v>
      </c>
      <c r="D53">
        <v>168</v>
      </c>
      <c r="E53" s="82">
        <v>30</v>
      </c>
      <c r="F53" s="3">
        <f t="shared" si="1"/>
        <v>46.296296296296298</v>
      </c>
      <c r="G53" t="s">
        <v>578</v>
      </c>
      <c r="H53" t="s">
        <v>575</v>
      </c>
      <c r="I53" s="83">
        <v>500</v>
      </c>
      <c r="J53" s="82">
        <v>34633</v>
      </c>
    </row>
    <row r="54" spans="1:10" x14ac:dyDescent="0.25">
      <c r="A54" t="s">
        <v>198</v>
      </c>
      <c r="B54" s="81">
        <v>280</v>
      </c>
      <c r="C54">
        <v>1200</v>
      </c>
      <c r="D54">
        <v>168</v>
      </c>
      <c r="E54" s="82">
        <v>30</v>
      </c>
      <c r="F54" s="3">
        <f t="shared" si="1"/>
        <v>46.296296296296298</v>
      </c>
      <c r="G54" t="s">
        <v>578</v>
      </c>
      <c r="H54" t="s">
        <v>575</v>
      </c>
      <c r="I54" s="83">
        <v>450</v>
      </c>
      <c r="J54" s="82">
        <v>40140</v>
      </c>
    </row>
    <row r="55" spans="1:10" x14ac:dyDescent="0.25">
      <c r="A55" t="s">
        <v>201</v>
      </c>
      <c r="B55" s="81">
        <v>280</v>
      </c>
      <c r="C55">
        <v>1200</v>
      </c>
      <c r="D55">
        <v>168</v>
      </c>
      <c r="E55" s="82">
        <v>30</v>
      </c>
      <c r="F55" s="3">
        <f t="shared" si="1"/>
        <v>46.296296296296298</v>
      </c>
      <c r="G55" t="s">
        <v>578</v>
      </c>
      <c r="H55" t="s">
        <v>575</v>
      </c>
      <c r="I55" s="83">
        <v>450</v>
      </c>
      <c r="J55" s="82">
        <v>59200</v>
      </c>
    </row>
    <row r="56" spans="1:10" x14ac:dyDescent="0.25">
      <c r="A56" t="s">
        <v>205</v>
      </c>
      <c r="B56" s="81">
        <v>280</v>
      </c>
      <c r="C56">
        <v>1200</v>
      </c>
      <c r="D56">
        <v>168</v>
      </c>
      <c r="E56" s="82">
        <v>30</v>
      </c>
      <c r="F56" s="3">
        <f t="shared" si="1"/>
        <v>46.296296296296298</v>
      </c>
      <c r="G56" t="s">
        <v>578</v>
      </c>
      <c r="H56" t="s">
        <v>575</v>
      </c>
      <c r="I56" s="83">
        <v>600</v>
      </c>
      <c r="J56" s="82">
        <v>15254</v>
      </c>
    </row>
    <row r="57" spans="1:10" x14ac:dyDescent="0.25">
      <c r="A57" t="s">
        <v>206</v>
      </c>
      <c r="B57" s="81">
        <v>280</v>
      </c>
      <c r="C57">
        <v>1200</v>
      </c>
      <c r="D57">
        <v>168</v>
      </c>
      <c r="E57" s="82">
        <v>30</v>
      </c>
      <c r="F57" s="3">
        <f t="shared" si="1"/>
        <v>46.296296296296298</v>
      </c>
      <c r="G57" t="s">
        <v>578</v>
      </c>
      <c r="H57" t="s">
        <v>575</v>
      </c>
      <c r="I57" s="83">
        <v>600</v>
      </c>
      <c r="J57" s="82">
        <v>10294</v>
      </c>
    </row>
    <row r="58" spans="1:10" x14ac:dyDescent="0.25">
      <c r="A58" t="s">
        <v>209</v>
      </c>
      <c r="B58" s="81">
        <v>280</v>
      </c>
      <c r="C58">
        <v>1200</v>
      </c>
      <c r="D58">
        <v>168</v>
      </c>
      <c r="E58" s="82">
        <v>30</v>
      </c>
      <c r="F58" s="3">
        <f t="shared" si="1"/>
        <v>46.296296296296298</v>
      </c>
      <c r="G58" t="s">
        <v>578</v>
      </c>
      <c r="H58" t="s">
        <v>575</v>
      </c>
      <c r="I58" s="83">
        <v>600</v>
      </c>
      <c r="J58" s="82">
        <v>17240</v>
      </c>
    </row>
    <row r="59" spans="1:10" x14ac:dyDescent="0.25">
      <c r="A59" t="s">
        <v>210</v>
      </c>
      <c r="B59" s="81">
        <v>280</v>
      </c>
      <c r="C59">
        <v>1200</v>
      </c>
      <c r="D59">
        <v>168</v>
      </c>
      <c r="E59" s="82">
        <v>30</v>
      </c>
      <c r="F59" s="3">
        <f t="shared" si="1"/>
        <v>46.296296296296298</v>
      </c>
      <c r="G59" t="s">
        <v>578</v>
      </c>
      <c r="H59" t="s">
        <v>575</v>
      </c>
      <c r="I59" s="83">
        <v>500</v>
      </c>
      <c r="J59" s="82">
        <v>28412</v>
      </c>
    </row>
    <row r="60" spans="1:10" x14ac:dyDescent="0.25">
      <c r="A60" t="s">
        <v>213</v>
      </c>
      <c r="B60" s="81">
        <v>280</v>
      </c>
      <c r="C60">
        <v>1200</v>
      </c>
      <c r="D60">
        <v>168</v>
      </c>
      <c r="E60" s="82">
        <v>30</v>
      </c>
      <c r="F60" s="3">
        <f t="shared" si="1"/>
        <v>46.296296296296298</v>
      </c>
      <c r="G60" t="s">
        <v>578</v>
      </c>
      <c r="H60" t="s">
        <v>575</v>
      </c>
      <c r="I60" s="83">
        <v>500</v>
      </c>
      <c r="J60" s="82">
        <v>45496</v>
      </c>
    </row>
    <row r="61" spans="1:10" x14ac:dyDescent="0.25">
      <c r="A61" t="s">
        <v>259</v>
      </c>
      <c r="B61" s="81">
        <v>224</v>
      </c>
      <c r="C61">
        <v>1200</v>
      </c>
      <c r="D61">
        <v>140</v>
      </c>
      <c r="E61" s="82">
        <v>30</v>
      </c>
      <c r="F61" s="3">
        <f t="shared" si="1"/>
        <v>44.444444444444443</v>
      </c>
      <c r="G61" t="s">
        <v>578</v>
      </c>
      <c r="H61" t="s">
        <v>575</v>
      </c>
      <c r="I61" s="83">
        <v>500</v>
      </c>
      <c r="J61" s="82">
        <v>410147</v>
      </c>
    </row>
    <row r="62" spans="1:10" x14ac:dyDescent="0.25">
      <c r="A62" t="s">
        <v>261</v>
      </c>
      <c r="B62" s="81">
        <v>224</v>
      </c>
      <c r="C62">
        <v>1200</v>
      </c>
      <c r="D62">
        <v>140</v>
      </c>
      <c r="E62" s="82">
        <v>30</v>
      </c>
      <c r="F62" s="3">
        <f t="shared" si="1"/>
        <v>44.444444444444443</v>
      </c>
      <c r="G62" t="s">
        <v>578</v>
      </c>
      <c r="H62" t="s">
        <v>575</v>
      </c>
      <c r="I62" s="83">
        <v>450</v>
      </c>
      <c r="J62" s="82">
        <v>1672166</v>
      </c>
    </row>
    <row r="63" spans="1:10" x14ac:dyDescent="0.25">
      <c r="A63" t="s">
        <v>262</v>
      </c>
      <c r="B63" s="81">
        <v>224</v>
      </c>
      <c r="C63">
        <v>1200</v>
      </c>
      <c r="D63">
        <v>140</v>
      </c>
      <c r="E63" s="82">
        <v>30</v>
      </c>
      <c r="F63" s="3">
        <f t="shared" si="1"/>
        <v>44.444444444444443</v>
      </c>
      <c r="G63" t="s">
        <v>578</v>
      </c>
      <c r="H63" t="s">
        <v>575</v>
      </c>
      <c r="I63" s="83">
        <v>600</v>
      </c>
      <c r="J63" s="82">
        <v>24219</v>
      </c>
    </row>
    <row r="64" spans="1:10" x14ac:dyDescent="0.25">
      <c r="A64" t="s">
        <v>265</v>
      </c>
      <c r="B64" s="81">
        <v>224</v>
      </c>
      <c r="C64">
        <v>1200</v>
      </c>
      <c r="D64">
        <v>140</v>
      </c>
      <c r="E64" s="82">
        <v>30</v>
      </c>
      <c r="F64" s="3">
        <f t="shared" si="1"/>
        <v>44.444444444444443</v>
      </c>
      <c r="G64" t="s">
        <v>578</v>
      </c>
      <c r="H64" t="s">
        <v>575</v>
      </c>
      <c r="I64" s="83">
        <v>600</v>
      </c>
      <c r="J64" s="82">
        <v>50070</v>
      </c>
    </row>
    <row r="65" spans="1:10" x14ac:dyDescent="0.25">
      <c r="A65" t="s">
        <v>278</v>
      </c>
      <c r="B65" s="81">
        <v>280</v>
      </c>
      <c r="C65">
        <v>1200</v>
      </c>
      <c r="D65">
        <v>168</v>
      </c>
      <c r="E65" s="82">
        <v>30</v>
      </c>
      <c r="F65" s="3">
        <f t="shared" si="1"/>
        <v>46.296296296296298</v>
      </c>
      <c r="G65" t="s">
        <v>578</v>
      </c>
      <c r="H65" t="s">
        <v>575</v>
      </c>
      <c r="I65" s="83">
        <v>500</v>
      </c>
      <c r="J65" s="82">
        <v>448264</v>
      </c>
    </row>
    <row r="66" spans="1:10" x14ac:dyDescent="0.25">
      <c r="A66" t="s">
        <v>280</v>
      </c>
      <c r="B66" s="81">
        <v>280</v>
      </c>
      <c r="C66">
        <v>1200</v>
      </c>
      <c r="D66">
        <v>168</v>
      </c>
      <c r="E66" s="82">
        <v>30</v>
      </c>
      <c r="F66" s="3">
        <f t="shared" si="1"/>
        <v>46.296296296296298</v>
      </c>
      <c r="G66" t="s">
        <v>578</v>
      </c>
      <c r="H66" t="s">
        <v>575</v>
      </c>
      <c r="I66" s="83">
        <v>600</v>
      </c>
      <c r="J66" s="82">
        <v>97697</v>
      </c>
    </row>
    <row r="67" spans="1:10" x14ac:dyDescent="0.25">
      <c r="A67" t="s">
        <v>346</v>
      </c>
      <c r="B67" s="81">
        <v>291.2</v>
      </c>
      <c r="C67">
        <v>1300</v>
      </c>
      <c r="D67">
        <v>117.12</v>
      </c>
      <c r="E67" s="82">
        <v>40</v>
      </c>
      <c r="F67" s="3">
        <f t="shared" si="1"/>
        <v>47.814207650273225</v>
      </c>
      <c r="G67" t="s">
        <v>578</v>
      </c>
      <c r="H67" t="s">
        <v>575</v>
      </c>
      <c r="I67" s="83">
        <v>500</v>
      </c>
      <c r="J67" s="82">
        <v>120248</v>
      </c>
    </row>
    <row r="68" spans="1:10" x14ac:dyDescent="0.25">
      <c r="A68" t="s">
        <v>348</v>
      </c>
      <c r="B68" s="81">
        <v>291.2</v>
      </c>
      <c r="C68">
        <v>1300</v>
      </c>
      <c r="D68">
        <v>117.12</v>
      </c>
      <c r="E68" s="82">
        <v>40</v>
      </c>
      <c r="F68" s="3">
        <f t="shared" si="1"/>
        <v>47.814207650273225</v>
      </c>
      <c r="G68" t="s">
        <v>578</v>
      </c>
      <c r="H68" t="s">
        <v>575</v>
      </c>
      <c r="I68" s="83">
        <v>600</v>
      </c>
      <c r="J68" s="82">
        <v>145890</v>
      </c>
    </row>
    <row r="69" spans="1:10" x14ac:dyDescent="0.25">
      <c r="A69" t="s">
        <v>349</v>
      </c>
      <c r="B69" s="81">
        <v>291.2</v>
      </c>
      <c r="C69">
        <v>1300</v>
      </c>
      <c r="D69">
        <v>117.12</v>
      </c>
      <c r="E69" s="82">
        <v>40</v>
      </c>
      <c r="F69" s="3">
        <f t="shared" si="1"/>
        <v>47.814207650273225</v>
      </c>
      <c r="G69" t="s">
        <v>578</v>
      </c>
      <c r="H69" t="s">
        <v>575</v>
      </c>
      <c r="I69" s="83">
        <v>700</v>
      </c>
      <c r="J69" s="82">
        <v>81706</v>
      </c>
    </row>
    <row r="70" spans="1:10" x14ac:dyDescent="0.25">
      <c r="A70" t="s">
        <v>350</v>
      </c>
      <c r="B70" s="81">
        <v>291.2</v>
      </c>
      <c r="C70">
        <v>1300</v>
      </c>
      <c r="D70">
        <v>117.12</v>
      </c>
      <c r="E70" s="82">
        <v>40</v>
      </c>
      <c r="F70" s="3">
        <f t="shared" si="1"/>
        <v>47.814207650273225</v>
      </c>
      <c r="G70" t="s">
        <v>578</v>
      </c>
      <c r="H70" t="s">
        <v>575</v>
      </c>
      <c r="I70" s="83">
        <v>700</v>
      </c>
      <c r="J70" s="82">
        <v>53815</v>
      </c>
    </row>
    <row r="71" spans="1:10" x14ac:dyDescent="0.25">
      <c r="A71" t="s">
        <v>351</v>
      </c>
      <c r="B71" s="81">
        <v>291.2</v>
      </c>
      <c r="C71">
        <v>1300</v>
      </c>
      <c r="D71">
        <v>117.12</v>
      </c>
      <c r="E71" s="82">
        <v>40</v>
      </c>
      <c r="F71" s="3">
        <f t="shared" si="1"/>
        <v>47.814207650273225</v>
      </c>
      <c r="G71" t="s">
        <v>578</v>
      </c>
      <c r="H71" t="s">
        <v>575</v>
      </c>
      <c r="I71" s="83">
        <v>600</v>
      </c>
      <c r="J71" s="82">
        <v>136435</v>
      </c>
    </row>
    <row r="72" spans="1:10" x14ac:dyDescent="0.25">
      <c r="A72" t="s">
        <v>352</v>
      </c>
      <c r="B72" s="81">
        <v>291.2</v>
      </c>
      <c r="C72">
        <v>1300</v>
      </c>
      <c r="D72">
        <v>117.12</v>
      </c>
      <c r="E72" s="82">
        <v>40</v>
      </c>
      <c r="F72" s="3">
        <f t="shared" si="1"/>
        <v>47.814207650273225</v>
      </c>
      <c r="G72" t="s">
        <v>578</v>
      </c>
      <c r="H72" t="s">
        <v>575</v>
      </c>
      <c r="I72" s="83">
        <v>500</v>
      </c>
      <c r="J72" s="82">
        <v>2085371</v>
      </c>
    </row>
    <row r="73" spans="1:10" x14ac:dyDescent="0.25">
      <c r="A73" t="s">
        <v>353</v>
      </c>
      <c r="B73" s="81">
        <v>291.2</v>
      </c>
      <c r="C73">
        <v>1300</v>
      </c>
      <c r="D73">
        <v>117.12</v>
      </c>
      <c r="E73" s="82">
        <v>40</v>
      </c>
      <c r="F73" s="3">
        <f t="shared" si="1"/>
        <v>47.814207650273225</v>
      </c>
      <c r="G73" t="s">
        <v>578</v>
      </c>
      <c r="H73" t="s">
        <v>575</v>
      </c>
      <c r="I73" s="83">
        <v>600</v>
      </c>
      <c r="J73" s="82">
        <v>426998</v>
      </c>
    </row>
    <row r="74" spans="1:10" x14ac:dyDescent="0.25">
      <c r="A74" t="s">
        <v>354</v>
      </c>
      <c r="B74" s="81">
        <v>291.2</v>
      </c>
      <c r="C74">
        <v>1300</v>
      </c>
      <c r="D74">
        <v>117.12</v>
      </c>
      <c r="E74" s="82">
        <v>40</v>
      </c>
      <c r="F74" s="3">
        <f t="shared" si="1"/>
        <v>47.814207650273225</v>
      </c>
      <c r="G74" t="s">
        <v>578</v>
      </c>
      <c r="H74" t="s">
        <v>575</v>
      </c>
      <c r="I74" s="83">
        <v>700</v>
      </c>
      <c r="J74" s="82">
        <v>211822</v>
      </c>
    </row>
    <row r="75" spans="1:10" x14ac:dyDescent="0.25">
      <c r="A75" t="s">
        <v>355</v>
      </c>
      <c r="B75" s="81">
        <v>291.2</v>
      </c>
      <c r="C75">
        <v>1300</v>
      </c>
      <c r="D75">
        <v>117.12</v>
      </c>
      <c r="E75" s="82">
        <v>40</v>
      </c>
      <c r="F75" s="3">
        <f t="shared" si="1"/>
        <v>47.814207650273225</v>
      </c>
      <c r="G75" t="s">
        <v>578</v>
      </c>
      <c r="H75" t="s">
        <v>575</v>
      </c>
      <c r="I75" s="83">
        <v>600</v>
      </c>
      <c r="J75" s="82">
        <v>1005499</v>
      </c>
    </row>
    <row r="76" spans="1:10" x14ac:dyDescent="0.25">
      <c r="A76" t="s">
        <v>356</v>
      </c>
      <c r="B76" s="81">
        <v>291.2</v>
      </c>
      <c r="C76">
        <v>1300</v>
      </c>
      <c r="D76">
        <v>117.12</v>
      </c>
      <c r="E76" s="82">
        <v>40</v>
      </c>
      <c r="F76" s="3">
        <f t="shared" si="1"/>
        <v>47.814207650273225</v>
      </c>
      <c r="G76" t="s">
        <v>578</v>
      </c>
      <c r="H76" t="s">
        <v>575</v>
      </c>
      <c r="I76" s="83">
        <v>500</v>
      </c>
      <c r="J76" s="82">
        <v>3458151</v>
      </c>
    </row>
    <row r="77" spans="1:10" x14ac:dyDescent="0.25">
      <c r="A77" t="s">
        <v>357</v>
      </c>
      <c r="B77" s="81">
        <v>291.2</v>
      </c>
      <c r="C77">
        <v>1300</v>
      </c>
      <c r="D77">
        <v>117.12</v>
      </c>
      <c r="E77" s="82">
        <v>40</v>
      </c>
      <c r="F77" s="3">
        <f t="shared" si="1"/>
        <v>47.814207650273225</v>
      </c>
      <c r="G77" t="s">
        <v>578</v>
      </c>
      <c r="H77" t="s">
        <v>575</v>
      </c>
      <c r="I77" s="83">
        <v>700</v>
      </c>
      <c r="J77" s="82">
        <v>89272</v>
      </c>
    </row>
    <row r="78" spans="1:10" x14ac:dyDescent="0.25">
      <c r="A78" t="s">
        <v>358</v>
      </c>
      <c r="B78" s="81">
        <v>291.2</v>
      </c>
      <c r="C78">
        <v>1300</v>
      </c>
      <c r="D78">
        <v>117.12</v>
      </c>
      <c r="E78" s="82">
        <v>40</v>
      </c>
      <c r="F78" s="3">
        <f t="shared" si="1"/>
        <v>47.814207650273225</v>
      </c>
      <c r="G78" t="s">
        <v>578</v>
      </c>
      <c r="H78" t="s">
        <v>575</v>
      </c>
      <c r="I78" s="83">
        <v>500</v>
      </c>
      <c r="J78" s="82">
        <v>1828716</v>
      </c>
    </row>
    <row r="79" spans="1:10" x14ac:dyDescent="0.25">
      <c r="A79" t="s">
        <v>359</v>
      </c>
      <c r="B79" s="81">
        <v>291.2</v>
      </c>
      <c r="C79">
        <v>1300</v>
      </c>
      <c r="D79">
        <v>117.12</v>
      </c>
      <c r="E79" s="82">
        <v>40</v>
      </c>
      <c r="F79" s="3">
        <f t="shared" si="1"/>
        <v>47.814207650273225</v>
      </c>
      <c r="G79" t="s">
        <v>578</v>
      </c>
      <c r="H79" t="s">
        <v>575</v>
      </c>
      <c r="I79" s="83">
        <v>600</v>
      </c>
      <c r="J79" s="82">
        <v>335783</v>
      </c>
    </row>
    <row r="80" spans="1:10" x14ac:dyDescent="0.25">
      <c r="A80" t="s">
        <v>361</v>
      </c>
      <c r="B80" s="81">
        <v>291.2</v>
      </c>
      <c r="C80">
        <v>1300</v>
      </c>
      <c r="D80">
        <v>117.12</v>
      </c>
      <c r="E80" s="82">
        <v>40</v>
      </c>
      <c r="F80" s="3">
        <f t="shared" ref="F80:F143" si="2">1000000* B80/(C80*D80*E80)</f>
        <v>47.814207650273225</v>
      </c>
      <c r="G80" t="s">
        <v>578</v>
      </c>
      <c r="H80" t="s">
        <v>575</v>
      </c>
      <c r="I80" s="83">
        <v>700</v>
      </c>
      <c r="J80" s="82">
        <v>58591</v>
      </c>
    </row>
    <row r="81" spans="1:10" x14ac:dyDescent="0.25">
      <c r="A81" t="s">
        <v>363</v>
      </c>
      <c r="B81" s="81">
        <v>291.2</v>
      </c>
      <c r="C81">
        <v>1300</v>
      </c>
      <c r="D81">
        <v>120</v>
      </c>
      <c r="E81" s="82">
        <v>40</v>
      </c>
      <c r="F81" s="3">
        <f t="shared" si="2"/>
        <v>46.666666666666664</v>
      </c>
      <c r="G81" t="s">
        <v>578</v>
      </c>
      <c r="H81" t="s">
        <v>575</v>
      </c>
      <c r="I81" s="83">
        <v>500</v>
      </c>
      <c r="J81" s="82">
        <v>1034008</v>
      </c>
    </row>
    <row r="82" spans="1:10" x14ac:dyDescent="0.25">
      <c r="A82" t="s">
        <v>364</v>
      </c>
      <c r="B82" s="81">
        <v>291.2</v>
      </c>
      <c r="C82">
        <v>1300</v>
      </c>
      <c r="D82">
        <v>120</v>
      </c>
      <c r="E82" s="82">
        <v>40</v>
      </c>
      <c r="F82" s="3">
        <f t="shared" si="2"/>
        <v>46.666666666666664</v>
      </c>
      <c r="G82" t="s">
        <v>578</v>
      </c>
      <c r="H82" t="s">
        <v>575</v>
      </c>
      <c r="I82" s="83">
        <v>600</v>
      </c>
      <c r="J82" s="82">
        <v>139347</v>
      </c>
    </row>
    <row r="83" spans="1:10" x14ac:dyDescent="0.25">
      <c r="A83" t="s">
        <v>365</v>
      </c>
      <c r="B83" s="81">
        <v>291.2</v>
      </c>
      <c r="C83">
        <v>1300</v>
      </c>
      <c r="D83">
        <v>120</v>
      </c>
      <c r="E83" s="82">
        <v>40</v>
      </c>
      <c r="F83" s="3">
        <f t="shared" si="2"/>
        <v>46.666666666666664</v>
      </c>
      <c r="G83" t="s">
        <v>578</v>
      </c>
      <c r="H83" t="s">
        <v>575</v>
      </c>
      <c r="I83" s="83">
        <v>700</v>
      </c>
      <c r="J83" s="82">
        <v>87571</v>
      </c>
    </row>
    <row r="84" spans="1:10" x14ac:dyDescent="0.25">
      <c r="A84" t="s">
        <v>366</v>
      </c>
      <c r="B84" s="81">
        <v>291.2</v>
      </c>
      <c r="C84">
        <v>1300</v>
      </c>
      <c r="D84">
        <v>120</v>
      </c>
      <c r="E84" s="82">
        <v>40</v>
      </c>
      <c r="F84" s="3">
        <f t="shared" si="2"/>
        <v>46.666666666666664</v>
      </c>
      <c r="G84" t="s">
        <v>578</v>
      </c>
      <c r="H84" t="s">
        <v>575</v>
      </c>
      <c r="I84" s="83">
        <v>700</v>
      </c>
      <c r="J84" s="82">
        <v>105518</v>
      </c>
    </row>
    <row r="85" spans="1:10" x14ac:dyDescent="0.25">
      <c r="A85" t="s">
        <v>368</v>
      </c>
      <c r="B85" s="81">
        <v>291.2</v>
      </c>
      <c r="C85">
        <v>1300</v>
      </c>
      <c r="D85">
        <v>120</v>
      </c>
      <c r="E85" s="82">
        <v>40</v>
      </c>
      <c r="F85" s="3">
        <f t="shared" si="2"/>
        <v>46.666666666666664</v>
      </c>
      <c r="G85" t="s">
        <v>578</v>
      </c>
      <c r="H85" t="s">
        <v>575</v>
      </c>
      <c r="I85" s="83">
        <v>700</v>
      </c>
      <c r="J85" s="82">
        <v>44786</v>
      </c>
    </row>
    <row r="86" spans="1:10" x14ac:dyDescent="0.25">
      <c r="A86" t="s">
        <v>370</v>
      </c>
      <c r="B86" s="81">
        <v>291.2</v>
      </c>
      <c r="C86">
        <v>1300</v>
      </c>
      <c r="D86">
        <v>120</v>
      </c>
      <c r="E86" s="82">
        <v>40</v>
      </c>
      <c r="F86" s="3">
        <f t="shared" si="2"/>
        <v>46.666666666666664</v>
      </c>
      <c r="G86" t="s">
        <v>578</v>
      </c>
      <c r="H86" t="s">
        <v>575</v>
      </c>
      <c r="I86" s="83">
        <v>500</v>
      </c>
      <c r="J86" s="82">
        <v>1055218</v>
      </c>
    </row>
    <row r="87" spans="1:10" x14ac:dyDescent="0.25">
      <c r="A87" t="s">
        <v>371</v>
      </c>
      <c r="B87" s="81">
        <v>291.2</v>
      </c>
      <c r="C87">
        <v>1300</v>
      </c>
      <c r="D87">
        <v>120</v>
      </c>
      <c r="E87" s="82">
        <v>40</v>
      </c>
      <c r="F87" s="3">
        <f t="shared" si="2"/>
        <v>46.666666666666664</v>
      </c>
      <c r="G87" t="s">
        <v>578</v>
      </c>
      <c r="H87" t="s">
        <v>575</v>
      </c>
      <c r="I87" s="83">
        <v>600</v>
      </c>
      <c r="J87" s="82">
        <v>46612</v>
      </c>
    </row>
    <row r="88" spans="1:10" x14ac:dyDescent="0.25">
      <c r="A88" t="s">
        <v>372</v>
      </c>
      <c r="B88" s="81">
        <v>291.2</v>
      </c>
      <c r="C88">
        <v>1300</v>
      </c>
      <c r="D88">
        <v>120</v>
      </c>
      <c r="E88" s="82">
        <v>40</v>
      </c>
      <c r="F88" s="3">
        <f t="shared" si="2"/>
        <v>46.666666666666664</v>
      </c>
      <c r="G88" t="s">
        <v>578</v>
      </c>
      <c r="H88" t="s">
        <v>575</v>
      </c>
      <c r="I88" s="83">
        <v>600</v>
      </c>
      <c r="J88" s="82">
        <v>168963</v>
      </c>
    </row>
    <row r="89" spans="1:10" x14ac:dyDescent="0.25">
      <c r="A89" t="s">
        <v>373</v>
      </c>
      <c r="B89" s="81">
        <v>291.2</v>
      </c>
      <c r="C89">
        <v>1300</v>
      </c>
      <c r="D89">
        <v>120</v>
      </c>
      <c r="E89" s="82">
        <v>40</v>
      </c>
      <c r="F89" s="3">
        <f t="shared" si="2"/>
        <v>46.666666666666664</v>
      </c>
      <c r="G89" t="s">
        <v>578</v>
      </c>
      <c r="H89" t="s">
        <v>575</v>
      </c>
      <c r="I89" s="83">
        <v>500</v>
      </c>
      <c r="J89" s="82">
        <v>3985111</v>
      </c>
    </row>
    <row r="90" spans="1:10" x14ac:dyDescent="0.25">
      <c r="A90" t="s">
        <v>375</v>
      </c>
      <c r="B90" s="81">
        <v>291.2</v>
      </c>
      <c r="C90">
        <v>1300</v>
      </c>
      <c r="D90">
        <v>120</v>
      </c>
      <c r="E90" s="82">
        <v>40</v>
      </c>
      <c r="F90" s="3">
        <f t="shared" si="2"/>
        <v>46.666666666666664</v>
      </c>
      <c r="G90" t="s">
        <v>578</v>
      </c>
      <c r="H90" t="s">
        <v>575</v>
      </c>
      <c r="I90" s="83">
        <v>700</v>
      </c>
      <c r="J90" s="82">
        <v>28231</v>
      </c>
    </row>
    <row r="91" spans="1:10" x14ac:dyDescent="0.25">
      <c r="A91" t="s">
        <v>376</v>
      </c>
      <c r="B91" s="81">
        <v>291.2</v>
      </c>
      <c r="C91">
        <v>1300</v>
      </c>
      <c r="D91">
        <v>120</v>
      </c>
      <c r="E91" s="82">
        <v>40</v>
      </c>
      <c r="F91" s="3">
        <f t="shared" si="2"/>
        <v>46.666666666666664</v>
      </c>
      <c r="G91" t="s">
        <v>578</v>
      </c>
      <c r="H91" t="s">
        <v>575</v>
      </c>
      <c r="I91" s="83">
        <v>600</v>
      </c>
      <c r="J91" s="82">
        <v>287798</v>
      </c>
    </row>
    <row r="92" spans="1:10" x14ac:dyDescent="0.25">
      <c r="A92" t="s">
        <v>377</v>
      </c>
      <c r="B92" s="81">
        <v>291.2</v>
      </c>
      <c r="C92">
        <v>1300</v>
      </c>
      <c r="D92">
        <v>120</v>
      </c>
      <c r="E92" s="82">
        <v>40</v>
      </c>
      <c r="F92" s="3">
        <f t="shared" si="2"/>
        <v>46.666666666666664</v>
      </c>
      <c r="G92" t="s">
        <v>578</v>
      </c>
      <c r="H92" t="s">
        <v>575</v>
      </c>
      <c r="I92" s="83">
        <v>700</v>
      </c>
      <c r="J92" s="82">
        <v>74868</v>
      </c>
    </row>
    <row r="93" spans="1:10" x14ac:dyDescent="0.25">
      <c r="A93" t="s">
        <v>378</v>
      </c>
      <c r="B93" s="81">
        <v>291.2</v>
      </c>
      <c r="C93">
        <v>1300</v>
      </c>
      <c r="D93">
        <v>120</v>
      </c>
      <c r="E93" s="82">
        <v>40</v>
      </c>
      <c r="F93" s="3">
        <f t="shared" si="2"/>
        <v>46.666666666666664</v>
      </c>
      <c r="G93" t="s">
        <v>578</v>
      </c>
      <c r="H93" t="s">
        <v>575</v>
      </c>
      <c r="I93" s="83">
        <v>600</v>
      </c>
      <c r="J93" s="82">
        <v>152583</v>
      </c>
    </row>
    <row r="94" spans="1:10" x14ac:dyDescent="0.25">
      <c r="A94" t="s">
        <v>379</v>
      </c>
      <c r="B94" s="81">
        <v>291.2</v>
      </c>
      <c r="C94">
        <v>1300</v>
      </c>
      <c r="D94">
        <v>120</v>
      </c>
      <c r="E94" s="82">
        <v>40</v>
      </c>
      <c r="F94" s="3">
        <f t="shared" si="2"/>
        <v>46.666666666666664</v>
      </c>
      <c r="G94" t="s">
        <v>578</v>
      </c>
      <c r="H94" t="s">
        <v>575</v>
      </c>
      <c r="I94" s="83">
        <v>500</v>
      </c>
      <c r="J94" s="82">
        <v>423576</v>
      </c>
    </row>
    <row r="95" spans="1:10" x14ac:dyDescent="0.25">
      <c r="A95" t="s">
        <v>430</v>
      </c>
      <c r="B95" s="81">
        <v>268.8</v>
      </c>
      <c r="C95">
        <v>1300</v>
      </c>
      <c r="D95">
        <v>120</v>
      </c>
      <c r="E95" s="82">
        <v>40</v>
      </c>
      <c r="F95" s="3">
        <f t="shared" si="2"/>
        <v>43.07692307692308</v>
      </c>
      <c r="G95" t="s">
        <v>578</v>
      </c>
      <c r="H95" t="s">
        <v>575</v>
      </c>
      <c r="I95" s="83">
        <v>500</v>
      </c>
      <c r="J95" s="82">
        <v>564441</v>
      </c>
    </row>
    <row r="96" spans="1:10" x14ac:dyDescent="0.25">
      <c r="A96" t="s">
        <v>431</v>
      </c>
      <c r="B96" s="81">
        <v>268.8</v>
      </c>
      <c r="C96">
        <v>1300</v>
      </c>
      <c r="D96">
        <v>120</v>
      </c>
      <c r="E96" s="82">
        <v>40</v>
      </c>
      <c r="F96" s="3">
        <f t="shared" si="2"/>
        <v>43.07692307692308</v>
      </c>
      <c r="G96" t="s">
        <v>578</v>
      </c>
      <c r="H96" t="s">
        <v>575</v>
      </c>
      <c r="I96" s="83">
        <v>600</v>
      </c>
      <c r="J96" s="82">
        <v>25245</v>
      </c>
    </row>
    <row r="97" spans="1:10" x14ac:dyDescent="0.25">
      <c r="A97" t="s">
        <v>432</v>
      </c>
      <c r="B97" s="81">
        <v>268.8</v>
      </c>
      <c r="C97">
        <v>1300</v>
      </c>
      <c r="D97">
        <v>120</v>
      </c>
      <c r="E97" s="82">
        <v>40</v>
      </c>
      <c r="F97" s="3">
        <f t="shared" si="2"/>
        <v>43.07692307692308</v>
      </c>
      <c r="G97" t="s">
        <v>578</v>
      </c>
      <c r="H97" t="s">
        <v>575</v>
      </c>
      <c r="I97" s="83">
        <v>700</v>
      </c>
      <c r="J97" s="82">
        <v>46625</v>
      </c>
    </row>
    <row r="98" spans="1:10" x14ac:dyDescent="0.25">
      <c r="A98" t="s">
        <v>433</v>
      </c>
      <c r="B98" s="81">
        <v>268.8</v>
      </c>
      <c r="C98">
        <v>1300</v>
      </c>
      <c r="D98">
        <v>120</v>
      </c>
      <c r="E98" s="82">
        <v>40</v>
      </c>
      <c r="F98" s="3">
        <f t="shared" si="2"/>
        <v>43.07692307692308</v>
      </c>
      <c r="G98" t="s">
        <v>578</v>
      </c>
      <c r="H98" t="s">
        <v>575</v>
      </c>
      <c r="I98" s="83">
        <v>700</v>
      </c>
      <c r="J98" s="82">
        <v>55088</v>
      </c>
    </row>
    <row r="99" spans="1:10" x14ac:dyDescent="0.25">
      <c r="A99" t="s">
        <v>434</v>
      </c>
      <c r="B99" s="81">
        <v>268.8</v>
      </c>
      <c r="C99">
        <v>1300</v>
      </c>
      <c r="D99">
        <v>120</v>
      </c>
      <c r="E99" s="82">
        <v>40</v>
      </c>
      <c r="F99" s="3">
        <f t="shared" si="2"/>
        <v>43.07692307692308</v>
      </c>
      <c r="G99" t="s">
        <v>578</v>
      </c>
      <c r="H99" t="s">
        <v>575</v>
      </c>
      <c r="I99" s="83">
        <v>500</v>
      </c>
      <c r="J99" s="82">
        <v>756468</v>
      </c>
    </row>
    <row r="100" spans="1:10" x14ac:dyDescent="0.25">
      <c r="A100" t="s">
        <v>435</v>
      </c>
      <c r="B100" s="81">
        <v>268.8</v>
      </c>
      <c r="C100">
        <v>1300</v>
      </c>
      <c r="D100">
        <v>120</v>
      </c>
      <c r="E100" s="82">
        <v>40</v>
      </c>
      <c r="F100" s="3">
        <f t="shared" si="2"/>
        <v>43.07692307692308</v>
      </c>
      <c r="G100" t="s">
        <v>578</v>
      </c>
      <c r="H100" t="s">
        <v>575</v>
      </c>
      <c r="I100" s="83">
        <v>600</v>
      </c>
      <c r="J100" s="82">
        <v>84596</v>
      </c>
    </row>
    <row r="101" spans="1:10" x14ac:dyDescent="0.25">
      <c r="A101" t="s">
        <v>436</v>
      </c>
      <c r="B101" s="81">
        <v>268.8</v>
      </c>
      <c r="C101">
        <v>1300</v>
      </c>
      <c r="D101">
        <v>120</v>
      </c>
      <c r="E101" s="82">
        <v>40</v>
      </c>
      <c r="F101" s="3">
        <f t="shared" si="2"/>
        <v>43.07692307692308</v>
      </c>
      <c r="G101" t="s">
        <v>578</v>
      </c>
      <c r="H101" t="s">
        <v>575</v>
      </c>
      <c r="I101" s="83">
        <v>600</v>
      </c>
      <c r="J101" s="82">
        <v>378624</v>
      </c>
    </row>
    <row r="102" spans="1:10" x14ac:dyDescent="0.25">
      <c r="A102" t="s">
        <v>437</v>
      </c>
      <c r="B102" s="81">
        <v>268.8</v>
      </c>
      <c r="C102">
        <v>1300</v>
      </c>
      <c r="D102">
        <v>120</v>
      </c>
      <c r="E102" s="82">
        <v>40</v>
      </c>
      <c r="F102" s="3">
        <f t="shared" si="2"/>
        <v>43.07692307692308</v>
      </c>
      <c r="G102" t="s">
        <v>578</v>
      </c>
      <c r="H102" t="s">
        <v>575</v>
      </c>
      <c r="I102" s="83">
        <v>500</v>
      </c>
      <c r="J102" s="82">
        <v>2360167</v>
      </c>
    </row>
    <row r="103" spans="1:10" x14ac:dyDescent="0.25">
      <c r="A103" t="s">
        <v>438</v>
      </c>
      <c r="B103" s="81">
        <v>268.8</v>
      </c>
      <c r="C103">
        <v>1300</v>
      </c>
      <c r="D103">
        <v>120</v>
      </c>
      <c r="E103" s="82">
        <v>40</v>
      </c>
      <c r="F103" s="3">
        <f t="shared" si="2"/>
        <v>43.07692307692308</v>
      </c>
      <c r="G103" t="s">
        <v>578</v>
      </c>
      <c r="H103" t="s">
        <v>575</v>
      </c>
      <c r="I103" s="83">
        <v>700</v>
      </c>
      <c r="J103" s="82">
        <v>53583</v>
      </c>
    </row>
    <row r="104" spans="1:10" x14ac:dyDescent="0.25">
      <c r="A104" t="s">
        <v>439</v>
      </c>
      <c r="B104" s="81">
        <v>268.8</v>
      </c>
      <c r="C104">
        <v>1300</v>
      </c>
      <c r="D104">
        <v>120</v>
      </c>
      <c r="E104" s="82">
        <v>40</v>
      </c>
      <c r="F104" s="3">
        <f t="shared" si="2"/>
        <v>43.07692307692308</v>
      </c>
      <c r="G104" t="s">
        <v>578</v>
      </c>
      <c r="H104" t="s">
        <v>575</v>
      </c>
      <c r="I104" s="83">
        <v>600</v>
      </c>
      <c r="J104" s="82">
        <v>295958</v>
      </c>
    </row>
    <row r="105" spans="1:10" x14ac:dyDescent="0.25">
      <c r="A105" t="s">
        <v>440</v>
      </c>
      <c r="B105" s="81">
        <v>268.8</v>
      </c>
      <c r="C105">
        <v>1300</v>
      </c>
      <c r="D105">
        <v>120</v>
      </c>
      <c r="E105" s="82">
        <v>40</v>
      </c>
      <c r="F105" s="3">
        <f t="shared" si="2"/>
        <v>43.07692307692308</v>
      </c>
      <c r="G105" t="s">
        <v>578</v>
      </c>
      <c r="H105" t="s">
        <v>575</v>
      </c>
      <c r="I105" s="83">
        <v>500</v>
      </c>
      <c r="J105" s="82">
        <v>2539563</v>
      </c>
    </row>
    <row r="106" spans="1:10" x14ac:dyDescent="0.25">
      <c r="A106" t="s">
        <v>443</v>
      </c>
      <c r="B106" s="81">
        <v>268.8</v>
      </c>
      <c r="C106">
        <v>1300</v>
      </c>
      <c r="D106">
        <v>120</v>
      </c>
      <c r="E106" s="82">
        <v>40</v>
      </c>
      <c r="F106" s="3">
        <f t="shared" si="2"/>
        <v>43.07692307692308</v>
      </c>
      <c r="G106" t="s">
        <v>578</v>
      </c>
      <c r="H106" t="s">
        <v>575</v>
      </c>
      <c r="I106" s="83">
        <v>700</v>
      </c>
      <c r="J106" s="82">
        <v>28763</v>
      </c>
    </row>
    <row r="107" spans="1:10" x14ac:dyDescent="0.25">
      <c r="A107" t="s">
        <v>444</v>
      </c>
      <c r="B107" s="81">
        <v>268.8</v>
      </c>
      <c r="C107">
        <v>1300</v>
      </c>
      <c r="D107">
        <v>120</v>
      </c>
      <c r="E107" s="82">
        <v>40</v>
      </c>
      <c r="F107" s="3">
        <f t="shared" si="2"/>
        <v>43.07692307692308</v>
      </c>
      <c r="G107" t="s">
        <v>578</v>
      </c>
      <c r="H107" t="s">
        <v>575</v>
      </c>
      <c r="I107" s="83">
        <v>600</v>
      </c>
      <c r="J107" s="82">
        <v>156863</v>
      </c>
    </row>
    <row r="108" spans="1:10" x14ac:dyDescent="0.25">
      <c r="A108" t="s">
        <v>445</v>
      </c>
      <c r="B108" s="81">
        <v>268.8</v>
      </c>
      <c r="C108">
        <v>1300</v>
      </c>
      <c r="D108">
        <v>120</v>
      </c>
      <c r="E108" s="82">
        <v>40</v>
      </c>
      <c r="F108" s="3">
        <f t="shared" si="2"/>
        <v>43.07692307692308</v>
      </c>
      <c r="G108" t="s">
        <v>578</v>
      </c>
      <c r="H108" t="s">
        <v>575</v>
      </c>
      <c r="I108" s="83">
        <v>500</v>
      </c>
      <c r="J108" s="82">
        <v>1036714</v>
      </c>
    </row>
    <row r="109" spans="1:10" x14ac:dyDescent="0.25">
      <c r="A109" t="s">
        <v>447</v>
      </c>
      <c r="B109" s="81">
        <v>268.8</v>
      </c>
      <c r="C109">
        <v>1300</v>
      </c>
      <c r="D109">
        <v>122.88</v>
      </c>
      <c r="E109" s="82">
        <v>40</v>
      </c>
      <c r="F109" s="3">
        <f t="shared" si="2"/>
        <v>42.067307692307693</v>
      </c>
      <c r="G109" t="s">
        <v>578</v>
      </c>
      <c r="H109" t="s">
        <v>575</v>
      </c>
      <c r="I109" s="83">
        <v>700</v>
      </c>
      <c r="J109" s="82">
        <v>35133</v>
      </c>
    </row>
    <row r="110" spans="1:10" x14ac:dyDescent="0.25">
      <c r="A110" t="s">
        <v>448</v>
      </c>
      <c r="B110" s="81">
        <v>268.8</v>
      </c>
      <c r="C110">
        <v>1300</v>
      </c>
      <c r="D110">
        <v>122.88</v>
      </c>
      <c r="E110" s="82">
        <v>40</v>
      </c>
      <c r="F110" s="3">
        <f t="shared" si="2"/>
        <v>42.067307692307693</v>
      </c>
      <c r="G110" t="s">
        <v>578</v>
      </c>
      <c r="H110" t="s">
        <v>575</v>
      </c>
      <c r="I110" s="83">
        <v>600</v>
      </c>
      <c r="J110" s="82">
        <v>26656</v>
      </c>
    </row>
    <row r="111" spans="1:10" x14ac:dyDescent="0.25">
      <c r="A111" t="s">
        <v>449</v>
      </c>
      <c r="B111" s="81">
        <v>268.8</v>
      </c>
      <c r="C111">
        <v>1300</v>
      </c>
      <c r="D111">
        <v>122.88</v>
      </c>
      <c r="E111" s="82">
        <v>40</v>
      </c>
      <c r="F111" s="3">
        <f t="shared" si="2"/>
        <v>42.067307692307693</v>
      </c>
      <c r="G111" t="s">
        <v>578</v>
      </c>
      <c r="H111" t="s">
        <v>575</v>
      </c>
      <c r="I111" s="83">
        <v>500</v>
      </c>
      <c r="J111" s="82">
        <v>533034</v>
      </c>
    </row>
    <row r="112" spans="1:10" x14ac:dyDescent="0.25">
      <c r="A112" t="s">
        <v>450</v>
      </c>
      <c r="B112" s="81">
        <v>268.8</v>
      </c>
      <c r="C112">
        <v>1300</v>
      </c>
      <c r="D112">
        <v>122.88</v>
      </c>
      <c r="E112" s="82">
        <v>40</v>
      </c>
      <c r="F112" s="3">
        <f t="shared" si="2"/>
        <v>42.067307692307693</v>
      </c>
      <c r="G112" t="s">
        <v>578</v>
      </c>
      <c r="H112" t="s">
        <v>575</v>
      </c>
      <c r="I112" s="83">
        <v>500</v>
      </c>
      <c r="J112" s="82">
        <v>262682</v>
      </c>
    </row>
    <row r="113" spans="1:10" x14ac:dyDescent="0.25">
      <c r="A113" t="s">
        <v>451</v>
      </c>
      <c r="B113" s="81">
        <v>268.8</v>
      </c>
      <c r="C113">
        <v>1300</v>
      </c>
      <c r="D113">
        <v>122.88</v>
      </c>
      <c r="E113" s="82">
        <v>40</v>
      </c>
      <c r="F113" s="3">
        <f t="shared" si="2"/>
        <v>42.067307692307693</v>
      </c>
      <c r="G113" t="s">
        <v>578</v>
      </c>
      <c r="H113" t="s">
        <v>575</v>
      </c>
      <c r="I113" s="83">
        <v>600</v>
      </c>
      <c r="J113" s="82">
        <v>104823</v>
      </c>
    </row>
    <row r="114" spans="1:10" x14ac:dyDescent="0.25">
      <c r="A114" t="s">
        <v>452</v>
      </c>
      <c r="B114" s="81">
        <v>268.8</v>
      </c>
      <c r="C114">
        <v>1300</v>
      </c>
      <c r="D114">
        <v>122.88</v>
      </c>
      <c r="E114" s="82">
        <v>40</v>
      </c>
      <c r="F114" s="3">
        <f t="shared" si="2"/>
        <v>42.067307692307693</v>
      </c>
      <c r="G114" t="s">
        <v>578</v>
      </c>
      <c r="H114" t="s">
        <v>575</v>
      </c>
      <c r="I114" s="83">
        <v>700</v>
      </c>
      <c r="J114" s="82">
        <v>15036</v>
      </c>
    </row>
    <row r="115" spans="1:10" x14ac:dyDescent="0.25">
      <c r="A115" t="s">
        <v>453</v>
      </c>
      <c r="B115" s="81">
        <v>268.8</v>
      </c>
      <c r="C115">
        <v>1300</v>
      </c>
      <c r="D115">
        <v>122.88</v>
      </c>
      <c r="E115" s="82">
        <v>40</v>
      </c>
      <c r="F115" s="3">
        <f t="shared" si="2"/>
        <v>42.067307692307693</v>
      </c>
      <c r="G115" t="s">
        <v>578</v>
      </c>
      <c r="H115" t="s">
        <v>575</v>
      </c>
      <c r="I115" s="83">
        <v>700</v>
      </c>
      <c r="J115" s="82">
        <v>23032</v>
      </c>
    </row>
    <row r="116" spans="1:10" x14ac:dyDescent="0.25">
      <c r="A116" t="s">
        <v>454</v>
      </c>
      <c r="B116" s="81">
        <v>268.8</v>
      </c>
      <c r="C116">
        <v>1300</v>
      </c>
      <c r="D116">
        <v>122.88</v>
      </c>
      <c r="E116" s="82">
        <v>40</v>
      </c>
      <c r="F116" s="3">
        <f t="shared" si="2"/>
        <v>42.067307692307693</v>
      </c>
      <c r="G116" t="s">
        <v>578</v>
      </c>
      <c r="H116" t="s">
        <v>575</v>
      </c>
      <c r="I116" s="83">
        <v>600</v>
      </c>
      <c r="J116" s="82">
        <v>136248</v>
      </c>
    </row>
    <row r="117" spans="1:10" x14ac:dyDescent="0.25">
      <c r="A117" t="s">
        <v>455</v>
      </c>
      <c r="B117" s="81">
        <v>268.8</v>
      </c>
      <c r="C117">
        <v>1300</v>
      </c>
      <c r="D117">
        <v>122.88</v>
      </c>
      <c r="E117" s="82">
        <v>40</v>
      </c>
      <c r="F117" s="3">
        <f t="shared" si="2"/>
        <v>42.067307692307693</v>
      </c>
      <c r="G117" t="s">
        <v>578</v>
      </c>
      <c r="H117" t="s">
        <v>575</v>
      </c>
      <c r="I117" s="83">
        <v>500</v>
      </c>
      <c r="J117" s="82">
        <v>3330389</v>
      </c>
    </row>
    <row r="118" spans="1:10" x14ac:dyDescent="0.25">
      <c r="A118" t="s">
        <v>456</v>
      </c>
      <c r="B118" s="81">
        <v>268.8</v>
      </c>
      <c r="C118">
        <v>1300</v>
      </c>
      <c r="D118">
        <v>122.88</v>
      </c>
      <c r="E118" s="82">
        <v>40</v>
      </c>
      <c r="F118" s="3">
        <f t="shared" si="2"/>
        <v>42.067307692307693</v>
      </c>
      <c r="G118" t="s">
        <v>578</v>
      </c>
      <c r="H118" t="s">
        <v>575</v>
      </c>
      <c r="I118" s="83">
        <v>700</v>
      </c>
      <c r="J118" s="82">
        <v>31695</v>
      </c>
    </row>
    <row r="119" spans="1:10" x14ac:dyDescent="0.25">
      <c r="A119" t="s">
        <v>457</v>
      </c>
      <c r="B119" s="81">
        <v>268.8</v>
      </c>
      <c r="C119">
        <v>1300</v>
      </c>
      <c r="D119">
        <v>122.88</v>
      </c>
      <c r="E119" s="82">
        <v>40</v>
      </c>
      <c r="F119" s="3">
        <f t="shared" si="2"/>
        <v>42.067307692307693</v>
      </c>
      <c r="G119" t="s">
        <v>578</v>
      </c>
      <c r="H119" t="s">
        <v>575</v>
      </c>
      <c r="I119" s="83">
        <v>600</v>
      </c>
      <c r="J119" s="82">
        <v>159482</v>
      </c>
    </row>
    <row r="120" spans="1:10" x14ac:dyDescent="0.25">
      <c r="A120" t="s">
        <v>458</v>
      </c>
      <c r="B120" s="81">
        <v>268.8</v>
      </c>
      <c r="C120">
        <v>1300</v>
      </c>
      <c r="D120">
        <v>122.88</v>
      </c>
      <c r="E120" s="82">
        <v>40</v>
      </c>
      <c r="F120" s="3">
        <f t="shared" si="2"/>
        <v>42.067307692307693</v>
      </c>
      <c r="G120" t="s">
        <v>578</v>
      </c>
      <c r="H120" t="s">
        <v>575</v>
      </c>
      <c r="I120" s="83">
        <v>500</v>
      </c>
      <c r="J120" s="82">
        <v>3908201</v>
      </c>
    </row>
    <row r="121" spans="1:10" x14ac:dyDescent="0.25">
      <c r="A121" t="s">
        <v>459</v>
      </c>
      <c r="B121" s="81">
        <v>268.8</v>
      </c>
      <c r="C121">
        <v>1300</v>
      </c>
      <c r="D121">
        <v>122.88</v>
      </c>
      <c r="E121" s="82">
        <v>40</v>
      </c>
      <c r="F121" s="3">
        <f t="shared" si="2"/>
        <v>42.067307692307693</v>
      </c>
      <c r="G121" t="s">
        <v>578</v>
      </c>
      <c r="H121" t="s">
        <v>575</v>
      </c>
      <c r="I121" s="83">
        <v>700</v>
      </c>
      <c r="J121" s="82">
        <v>93323</v>
      </c>
    </row>
    <row r="122" spans="1:10" x14ac:dyDescent="0.25">
      <c r="A122" t="s">
        <v>461</v>
      </c>
      <c r="B122" s="81">
        <v>268.8</v>
      </c>
      <c r="C122">
        <v>1300</v>
      </c>
      <c r="D122">
        <v>122.88</v>
      </c>
      <c r="E122" s="82">
        <v>40</v>
      </c>
      <c r="F122" s="3">
        <f t="shared" si="2"/>
        <v>42.067307692307693</v>
      </c>
      <c r="G122" t="s">
        <v>578</v>
      </c>
      <c r="H122" t="s">
        <v>575</v>
      </c>
      <c r="I122" s="83">
        <v>500</v>
      </c>
      <c r="J122" s="82">
        <v>334157</v>
      </c>
    </row>
    <row r="123" spans="1:10" x14ac:dyDescent="0.25">
      <c r="A123" t="s">
        <v>462</v>
      </c>
      <c r="B123" s="81">
        <v>268.8</v>
      </c>
      <c r="C123">
        <v>1300</v>
      </c>
      <c r="D123">
        <v>122.88</v>
      </c>
      <c r="E123" s="82">
        <v>40</v>
      </c>
      <c r="F123" s="3">
        <f t="shared" si="2"/>
        <v>42.067307692307693</v>
      </c>
      <c r="G123" t="s">
        <v>578</v>
      </c>
      <c r="H123" t="s">
        <v>575</v>
      </c>
      <c r="I123" s="83">
        <v>600</v>
      </c>
      <c r="J123" s="82">
        <v>18541</v>
      </c>
    </row>
    <row r="124" spans="1:10" x14ac:dyDescent="0.25">
      <c r="A124" t="s">
        <v>481</v>
      </c>
      <c r="B124" s="81">
        <v>280</v>
      </c>
      <c r="C124">
        <v>1300</v>
      </c>
      <c r="D124">
        <v>120</v>
      </c>
      <c r="E124" s="82">
        <v>40</v>
      </c>
      <c r="F124" s="3">
        <f t="shared" si="2"/>
        <v>44.871794871794869</v>
      </c>
      <c r="G124" t="s">
        <v>578</v>
      </c>
      <c r="H124" t="s">
        <v>575</v>
      </c>
      <c r="I124" s="83">
        <v>500</v>
      </c>
      <c r="J124" s="82">
        <v>245727</v>
      </c>
    </row>
    <row r="125" spans="1:10" x14ac:dyDescent="0.25">
      <c r="A125" t="s">
        <v>483</v>
      </c>
      <c r="B125" s="81">
        <v>280</v>
      </c>
      <c r="C125">
        <v>1300</v>
      </c>
      <c r="D125">
        <v>120</v>
      </c>
      <c r="E125" s="82">
        <v>40</v>
      </c>
      <c r="F125" s="3">
        <f t="shared" si="2"/>
        <v>44.871794871794869</v>
      </c>
      <c r="G125" t="s">
        <v>578</v>
      </c>
      <c r="H125" t="s">
        <v>575</v>
      </c>
      <c r="I125" s="83">
        <v>700</v>
      </c>
      <c r="J125" s="82">
        <v>67850</v>
      </c>
    </row>
    <row r="126" spans="1:10" x14ac:dyDescent="0.25">
      <c r="A126" t="s">
        <v>484</v>
      </c>
      <c r="B126" s="81">
        <v>280</v>
      </c>
      <c r="C126">
        <v>1300</v>
      </c>
      <c r="D126">
        <v>120</v>
      </c>
      <c r="E126" s="82">
        <v>40</v>
      </c>
      <c r="F126" s="3">
        <f t="shared" si="2"/>
        <v>44.871794871794869</v>
      </c>
      <c r="G126" t="s">
        <v>578</v>
      </c>
      <c r="H126" t="s">
        <v>575</v>
      </c>
      <c r="I126" s="83">
        <v>600</v>
      </c>
      <c r="J126" s="82">
        <v>157246</v>
      </c>
    </row>
    <row r="127" spans="1:10" x14ac:dyDescent="0.25">
      <c r="A127" t="s">
        <v>485</v>
      </c>
      <c r="B127" s="81">
        <v>280</v>
      </c>
      <c r="C127">
        <v>1300</v>
      </c>
      <c r="D127">
        <v>120</v>
      </c>
      <c r="E127" s="82">
        <v>40</v>
      </c>
      <c r="F127" s="3">
        <f t="shared" si="2"/>
        <v>44.871794871794869</v>
      </c>
      <c r="G127" t="s">
        <v>578</v>
      </c>
      <c r="H127" t="s">
        <v>575</v>
      </c>
      <c r="I127" s="83">
        <v>500</v>
      </c>
      <c r="J127" s="82">
        <v>347011</v>
      </c>
    </row>
    <row r="128" spans="1:10" x14ac:dyDescent="0.25">
      <c r="A128" t="s">
        <v>486</v>
      </c>
      <c r="B128" s="81">
        <v>280</v>
      </c>
      <c r="C128">
        <v>1300</v>
      </c>
      <c r="D128">
        <v>120</v>
      </c>
      <c r="E128" s="82">
        <v>40</v>
      </c>
      <c r="F128" s="3">
        <f t="shared" si="2"/>
        <v>44.871794871794869</v>
      </c>
      <c r="G128" t="s">
        <v>578</v>
      </c>
      <c r="H128" t="s">
        <v>575</v>
      </c>
      <c r="I128" s="83">
        <v>600</v>
      </c>
      <c r="J128" s="82">
        <v>280698</v>
      </c>
    </row>
    <row r="129" spans="1:10" x14ac:dyDescent="0.25">
      <c r="A129" t="s">
        <v>487</v>
      </c>
      <c r="B129" s="81">
        <v>280</v>
      </c>
      <c r="C129">
        <v>1300</v>
      </c>
      <c r="D129">
        <v>120</v>
      </c>
      <c r="E129" s="82">
        <v>40</v>
      </c>
      <c r="F129" s="3">
        <f t="shared" si="2"/>
        <v>44.871794871794869</v>
      </c>
      <c r="G129" t="s">
        <v>578</v>
      </c>
      <c r="H129" t="s">
        <v>575</v>
      </c>
      <c r="I129" s="83">
        <v>500</v>
      </c>
      <c r="J129" s="82">
        <v>2427812</v>
      </c>
    </row>
    <row r="130" spans="1:10" x14ac:dyDescent="0.25">
      <c r="A130" t="s">
        <v>488</v>
      </c>
      <c r="B130" s="81">
        <v>280</v>
      </c>
      <c r="C130">
        <v>1300</v>
      </c>
      <c r="D130">
        <v>120</v>
      </c>
      <c r="E130" s="82">
        <v>40</v>
      </c>
      <c r="F130" s="3">
        <f t="shared" si="2"/>
        <v>44.871794871794869</v>
      </c>
      <c r="G130" t="s">
        <v>578</v>
      </c>
      <c r="H130" t="s">
        <v>575</v>
      </c>
      <c r="I130" s="83">
        <v>700</v>
      </c>
      <c r="J130" s="82">
        <v>72511</v>
      </c>
    </row>
    <row r="131" spans="1:10" x14ac:dyDescent="0.25">
      <c r="A131" t="s">
        <v>489</v>
      </c>
      <c r="B131" s="81">
        <v>280</v>
      </c>
      <c r="C131">
        <v>1300</v>
      </c>
      <c r="D131">
        <v>120</v>
      </c>
      <c r="E131" s="82">
        <v>40</v>
      </c>
      <c r="F131" s="3">
        <f t="shared" si="2"/>
        <v>44.871794871794869</v>
      </c>
      <c r="G131" t="s">
        <v>578</v>
      </c>
      <c r="H131" t="s">
        <v>575</v>
      </c>
      <c r="I131" s="83">
        <v>600</v>
      </c>
      <c r="J131" s="82">
        <v>443049</v>
      </c>
    </row>
    <row r="132" spans="1:10" x14ac:dyDescent="0.25">
      <c r="A132" t="s">
        <v>490</v>
      </c>
      <c r="B132" s="81">
        <v>280</v>
      </c>
      <c r="C132">
        <v>1300</v>
      </c>
      <c r="D132">
        <v>120</v>
      </c>
      <c r="E132" s="82">
        <v>40</v>
      </c>
      <c r="F132" s="3">
        <f t="shared" si="2"/>
        <v>44.871794871794869</v>
      </c>
      <c r="G132" t="s">
        <v>578</v>
      </c>
      <c r="H132" t="s">
        <v>575</v>
      </c>
      <c r="I132" s="83">
        <v>700</v>
      </c>
      <c r="J132" s="82">
        <v>108303</v>
      </c>
    </row>
    <row r="133" spans="1:10" x14ac:dyDescent="0.25">
      <c r="A133" t="s">
        <v>491</v>
      </c>
      <c r="B133" s="81">
        <v>280</v>
      </c>
      <c r="C133">
        <v>1300</v>
      </c>
      <c r="D133">
        <v>120</v>
      </c>
      <c r="E133" s="82">
        <v>40</v>
      </c>
      <c r="F133" s="3">
        <f t="shared" si="2"/>
        <v>44.871794871794869</v>
      </c>
      <c r="G133" t="s">
        <v>578</v>
      </c>
      <c r="H133" t="s">
        <v>575</v>
      </c>
      <c r="I133" s="83">
        <v>500</v>
      </c>
      <c r="J133" s="82">
        <v>1270334</v>
      </c>
    </row>
    <row r="134" spans="1:10" x14ac:dyDescent="0.25">
      <c r="A134" t="s">
        <v>492</v>
      </c>
      <c r="B134" s="81">
        <v>280</v>
      </c>
      <c r="C134">
        <v>1300</v>
      </c>
      <c r="D134">
        <v>120</v>
      </c>
      <c r="E134" s="82">
        <v>40</v>
      </c>
      <c r="F134" s="3">
        <f t="shared" si="2"/>
        <v>44.871794871794869</v>
      </c>
      <c r="G134" t="s">
        <v>578</v>
      </c>
      <c r="H134" t="s">
        <v>575</v>
      </c>
      <c r="I134" s="83">
        <v>600</v>
      </c>
      <c r="J134" s="82">
        <v>420382</v>
      </c>
    </row>
    <row r="135" spans="1:10" x14ac:dyDescent="0.25">
      <c r="A135" t="s">
        <v>493</v>
      </c>
      <c r="B135" s="81">
        <v>280</v>
      </c>
      <c r="C135">
        <v>1300</v>
      </c>
      <c r="D135">
        <v>120</v>
      </c>
      <c r="E135" s="82">
        <v>40</v>
      </c>
      <c r="F135" s="3">
        <f t="shared" si="2"/>
        <v>44.871794871794869</v>
      </c>
      <c r="G135" t="s">
        <v>578</v>
      </c>
      <c r="H135" t="s">
        <v>575</v>
      </c>
      <c r="I135" s="83">
        <v>700</v>
      </c>
      <c r="J135" s="82">
        <v>215659</v>
      </c>
    </row>
    <row r="136" spans="1:10" x14ac:dyDescent="0.25">
      <c r="A136" t="s">
        <v>494</v>
      </c>
      <c r="B136" s="81">
        <v>280</v>
      </c>
      <c r="C136">
        <v>1300</v>
      </c>
      <c r="D136">
        <v>120</v>
      </c>
      <c r="E136" s="82">
        <v>40</v>
      </c>
      <c r="F136" s="3">
        <f t="shared" si="2"/>
        <v>44.871794871794869</v>
      </c>
      <c r="G136" t="s">
        <v>578</v>
      </c>
      <c r="H136" t="s">
        <v>575</v>
      </c>
      <c r="I136" s="83">
        <v>700</v>
      </c>
      <c r="J136" s="82">
        <v>101608</v>
      </c>
    </row>
    <row r="137" spans="1:10" x14ac:dyDescent="0.25">
      <c r="A137" t="s">
        <v>495</v>
      </c>
      <c r="B137" s="81">
        <v>280</v>
      </c>
      <c r="C137">
        <v>1300</v>
      </c>
      <c r="D137">
        <v>120</v>
      </c>
      <c r="E137" s="82">
        <v>40</v>
      </c>
      <c r="F137" s="3">
        <f t="shared" si="2"/>
        <v>44.871794871794869</v>
      </c>
      <c r="G137" t="s">
        <v>578</v>
      </c>
      <c r="H137" t="s">
        <v>575</v>
      </c>
      <c r="I137" s="83">
        <v>600</v>
      </c>
      <c r="J137" s="82">
        <v>786035</v>
      </c>
    </row>
    <row r="138" spans="1:10" x14ac:dyDescent="0.25">
      <c r="A138" t="s">
        <v>496</v>
      </c>
      <c r="B138" s="81">
        <v>280</v>
      </c>
      <c r="C138">
        <v>1300</v>
      </c>
      <c r="D138">
        <v>120</v>
      </c>
      <c r="E138" s="82">
        <v>40</v>
      </c>
      <c r="F138" s="3">
        <f t="shared" si="2"/>
        <v>44.871794871794869</v>
      </c>
      <c r="G138" t="s">
        <v>578</v>
      </c>
      <c r="H138" t="s">
        <v>575</v>
      </c>
      <c r="I138" s="83">
        <v>500</v>
      </c>
      <c r="J138" s="82">
        <v>1395519</v>
      </c>
    </row>
    <row r="139" spans="1:10" x14ac:dyDescent="0.25">
      <c r="A139" t="s">
        <v>497</v>
      </c>
      <c r="B139" s="81">
        <v>280</v>
      </c>
      <c r="C139">
        <v>1300</v>
      </c>
      <c r="D139">
        <v>120</v>
      </c>
      <c r="E139" s="82">
        <v>40</v>
      </c>
      <c r="F139" s="3">
        <f t="shared" si="2"/>
        <v>44.871794871794869</v>
      </c>
      <c r="G139" t="s">
        <v>578</v>
      </c>
      <c r="H139" t="s">
        <v>575</v>
      </c>
      <c r="I139" s="83">
        <v>500</v>
      </c>
      <c r="J139" s="82">
        <v>3272126</v>
      </c>
    </row>
    <row r="140" spans="1:10" x14ac:dyDescent="0.25">
      <c r="A140" t="s">
        <v>498</v>
      </c>
      <c r="B140" s="81">
        <v>280</v>
      </c>
      <c r="C140">
        <v>1300</v>
      </c>
      <c r="D140">
        <v>120</v>
      </c>
      <c r="E140" s="82">
        <v>40</v>
      </c>
      <c r="F140" s="3">
        <f t="shared" si="2"/>
        <v>44.871794871794869</v>
      </c>
      <c r="G140" t="s">
        <v>578</v>
      </c>
      <c r="H140" t="s">
        <v>575</v>
      </c>
      <c r="I140" s="83">
        <v>700</v>
      </c>
      <c r="J140" s="82">
        <v>85809</v>
      </c>
    </row>
    <row r="141" spans="1:10" x14ac:dyDescent="0.25">
      <c r="A141" t="s">
        <v>499</v>
      </c>
      <c r="B141" s="81">
        <v>280</v>
      </c>
      <c r="C141">
        <v>1300</v>
      </c>
      <c r="D141">
        <v>120</v>
      </c>
      <c r="E141" s="82">
        <v>40</v>
      </c>
      <c r="F141" s="3">
        <f t="shared" si="2"/>
        <v>44.871794871794869</v>
      </c>
      <c r="G141" t="s">
        <v>578</v>
      </c>
      <c r="H141" t="s">
        <v>575</v>
      </c>
      <c r="I141" s="83">
        <v>600</v>
      </c>
      <c r="J141" s="82">
        <v>368647</v>
      </c>
    </row>
    <row r="142" spans="1:10" x14ac:dyDescent="0.25">
      <c r="A142" t="s">
        <v>500</v>
      </c>
      <c r="B142" s="81">
        <v>280</v>
      </c>
      <c r="C142">
        <v>1300</v>
      </c>
      <c r="D142">
        <v>120</v>
      </c>
      <c r="E142" s="82">
        <v>40</v>
      </c>
      <c r="F142" s="3">
        <f t="shared" si="2"/>
        <v>44.871794871794869</v>
      </c>
      <c r="G142" t="s">
        <v>578</v>
      </c>
      <c r="H142" t="s">
        <v>575</v>
      </c>
      <c r="I142" s="83">
        <v>600</v>
      </c>
      <c r="J142" s="82">
        <v>164291</v>
      </c>
    </row>
    <row r="143" spans="1:10" x14ac:dyDescent="0.25">
      <c r="A143" t="s">
        <v>501</v>
      </c>
      <c r="B143" s="81">
        <v>280</v>
      </c>
      <c r="C143">
        <v>1300</v>
      </c>
      <c r="D143">
        <v>120</v>
      </c>
      <c r="E143" s="82">
        <v>40</v>
      </c>
      <c r="F143" s="3">
        <f t="shared" si="2"/>
        <v>44.871794871794869</v>
      </c>
      <c r="G143" t="s">
        <v>578</v>
      </c>
      <c r="H143" t="s">
        <v>575</v>
      </c>
      <c r="I143" s="83">
        <v>600</v>
      </c>
      <c r="J143" s="82">
        <v>217484</v>
      </c>
    </row>
    <row r="144" spans="1:10" x14ac:dyDescent="0.25">
      <c r="A144" t="s">
        <v>503</v>
      </c>
      <c r="B144" s="81">
        <v>280</v>
      </c>
      <c r="C144">
        <v>1300</v>
      </c>
      <c r="D144">
        <v>120</v>
      </c>
      <c r="E144" s="82">
        <v>40</v>
      </c>
      <c r="F144" s="3">
        <f t="shared" ref="F144:F182" si="3">1000000* B144/(C144*D144*E144)</f>
        <v>44.871794871794869</v>
      </c>
      <c r="G144" t="s">
        <v>578</v>
      </c>
      <c r="H144" t="s">
        <v>575</v>
      </c>
      <c r="I144" s="83">
        <v>600</v>
      </c>
      <c r="J144" s="82">
        <v>60400</v>
      </c>
    </row>
    <row r="145" spans="1:10" x14ac:dyDescent="0.25">
      <c r="A145" t="s">
        <v>505</v>
      </c>
      <c r="B145" s="81">
        <v>280</v>
      </c>
      <c r="C145">
        <v>1300</v>
      </c>
      <c r="D145">
        <v>120</v>
      </c>
      <c r="E145" s="82">
        <v>40</v>
      </c>
      <c r="F145" s="3">
        <f t="shared" si="3"/>
        <v>44.871794871794869</v>
      </c>
      <c r="G145" t="s">
        <v>578</v>
      </c>
      <c r="H145" t="s">
        <v>575</v>
      </c>
      <c r="I145" s="83">
        <v>500</v>
      </c>
      <c r="J145" s="82">
        <v>149571</v>
      </c>
    </row>
    <row r="146" spans="1:10" x14ac:dyDescent="0.25">
      <c r="A146" t="s">
        <v>507</v>
      </c>
      <c r="B146" s="81">
        <v>280</v>
      </c>
      <c r="C146">
        <v>1300</v>
      </c>
      <c r="D146">
        <v>120</v>
      </c>
      <c r="E146" s="82">
        <v>40</v>
      </c>
      <c r="F146" s="3">
        <f t="shared" si="3"/>
        <v>44.871794871794869</v>
      </c>
      <c r="G146" t="s">
        <v>578</v>
      </c>
      <c r="H146" t="s">
        <v>575</v>
      </c>
      <c r="I146" s="83">
        <v>600</v>
      </c>
      <c r="J146" s="82">
        <v>171842</v>
      </c>
    </row>
    <row r="147" spans="1:10" x14ac:dyDescent="0.25">
      <c r="A147" t="s">
        <v>509</v>
      </c>
      <c r="B147" s="81">
        <v>280</v>
      </c>
      <c r="C147">
        <v>1300</v>
      </c>
      <c r="D147">
        <v>120</v>
      </c>
      <c r="E147" s="82">
        <v>40</v>
      </c>
      <c r="F147" s="3">
        <f t="shared" si="3"/>
        <v>44.871794871794869</v>
      </c>
      <c r="G147" t="s">
        <v>578</v>
      </c>
      <c r="H147" t="s">
        <v>575</v>
      </c>
      <c r="I147" s="83">
        <v>700</v>
      </c>
      <c r="J147" s="82">
        <v>57889</v>
      </c>
    </row>
    <row r="148" spans="1:10" x14ac:dyDescent="0.25">
      <c r="A148" t="s">
        <v>511</v>
      </c>
      <c r="B148" s="81">
        <v>280</v>
      </c>
      <c r="C148">
        <v>1300</v>
      </c>
      <c r="D148">
        <v>120</v>
      </c>
      <c r="E148" s="82">
        <v>40</v>
      </c>
      <c r="F148" s="3">
        <f t="shared" si="3"/>
        <v>44.871794871794869</v>
      </c>
      <c r="G148" t="s">
        <v>578</v>
      </c>
      <c r="H148" t="s">
        <v>575</v>
      </c>
      <c r="I148" s="83">
        <v>600</v>
      </c>
      <c r="J148" s="82">
        <v>92592</v>
      </c>
    </row>
    <row r="149" spans="1:10" x14ac:dyDescent="0.25">
      <c r="A149" t="s">
        <v>512</v>
      </c>
      <c r="B149" s="81">
        <v>280</v>
      </c>
      <c r="C149">
        <v>1300</v>
      </c>
      <c r="D149">
        <v>120</v>
      </c>
      <c r="E149" s="82">
        <v>40</v>
      </c>
      <c r="F149" s="3">
        <f t="shared" si="3"/>
        <v>44.871794871794869</v>
      </c>
      <c r="G149" t="s">
        <v>578</v>
      </c>
      <c r="H149" t="s">
        <v>575</v>
      </c>
      <c r="I149" s="83">
        <v>600</v>
      </c>
      <c r="J149" s="82">
        <v>169169</v>
      </c>
    </row>
    <row r="150" spans="1:10" x14ac:dyDescent="0.25">
      <c r="A150" t="s">
        <v>513</v>
      </c>
      <c r="B150" s="81">
        <v>280</v>
      </c>
      <c r="C150">
        <v>1300</v>
      </c>
      <c r="D150">
        <v>120</v>
      </c>
      <c r="E150" s="82">
        <v>40</v>
      </c>
      <c r="F150" s="3">
        <f t="shared" si="3"/>
        <v>44.871794871794869</v>
      </c>
      <c r="G150" t="s">
        <v>578</v>
      </c>
      <c r="H150" t="s">
        <v>575</v>
      </c>
      <c r="I150" s="83">
        <v>700</v>
      </c>
      <c r="J150" s="82">
        <v>171785</v>
      </c>
    </row>
    <row r="151" spans="1:10" x14ac:dyDescent="0.25">
      <c r="A151" t="s">
        <v>514</v>
      </c>
      <c r="B151" s="81">
        <v>280</v>
      </c>
      <c r="C151">
        <v>1300</v>
      </c>
      <c r="D151">
        <v>120</v>
      </c>
      <c r="E151" s="82">
        <v>40</v>
      </c>
      <c r="F151" s="3">
        <f t="shared" si="3"/>
        <v>44.871794871794869</v>
      </c>
      <c r="G151" t="s">
        <v>578</v>
      </c>
      <c r="H151" t="s">
        <v>575</v>
      </c>
      <c r="I151" s="83">
        <v>700</v>
      </c>
      <c r="J151" s="82">
        <v>169848</v>
      </c>
    </row>
    <row r="152" spans="1:10" x14ac:dyDescent="0.25">
      <c r="A152" t="s">
        <v>516</v>
      </c>
      <c r="B152" s="81">
        <v>280</v>
      </c>
      <c r="C152">
        <v>1300</v>
      </c>
      <c r="D152">
        <v>120</v>
      </c>
      <c r="E152" s="82">
        <v>40</v>
      </c>
      <c r="F152" s="3">
        <f t="shared" si="3"/>
        <v>44.871794871794869</v>
      </c>
      <c r="G152" t="s">
        <v>578</v>
      </c>
      <c r="H152" t="s">
        <v>575</v>
      </c>
      <c r="I152" s="83">
        <v>600</v>
      </c>
      <c r="J152" s="82">
        <v>850319</v>
      </c>
    </row>
    <row r="153" spans="1:10" x14ac:dyDescent="0.25">
      <c r="A153" t="s">
        <v>518</v>
      </c>
      <c r="B153" s="81">
        <v>280</v>
      </c>
      <c r="C153">
        <v>1300</v>
      </c>
      <c r="D153">
        <v>120</v>
      </c>
      <c r="E153" s="82">
        <v>40</v>
      </c>
      <c r="F153" s="3">
        <f t="shared" si="3"/>
        <v>44.871794871794869</v>
      </c>
      <c r="G153" t="s">
        <v>578</v>
      </c>
      <c r="H153" t="s">
        <v>575</v>
      </c>
      <c r="I153" s="83">
        <v>700</v>
      </c>
      <c r="J153" s="82">
        <v>41820</v>
      </c>
    </row>
    <row r="154" spans="1:10" x14ac:dyDescent="0.25">
      <c r="A154" t="s">
        <v>519</v>
      </c>
      <c r="B154" s="81">
        <v>280</v>
      </c>
      <c r="C154">
        <v>1300</v>
      </c>
      <c r="D154">
        <v>120</v>
      </c>
      <c r="E154" s="82">
        <v>40</v>
      </c>
      <c r="F154" s="3">
        <f t="shared" si="3"/>
        <v>44.871794871794869</v>
      </c>
      <c r="G154" t="s">
        <v>578</v>
      </c>
      <c r="H154" t="s">
        <v>575</v>
      </c>
      <c r="I154" s="83">
        <v>500</v>
      </c>
      <c r="J154" s="82">
        <v>4032138</v>
      </c>
    </row>
    <row r="155" spans="1:10" x14ac:dyDescent="0.25">
      <c r="A155" t="s">
        <v>520</v>
      </c>
      <c r="B155" s="81">
        <v>280</v>
      </c>
      <c r="C155">
        <v>1300</v>
      </c>
      <c r="D155">
        <v>120</v>
      </c>
      <c r="E155" s="82">
        <v>40</v>
      </c>
      <c r="F155" s="3">
        <f t="shared" si="3"/>
        <v>44.871794871794869</v>
      </c>
      <c r="G155" t="s">
        <v>578</v>
      </c>
      <c r="H155" t="s">
        <v>575</v>
      </c>
      <c r="I155" s="83">
        <v>600</v>
      </c>
      <c r="J155" s="82">
        <v>1439677</v>
      </c>
    </row>
    <row r="156" spans="1:10" x14ac:dyDescent="0.25">
      <c r="A156" t="s">
        <v>521</v>
      </c>
      <c r="B156" s="81">
        <v>280</v>
      </c>
      <c r="C156">
        <v>1300</v>
      </c>
      <c r="D156">
        <v>120</v>
      </c>
      <c r="E156" s="82">
        <v>40</v>
      </c>
      <c r="F156" s="3">
        <f t="shared" si="3"/>
        <v>44.871794871794869</v>
      </c>
      <c r="G156" t="s">
        <v>578</v>
      </c>
      <c r="H156" t="s">
        <v>575</v>
      </c>
      <c r="I156" s="83">
        <v>700</v>
      </c>
      <c r="J156" s="82">
        <v>160788</v>
      </c>
    </row>
    <row r="157" spans="1:10" x14ac:dyDescent="0.25">
      <c r="A157" t="s">
        <v>524</v>
      </c>
      <c r="B157" s="81">
        <v>280</v>
      </c>
      <c r="C157">
        <v>1300</v>
      </c>
      <c r="D157">
        <v>120</v>
      </c>
      <c r="E157" s="82">
        <v>40</v>
      </c>
      <c r="F157" s="3">
        <f t="shared" si="3"/>
        <v>44.871794871794869</v>
      </c>
      <c r="G157" t="s">
        <v>578</v>
      </c>
      <c r="H157" t="s">
        <v>575</v>
      </c>
      <c r="I157" s="83">
        <v>600</v>
      </c>
      <c r="J157" s="82">
        <v>472076</v>
      </c>
    </row>
    <row r="158" spans="1:10" x14ac:dyDescent="0.25">
      <c r="A158" t="s">
        <v>525</v>
      </c>
      <c r="B158" s="81">
        <v>280</v>
      </c>
      <c r="C158">
        <v>1300</v>
      </c>
      <c r="D158">
        <v>120</v>
      </c>
      <c r="E158" s="82">
        <v>40</v>
      </c>
      <c r="F158" s="3">
        <f t="shared" si="3"/>
        <v>44.871794871794869</v>
      </c>
      <c r="G158" t="s">
        <v>578</v>
      </c>
      <c r="H158" t="s">
        <v>575</v>
      </c>
      <c r="I158" s="83">
        <v>700</v>
      </c>
      <c r="J158" s="82">
        <v>130336</v>
      </c>
    </row>
    <row r="159" spans="1:10" x14ac:dyDescent="0.25">
      <c r="A159" t="s">
        <v>526</v>
      </c>
      <c r="B159" s="81">
        <v>280</v>
      </c>
      <c r="C159">
        <v>1300</v>
      </c>
      <c r="D159">
        <v>120</v>
      </c>
      <c r="E159" s="82">
        <v>40</v>
      </c>
      <c r="F159" s="3">
        <f t="shared" si="3"/>
        <v>44.871794871794869</v>
      </c>
      <c r="G159" t="s">
        <v>578</v>
      </c>
      <c r="H159" t="s">
        <v>575</v>
      </c>
      <c r="I159" s="83">
        <v>600</v>
      </c>
      <c r="J159" s="82">
        <v>952097</v>
      </c>
    </row>
    <row r="160" spans="1:10" x14ac:dyDescent="0.25">
      <c r="A160" t="s">
        <v>527</v>
      </c>
      <c r="B160" s="81">
        <v>280</v>
      </c>
      <c r="C160">
        <v>1300</v>
      </c>
      <c r="D160">
        <v>120</v>
      </c>
      <c r="E160" s="82">
        <v>40</v>
      </c>
      <c r="F160" s="3">
        <f t="shared" si="3"/>
        <v>44.871794871794869</v>
      </c>
      <c r="G160" t="s">
        <v>578</v>
      </c>
      <c r="H160" t="s">
        <v>575</v>
      </c>
      <c r="I160" s="83">
        <v>500</v>
      </c>
      <c r="J160" s="82">
        <v>2058041</v>
      </c>
    </row>
    <row r="161" spans="1:10" x14ac:dyDescent="0.25">
      <c r="A161" t="s">
        <v>528</v>
      </c>
      <c r="B161" s="81">
        <v>280</v>
      </c>
      <c r="C161">
        <v>1300</v>
      </c>
      <c r="D161">
        <v>120</v>
      </c>
      <c r="E161" s="82">
        <v>40</v>
      </c>
      <c r="F161" s="3">
        <f t="shared" si="3"/>
        <v>44.871794871794869</v>
      </c>
      <c r="G161" t="s">
        <v>578</v>
      </c>
      <c r="H161" t="s">
        <v>575</v>
      </c>
      <c r="I161" s="83">
        <v>700</v>
      </c>
      <c r="J161" s="82">
        <v>31989</v>
      </c>
    </row>
    <row r="162" spans="1:10" x14ac:dyDescent="0.25">
      <c r="A162" t="s">
        <v>530</v>
      </c>
      <c r="B162" s="81">
        <v>280</v>
      </c>
      <c r="C162">
        <v>1300</v>
      </c>
      <c r="D162">
        <v>120</v>
      </c>
      <c r="E162" s="82">
        <v>40</v>
      </c>
      <c r="F162" s="3">
        <f t="shared" si="3"/>
        <v>44.871794871794869</v>
      </c>
      <c r="G162" t="s">
        <v>578</v>
      </c>
      <c r="H162" t="s">
        <v>575</v>
      </c>
      <c r="I162" s="83">
        <v>500</v>
      </c>
      <c r="J162" s="82">
        <v>121492</v>
      </c>
    </row>
    <row r="163" spans="1:10" x14ac:dyDescent="0.25">
      <c r="A163" t="s">
        <v>531</v>
      </c>
      <c r="B163" s="81">
        <v>280</v>
      </c>
      <c r="C163">
        <v>1300</v>
      </c>
      <c r="D163">
        <v>120</v>
      </c>
      <c r="E163" s="82">
        <v>40</v>
      </c>
      <c r="F163" s="3">
        <f t="shared" si="3"/>
        <v>44.871794871794869</v>
      </c>
      <c r="G163" t="s">
        <v>578</v>
      </c>
      <c r="H163" t="s">
        <v>575</v>
      </c>
      <c r="I163" s="83">
        <v>600</v>
      </c>
      <c r="J163" s="82">
        <v>77903</v>
      </c>
    </row>
    <row r="164" spans="1:10" x14ac:dyDescent="0.25">
      <c r="A164" t="s">
        <v>532</v>
      </c>
      <c r="B164" s="81">
        <v>280</v>
      </c>
      <c r="C164">
        <v>1300</v>
      </c>
      <c r="D164">
        <v>120</v>
      </c>
      <c r="E164" s="82">
        <v>40</v>
      </c>
      <c r="F164" s="3">
        <f t="shared" si="3"/>
        <v>44.871794871794869</v>
      </c>
      <c r="G164" t="s">
        <v>578</v>
      </c>
      <c r="H164" t="s">
        <v>575</v>
      </c>
      <c r="I164" s="83">
        <v>500</v>
      </c>
      <c r="J164" s="82">
        <v>1968826</v>
      </c>
    </row>
    <row r="165" spans="1:10" x14ac:dyDescent="0.25">
      <c r="A165" t="s">
        <v>534</v>
      </c>
      <c r="B165" s="81">
        <v>280</v>
      </c>
      <c r="C165">
        <v>1300</v>
      </c>
      <c r="D165">
        <v>120</v>
      </c>
      <c r="E165" s="82">
        <v>40</v>
      </c>
      <c r="F165" s="3">
        <f t="shared" si="3"/>
        <v>44.871794871794869</v>
      </c>
      <c r="G165" t="s">
        <v>578</v>
      </c>
      <c r="H165" t="s">
        <v>575</v>
      </c>
      <c r="I165" s="83">
        <v>700</v>
      </c>
      <c r="J165" s="82">
        <v>29804</v>
      </c>
    </row>
    <row r="166" spans="1:10" x14ac:dyDescent="0.25">
      <c r="A166" t="s">
        <v>535</v>
      </c>
      <c r="B166" s="81">
        <v>280</v>
      </c>
      <c r="C166">
        <v>1300</v>
      </c>
      <c r="D166">
        <v>120</v>
      </c>
      <c r="E166" s="82">
        <v>40</v>
      </c>
      <c r="F166" s="3">
        <f t="shared" si="3"/>
        <v>44.871794871794869</v>
      </c>
      <c r="G166" t="s">
        <v>578</v>
      </c>
      <c r="H166" t="s">
        <v>575</v>
      </c>
      <c r="I166" s="83">
        <v>600</v>
      </c>
      <c r="J166" s="82">
        <v>75645</v>
      </c>
    </row>
    <row r="167" spans="1:10" x14ac:dyDescent="0.25">
      <c r="A167" t="s">
        <v>536</v>
      </c>
      <c r="B167" s="81">
        <v>280</v>
      </c>
      <c r="C167">
        <v>1300</v>
      </c>
      <c r="D167">
        <v>120</v>
      </c>
      <c r="E167" s="82">
        <v>40</v>
      </c>
      <c r="F167" s="3">
        <f t="shared" si="3"/>
        <v>44.871794871794869</v>
      </c>
      <c r="G167" t="s">
        <v>578</v>
      </c>
      <c r="H167" t="s">
        <v>575</v>
      </c>
      <c r="I167" s="83">
        <v>500</v>
      </c>
      <c r="J167" s="82">
        <v>148753</v>
      </c>
    </row>
    <row r="168" spans="1:10" x14ac:dyDescent="0.25">
      <c r="A168" t="s">
        <v>537</v>
      </c>
      <c r="B168" s="81">
        <v>280</v>
      </c>
      <c r="C168">
        <v>1300</v>
      </c>
      <c r="D168">
        <v>120</v>
      </c>
      <c r="E168" s="82">
        <v>40</v>
      </c>
      <c r="F168" s="3">
        <f t="shared" si="3"/>
        <v>44.871794871794869</v>
      </c>
      <c r="G168" t="s">
        <v>578</v>
      </c>
      <c r="H168" t="s">
        <v>575</v>
      </c>
      <c r="I168" s="83">
        <v>600</v>
      </c>
      <c r="J168" s="82">
        <v>132724</v>
      </c>
    </row>
    <row r="169" spans="1:10" x14ac:dyDescent="0.25">
      <c r="A169" t="s">
        <v>538</v>
      </c>
      <c r="B169" s="81">
        <v>280</v>
      </c>
      <c r="C169">
        <v>1300</v>
      </c>
      <c r="D169">
        <v>120</v>
      </c>
      <c r="E169" s="82">
        <v>40</v>
      </c>
      <c r="F169" s="3">
        <f t="shared" si="3"/>
        <v>44.871794871794869</v>
      </c>
      <c r="G169" t="s">
        <v>578</v>
      </c>
      <c r="H169" t="s">
        <v>575</v>
      </c>
      <c r="I169" s="83">
        <v>700</v>
      </c>
      <c r="J169" s="82">
        <v>63477</v>
      </c>
    </row>
    <row r="170" spans="1:10" x14ac:dyDescent="0.25">
      <c r="A170" t="s">
        <v>539</v>
      </c>
      <c r="B170" s="81">
        <v>280</v>
      </c>
      <c r="C170">
        <v>1300</v>
      </c>
      <c r="D170">
        <v>120</v>
      </c>
      <c r="E170" s="82">
        <v>40</v>
      </c>
      <c r="F170" s="3">
        <f t="shared" si="3"/>
        <v>44.871794871794869</v>
      </c>
      <c r="G170" t="s">
        <v>578</v>
      </c>
      <c r="H170" t="s">
        <v>575</v>
      </c>
      <c r="I170" s="83">
        <v>600</v>
      </c>
      <c r="J170" s="82">
        <v>40182</v>
      </c>
    </row>
    <row r="171" spans="1:10" x14ac:dyDescent="0.25">
      <c r="A171" t="s">
        <v>540</v>
      </c>
      <c r="B171" s="81">
        <v>280</v>
      </c>
      <c r="C171">
        <v>1300</v>
      </c>
      <c r="D171">
        <v>120</v>
      </c>
      <c r="E171" s="82">
        <v>40</v>
      </c>
      <c r="F171" s="3">
        <f t="shared" si="3"/>
        <v>44.871794871794869</v>
      </c>
      <c r="G171" t="s">
        <v>578</v>
      </c>
      <c r="H171" t="s">
        <v>575</v>
      </c>
      <c r="I171" s="83">
        <v>500</v>
      </c>
      <c r="J171" s="82">
        <v>673318</v>
      </c>
    </row>
    <row r="172" spans="1:10" x14ac:dyDescent="0.25">
      <c r="A172" t="s">
        <v>541</v>
      </c>
      <c r="B172" s="81">
        <v>280</v>
      </c>
      <c r="C172">
        <v>1300</v>
      </c>
      <c r="D172">
        <v>120</v>
      </c>
      <c r="E172" s="82">
        <v>40</v>
      </c>
      <c r="F172" s="3">
        <f t="shared" si="3"/>
        <v>44.871794871794869</v>
      </c>
      <c r="G172" t="s">
        <v>578</v>
      </c>
      <c r="H172" t="s">
        <v>575</v>
      </c>
      <c r="I172" s="83">
        <v>700</v>
      </c>
      <c r="J172" s="82">
        <v>106802</v>
      </c>
    </row>
    <row r="173" spans="1:10" x14ac:dyDescent="0.25">
      <c r="A173" t="s">
        <v>542</v>
      </c>
      <c r="B173" s="81">
        <v>280</v>
      </c>
      <c r="C173">
        <v>1300</v>
      </c>
      <c r="D173">
        <v>120</v>
      </c>
      <c r="E173" s="82">
        <v>40</v>
      </c>
      <c r="F173" s="3">
        <f t="shared" si="3"/>
        <v>44.871794871794869</v>
      </c>
      <c r="G173" t="s">
        <v>578</v>
      </c>
      <c r="H173" t="s">
        <v>575</v>
      </c>
      <c r="I173" s="83">
        <v>500</v>
      </c>
      <c r="J173" s="82">
        <v>1883639</v>
      </c>
    </row>
    <row r="174" spans="1:10" x14ac:dyDescent="0.25">
      <c r="A174" t="s">
        <v>543</v>
      </c>
      <c r="B174" s="81">
        <v>280</v>
      </c>
      <c r="C174">
        <v>1300</v>
      </c>
      <c r="D174">
        <v>120</v>
      </c>
      <c r="E174" s="82">
        <v>40</v>
      </c>
      <c r="F174" s="3">
        <f t="shared" si="3"/>
        <v>44.871794871794869</v>
      </c>
      <c r="G174" t="s">
        <v>578</v>
      </c>
      <c r="H174" t="s">
        <v>575</v>
      </c>
      <c r="I174" s="83">
        <v>600</v>
      </c>
      <c r="J174" s="82">
        <v>53451</v>
      </c>
    </row>
    <row r="175" spans="1:10" x14ac:dyDescent="0.25">
      <c r="A175" t="s">
        <v>544</v>
      </c>
      <c r="B175" s="81">
        <v>280</v>
      </c>
      <c r="C175">
        <v>1300</v>
      </c>
      <c r="D175">
        <v>120</v>
      </c>
      <c r="E175" s="82">
        <v>40</v>
      </c>
      <c r="F175" s="3">
        <f t="shared" si="3"/>
        <v>44.871794871794869</v>
      </c>
      <c r="G175" t="s">
        <v>578</v>
      </c>
      <c r="H175" t="s">
        <v>575</v>
      </c>
      <c r="I175" s="83">
        <v>700</v>
      </c>
      <c r="J175" s="82">
        <v>187756</v>
      </c>
    </row>
    <row r="176" spans="1:10" x14ac:dyDescent="0.25">
      <c r="A176" t="s">
        <v>545</v>
      </c>
      <c r="B176" s="81">
        <v>280</v>
      </c>
      <c r="C176">
        <v>1300</v>
      </c>
      <c r="D176">
        <v>120</v>
      </c>
      <c r="E176" s="82">
        <v>40</v>
      </c>
      <c r="F176" s="3">
        <f t="shared" si="3"/>
        <v>44.871794871794869</v>
      </c>
      <c r="G176" t="s">
        <v>578</v>
      </c>
      <c r="H176" t="s">
        <v>575</v>
      </c>
      <c r="I176" s="83">
        <v>600</v>
      </c>
      <c r="J176" s="82">
        <v>653822</v>
      </c>
    </row>
    <row r="177" spans="1:10" x14ac:dyDescent="0.25">
      <c r="A177" t="s">
        <v>547</v>
      </c>
      <c r="B177" s="81">
        <v>280</v>
      </c>
      <c r="C177">
        <v>1300</v>
      </c>
      <c r="D177">
        <v>120</v>
      </c>
      <c r="E177" s="82">
        <v>40</v>
      </c>
      <c r="F177" s="3">
        <f t="shared" si="3"/>
        <v>44.871794871794869</v>
      </c>
      <c r="G177" t="s">
        <v>578</v>
      </c>
      <c r="H177" t="s">
        <v>575</v>
      </c>
      <c r="I177" s="83">
        <v>700</v>
      </c>
      <c r="J177" s="82">
        <v>75325</v>
      </c>
    </row>
    <row r="178" spans="1:10" x14ac:dyDescent="0.25">
      <c r="A178" t="s">
        <v>548</v>
      </c>
      <c r="B178" s="81">
        <v>280</v>
      </c>
      <c r="C178">
        <v>1300</v>
      </c>
      <c r="D178">
        <v>120</v>
      </c>
      <c r="E178" s="82">
        <v>40</v>
      </c>
      <c r="F178" s="3">
        <f t="shared" si="3"/>
        <v>44.871794871794869</v>
      </c>
      <c r="G178" t="s">
        <v>578</v>
      </c>
      <c r="H178" t="s">
        <v>575</v>
      </c>
      <c r="I178" s="83">
        <v>500</v>
      </c>
      <c r="J178" s="82">
        <v>2900679</v>
      </c>
    </row>
    <row r="179" spans="1:10" x14ac:dyDescent="0.25">
      <c r="A179" t="s">
        <v>549</v>
      </c>
      <c r="B179" s="81">
        <v>280</v>
      </c>
      <c r="C179">
        <v>1300</v>
      </c>
      <c r="D179">
        <v>120</v>
      </c>
      <c r="E179" s="82">
        <v>40</v>
      </c>
      <c r="F179" s="3">
        <f t="shared" si="3"/>
        <v>44.871794871794869</v>
      </c>
      <c r="G179" t="s">
        <v>578</v>
      </c>
      <c r="H179" t="s">
        <v>575</v>
      </c>
      <c r="I179" s="83">
        <v>600</v>
      </c>
      <c r="J179" s="82">
        <v>75342</v>
      </c>
    </row>
    <row r="180" spans="1:10" x14ac:dyDescent="0.25">
      <c r="A180" t="s">
        <v>550</v>
      </c>
      <c r="B180" s="81">
        <v>280</v>
      </c>
      <c r="C180">
        <v>1300</v>
      </c>
      <c r="D180">
        <v>120</v>
      </c>
      <c r="E180" s="82">
        <v>40</v>
      </c>
      <c r="F180" s="3">
        <f t="shared" si="3"/>
        <v>44.871794871794869</v>
      </c>
      <c r="G180" t="s">
        <v>578</v>
      </c>
      <c r="H180" t="s">
        <v>575</v>
      </c>
      <c r="I180" s="83">
        <v>700</v>
      </c>
      <c r="J180" s="82">
        <v>234308</v>
      </c>
    </row>
    <row r="181" spans="1:10" x14ac:dyDescent="0.25">
      <c r="A181" t="s">
        <v>551</v>
      </c>
      <c r="B181" s="81">
        <v>280</v>
      </c>
      <c r="C181">
        <v>1300</v>
      </c>
      <c r="D181">
        <v>120</v>
      </c>
      <c r="E181" s="82">
        <v>40</v>
      </c>
      <c r="F181" s="3">
        <f t="shared" si="3"/>
        <v>44.871794871794869</v>
      </c>
      <c r="G181" t="s">
        <v>578</v>
      </c>
      <c r="H181" t="s">
        <v>575</v>
      </c>
      <c r="I181" s="83">
        <v>600</v>
      </c>
      <c r="J181" s="82">
        <v>284141</v>
      </c>
    </row>
    <row r="182" spans="1:10" x14ac:dyDescent="0.25">
      <c r="A182" t="s">
        <v>552</v>
      </c>
      <c r="B182" s="81">
        <v>280</v>
      </c>
      <c r="C182">
        <v>1300</v>
      </c>
      <c r="D182">
        <v>120</v>
      </c>
      <c r="E182" s="82">
        <v>40</v>
      </c>
      <c r="F182" s="3">
        <f t="shared" si="3"/>
        <v>44.871794871794869</v>
      </c>
      <c r="G182" t="s">
        <v>578</v>
      </c>
      <c r="H182" t="s">
        <v>575</v>
      </c>
      <c r="I182" s="83">
        <v>700</v>
      </c>
      <c r="J182" s="82">
        <v>53159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B2D8-466A-470A-BB28-E47B4203E170}">
  <dimension ref="A1:V51"/>
  <sheetViews>
    <sheetView zoomScale="70" zoomScaleNormal="70" workbookViewId="0">
      <selection activeCell="H42" sqref="H42"/>
    </sheetView>
  </sheetViews>
  <sheetFormatPr defaultRowHeight="15" x14ac:dyDescent="0.25"/>
  <cols>
    <col min="1" max="1" width="16.42578125" customWidth="1"/>
    <col min="2" max="5" width="12.28515625" customWidth="1"/>
    <col min="6" max="21" width="16.42578125" customWidth="1"/>
  </cols>
  <sheetData>
    <row r="1" spans="1:22" x14ac:dyDescent="0.25">
      <c r="A1" s="69" t="s">
        <v>3</v>
      </c>
      <c r="B1" s="76" t="s">
        <v>555</v>
      </c>
      <c r="C1" s="76" t="s">
        <v>556</v>
      </c>
      <c r="D1" s="76" t="s">
        <v>557</v>
      </c>
      <c r="E1" s="76" t="s">
        <v>558</v>
      </c>
      <c r="F1" s="76" t="s">
        <v>564</v>
      </c>
      <c r="G1" s="72" t="s">
        <v>19</v>
      </c>
      <c r="H1" s="71" t="s">
        <v>18</v>
      </c>
      <c r="I1" s="72" t="s">
        <v>553</v>
      </c>
      <c r="J1" s="72" t="s">
        <v>554</v>
      </c>
      <c r="K1" s="72" t="s">
        <v>14</v>
      </c>
      <c r="L1" s="72" t="s">
        <v>15</v>
      </c>
      <c r="M1" s="72" t="s">
        <v>16</v>
      </c>
      <c r="N1" s="72" t="s">
        <v>17</v>
      </c>
      <c r="O1" s="73" t="s">
        <v>23</v>
      </c>
      <c r="P1" s="73" t="s">
        <v>24</v>
      </c>
      <c r="Q1" s="74" t="s">
        <v>25</v>
      </c>
      <c r="R1" s="73" t="s">
        <v>26</v>
      </c>
      <c r="S1" s="73" t="s">
        <v>27</v>
      </c>
      <c r="T1" s="75" t="s">
        <v>5</v>
      </c>
      <c r="U1" s="70" t="s">
        <v>12</v>
      </c>
      <c r="V1" s="70" t="s">
        <v>9</v>
      </c>
    </row>
    <row r="2" spans="1:22" x14ac:dyDescent="0.25">
      <c r="A2" t="s">
        <v>45</v>
      </c>
      <c r="B2">
        <v>280</v>
      </c>
      <c r="C2">
        <v>1200</v>
      </c>
      <c r="D2">
        <v>140</v>
      </c>
      <c r="E2">
        <v>30</v>
      </c>
      <c r="F2">
        <f>B2/(C2*D2*E2)</f>
        <v>5.5555555555555558E-5</v>
      </c>
      <c r="G2">
        <v>1457.2928097674476</v>
      </c>
      <c r="H2">
        <v>7917.63</v>
      </c>
      <c r="I2">
        <v>883.25</v>
      </c>
      <c r="J2">
        <v>50.202190232552276</v>
      </c>
      <c r="K2">
        <v>107.931</v>
      </c>
      <c r="L2">
        <v>93.89</v>
      </c>
      <c r="M2">
        <v>188.63900000000001</v>
      </c>
      <c r="N2">
        <v>149.084</v>
      </c>
      <c r="O2">
        <v>0.128</v>
      </c>
      <c r="P2">
        <v>0.87412587412587417</v>
      </c>
      <c r="Q2">
        <v>1.1439999999999999</v>
      </c>
      <c r="R2">
        <v>0.874</v>
      </c>
      <c r="S2">
        <v>0.43099999999999999</v>
      </c>
      <c r="T2">
        <v>450</v>
      </c>
      <c r="U2" t="s">
        <v>43</v>
      </c>
      <c r="V2">
        <v>1985701</v>
      </c>
    </row>
    <row r="3" spans="1:22" x14ac:dyDescent="0.25">
      <c r="A3" t="s">
        <v>48</v>
      </c>
      <c r="B3">
        <v>280</v>
      </c>
      <c r="C3">
        <v>1200</v>
      </c>
      <c r="D3">
        <v>140</v>
      </c>
      <c r="E3">
        <v>30</v>
      </c>
      <c r="G3">
        <v>472.46646721743321</v>
      </c>
      <c r="H3">
        <v>4185.509</v>
      </c>
      <c r="I3">
        <v>359.012</v>
      </c>
      <c r="J3">
        <v>36.500532782566772</v>
      </c>
      <c r="K3">
        <v>82.388999999999996</v>
      </c>
      <c r="L3">
        <v>64.683000000000007</v>
      </c>
      <c r="M3">
        <v>115.417</v>
      </c>
      <c r="N3">
        <v>76.313000000000002</v>
      </c>
      <c r="O3">
        <v>0.40799999999999997</v>
      </c>
      <c r="P3">
        <v>0.78492935635792782</v>
      </c>
      <c r="Q3">
        <v>1.274</v>
      </c>
      <c r="R3">
        <v>0.78500000000000003</v>
      </c>
      <c r="S3">
        <v>0.68899999999999995</v>
      </c>
      <c r="T3">
        <v>500</v>
      </c>
      <c r="U3" t="s">
        <v>43</v>
      </c>
      <c r="V3">
        <v>1629807</v>
      </c>
    </row>
    <row r="4" spans="1:22" x14ac:dyDescent="0.25">
      <c r="A4" t="s">
        <v>51</v>
      </c>
      <c r="B4">
        <v>280</v>
      </c>
      <c r="C4">
        <v>1200</v>
      </c>
      <c r="D4">
        <v>140</v>
      </c>
      <c r="E4">
        <v>30</v>
      </c>
      <c r="G4">
        <v>171.32814115156475</v>
      </c>
      <c r="H4">
        <v>3947.125</v>
      </c>
      <c r="I4">
        <v>451.82499999999999</v>
      </c>
      <c r="J4">
        <v>35.445858848435236</v>
      </c>
      <c r="K4">
        <v>107.068</v>
      </c>
      <c r="L4">
        <v>46.939</v>
      </c>
      <c r="M4">
        <v>147.77199999999999</v>
      </c>
      <c r="N4">
        <v>61.249000000000002</v>
      </c>
      <c r="O4">
        <v>0.24299999999999999</v>
      </c>
      <c r="P4">
        <v>0.43840420868040331</v>
      </c>
      <c r="Q4">
        <v>2.2810000000000001</v>
      </c>
      <c r="R4">
        <v>0.438</v>
      </c>
      <c r="S4">
        <v>0.59299999999999997</v>
      </c>
      <c r="T4">
        <v>450</v>
      </c>
      <c r="U4" t="s">
        <v>43</v>
      </c>
      <c r="V4">
        <v>2890164</v>
      </c>
    </row>
    <row r="5" spans="1:22" x14ac:dyDescent="0.25">
      <c r="A5" t="s">
        <v>57</v>
      </c>
      <c r="B5">
        <v>280</v>
      </c>
      <c r="C5">
        <v>1200</v>
      </c>
      <c r="D5">
        <v>140</v>
      </c>
      <c r="E5">
        <v>30</v>
      </c>
      <c r="G5">
        <v>2.7</v>
      </c>
      <c r="H5">
        <v>1977.528</v>
      </c>
      <c r="I5">
        <v>367.935</v>
      </c>
      <c r="J5">
        <v>25.089175207751634</v>
      </c>
      <c r="K5">
        <v>83.203000000000003</v>
      </c>
      <c r="L5">
        <v>30.262</v>
      </c>
      <c r="M5">
        <v>115.071</v>
      </c>
      <c r="N5">
        <v>39.795000000000002</v>
      </c>
      <c r="O5">
        <v>0.21299999999999999</v>
      </c>
      <c r="P5">
        <v>0.35919540229885061</v>
      </c>
      <c r="Q5">
        <v>2.7839999999999998</v>
      </c>
      <c r="R5">
        <v>0.36399999999999999</v>
      </c>
      <c r="S5">
        <v>0.64900000000000002</v>
      </c>
      <c r="T5">
        <v>500</v>
      </c>
      <c r="U5" t="s">
        <v>43</v>
      </c>
      <c r="V5">
        <v>862116</v>
      </c>
    </row>
    <row r="6" spans="1:22" x14ac:dyDescent="0.25">
      <c r="A6" t="s">
        <v>63</v>
      </c>
      <c r="B6">
        <v>336</v>
      </c>
      <c r="C6">
        <v>840</v>
      </c>
      <c r="D6">
        <v>140</v>
      </c>
      <c r="E6">
        <v>30</v>
      </c>
      <c r="G6">
        <v>126.70407004814837</v>
      </c>
      <c r="H6">
        <v>3052.26</v>
      </c>
      <c r="I6">
        <v>213.58699999999999</v>
      </c>
      <c r="J6">
        <v>31.169929951851625</v>
      </c>
      <c r="K6">
        <v>67.191000000000003</v>
      </c>
      <c r="L6">
        <v>57.838999999999999</v>
      </c>
      <c r="M6">
        <v>72.509</v>
      </c>
      <c r="N6">
        <v>59.948999999999998</v>
      </c>
      <c r="O6">
        <v>0.84099999999999997</v>
      </c>
      <c r="P6">
        <v>0.86058519793459554</v>
      </c>
      <c r="Q6">
        <v>1.1619999999999999</v>
      </c>
      <c r="R6">
        <v>0.86099999999999999</v>
      </c>
      <c r="S6">
        <v>0.97899999999999998</v>
      </c>
      <c r="T6">
        <v>450</v>
      </c>
      <c r="U6" t="s">
        <v>64</v>
      </c>
      <c r="V6">
        <v>3386100</v>
      </c>
    </row>
    <row r="7" spans="1:22" x14ac:dyDescent="0.25">
      <c r="A7" t="s">
        <v>65</v>
      </c>
      <c r="B7">
        <v>336</v>
      </c>
      <c r="C7">
        <v>840</v>
      </c>
      <c r="D7">
        <v>140</v>
      </c>
      <c r="E7">
        <v>30</v>
      </c>
      <c r="G7">
        <v>102.79939921145163</v>
      </c>
      <c r="H7">
        <v>4239.5929999999998</v>
      </c>
      <c r="I7">
        <v>242.18299999999999</v>
      </c>
      <c r="J7">
        <v>36.735600788548368</v>
      </c>
      <c r="K7">
        <v>82.938000000000002</v>
      </c>
      <c r="L7">
        <v>65.914000000000001</v>
      </c>
      <c r="M7">
        <v>84.421000000000006</v>
      </c>
      <c r="N7">
        <v>65.760000000000005</v>
      </c>
      <c r="O7">
        <v>0.92</v>
      </c>
      <c r="P7">
        <v>0.79491255961844198</v>
      </c>
      <c r="Q7">
        <v>1.258</v>
      </c>
      <c r="R7">
        <v>0.79500000000000004</v>
      </c>
      <c r="S7">
        <v>0.98899999999999999</v>
      </c>
      <c r="T7">
        <v>450</v>
      </c>
      <c r="U7" t="s">
        <v>64</v>
      </c>
      <c r="V7">
        <v>1909199</v>
      </c>
    </row>
    <row r="8" spans="1:22" x14ac:dyDescent="0.25">
      <c r="A8" t="s">
        <v>66</v>
      </c>
      <c r="B8">
        <v>336</v>
      </c>
      <c r="C8">
        <v>840</v>
      </c>
      <c r="D8">
        <v>140</v>
      </c>
      <c r="E8">
        <v>30</v>
      </c>
      <c r="G8">
        <v>338.0099596013581</v>
      </c>
      <c r="H8">
        <v>4068.1210000000001</v>
      </c>
      <c r="I8">
        <v>241.32599999999999</v>
      </c>
      <c r="J8">
        <v>35.985040398641885</v>
      </c>
      <c r="K8">
        <v>81.713999999999999</v>
      </c>
      <c r="L8">
        <v>63.387999999999998</v>
      </c>
      <c r="M8">
        <v>82.731999999999999</v>
      </c>
      <c r="N8">
        <v>61.386000000000003</v>
      </c>
      <c r="O8">
        <v>0.878</v>
      </c>
      <c r="P8">
        <v>0.77579519006982156</v>
      </c>
      <c r="Q8">
        <v>1.2889999999999999</v>
      </c>
      <c r="R8">
        <v>0.77600000000000002</v>
      </c>
      <c r="S8">
        <v>0.98399999999999999</v>
      </c>
      <c r="T8">
        <v>500</v>
      </c>
      <c r="U8" t="s">
        <v>64</v>
      </c>
      <c r="V8">
        <v>1080624</v>
      </c>
    </row>
    <row r="9" spans="1:22" x14ac:dyDescent="0.25">
      <c r="A9" t="s">
        <v>67</v>
      </c>
      <c r="B9">
        <v>336</v>
      </c>
      <c r="C9">
        <v>840</v>
      </c>
      <c r="D9">
        <v>140</v>
      </c>
      <c r="E9">
        <v>30</v>
      </c>
      <c r="G9">
        <v>153.23148566609049</v>
      </c>
      <c r="H9">
        <v>2049.6379999999999</v>
      </c>
      <c r="I9">
        <v>173.83500000000001</v>
      </c>
      <c r="J9">
        <v>25.542514333909502</v>
      </c>
      <c r="K9">
        <v>62.122</v>
      </c>
      <c r="L9">
        <v>42.009</v>
      </c>
      <c r="M9">
        <v>64.603999999999999</v>
      </c>
      <c r="N9">
        <v>42.305</v>
      </c>
      <c r="O9">
        <v>0.85199999999999998</v>
      </c>
      <c r="P9">
        <v>0.67613252197430695</v>
      </c>
      <c r="Q9">
        <v>1.4790000000000001</v>
      </c>
      <c r="R9">
        <v>0.67600000000000005</v>
      </c>
      <c r="S9">
        <v>0.98899999999999999</v>
      </c>
      <c r="T9">
        <v>500</v>
      </c>
      <c r="U9" t="s">
        <v>64</v>
      </c>
      <c r="V9">
        <v>1060428</v>
      </c>
    </row>
    <row r="10" spans="1:22" x14ac:dyDescent="0.25">
      <c r="A10" t="s">
        <v>69</v>
      </c>
      <c r="B10">
        <v>336</v>
      </c>
      <c r="C10">
        <v>840</v>
      </c>
      <c r="D10">
        <v>140</v>
      </c>
      <c r="E10">
        <v>30</v>
      </c>
      <c r="G10">
        <v>924.10646905052681</v>
      </c>
      <c r="H10">
        <v>4549.4889999999996</v>
      </c>
      <c r="I10">
        <v>256.08499999999998</v>
      </c>
      <c r="J10">
        <v>38.054530949473119</v>
      </c>
      <c r="K10">
        <v>89.906999999999996</v>
      </c>
      <c r="L10">
        <v>64.429000000000002</v>
      </c>
      <c r="M10">
        <v>88.247</v>
      </c>
      <c r="N10">
        <v>64.361999999999995</v>
      </c>
      <c r="O10">
        <v>0.872</v>
      </c>
      <c r="P10">
        <v>0.71684587813620071</v>
      </c>
      <c r="Q10">
        <v>1.395</v>
      </c>
      <c r="R10">
        <v>0.71699999999999997</v>
      </c>
      <c r="S10">
        <v>0.98899999999999999</v>
      </c>
      <c r="T10">
        <v>500</v>
      </c>
      <c r="U10" t="s">
        <v>64</v>
      </c>
      <c r="V10">
        <v>148393</v>
      </c>
    </row>
    <row r="11" spans="1:22" x14ac:dyDescent="0.25">
      <c r="A11" t="s">
        <v>75</v>
      </c>
      <c r="B11">
        <v>336</v>
      </c>
      <c r="C11">
        <v>840</v>
      </c>
      <c r="D11">
        <v>140</v>
      </c>
      <c r="E11">
        <v>30</v>
      </c>
      <c r="G11">
        <v>5</v>
      </c>
      <c r="H11">
        <v>987.16600000000005</v>
      </c>
      <c r="I11">
        <v>131.88399999999999</v>
      </c>
      <c r="J11">
        <v>17.726384208419603</v>
      </c>
      <c r="K11">
        <v>50.116999999999997</v>
      </c>
      <c r="L11">
        <v>25.097000000000001</v>
      </c>
      <c r="M11">
        <v>50.323</v>
      </c>
      <c r="N11">
        <v>25.279</v>
      </c>
      <c r="O11">
        <v>0.71299999999999997</v>
      </c>
      <c r="P11">
        <v>0.50050050050050054</v>
      </c>
      <c r="Q11">
        <v>1.9979999999999998</v>
      </c>
      <c r="R11">
        <v>0.5</v>
      </c>
      <c r="S11">
        <v>0.95799999999999996</v>
      </c>
      <c r="T11">
        <v>600</v>
      </c>
      <c r="U11" t="s">
        <v>64</v>
      </c>
      <c r="V11">
        <v>58339</v>
      </c>
    </row>
    <row r="12" spans="1:22" x14ac:dyDescent="0.25">
      <c r="A12" t="s">
        <v>81</v>
      </c>
      <c r="B12">
        <v>364</v>
      </c>
      <c r="C12">
        <v>960</v>
      </c>
      <c r="D12">
        <v>140</v>
      </c>
      <c r="E12">
        <v>30</v>
      </c>
      <c r="G12">
        <v>186.73088601794839</v>
      </c>
      <c r="H12">
        <v>5054.2610000000004</v>
      </c>
      <c r="I12">
        <v>273.37799999999999</v>
      </c>
      <c r="J12">
        <v>40.110113982051608</v>
      </c>
      <c r="K12">
        <v>87.525999999999996</v>
      </c>
      <c r="L12">
        <v>73.524000000000001</v>
      </c>
      <c r="M12">
        <v>92.721999999999994</v>
      </c>
      <c r="N12">
        <v>72.63</v>
      </c>
      <c r="O12">
        <v>0.85</v>
      </c>
      <c r="P12">
        <v>0.84033613445378152</v>
      </c>
      <c r="Q12">
        <v>1.19</v>
      </c>
      <c r="R12">
        <v>0.84</v>
      </c>
      <c r="S12">
        <v>0.98099999999999998</v>
      </c>
      <c r="T12">
        <v>450</v>
      </c>
      <c r="U12" t="s">
        <v>64</v>
      </c>
      <c r="V12">
        <v>4172620</v>
      </c>
    </row>
    <row r="13" spans="1:22" x14ac:dyDescent="0.25">
      <c r="A13" t="s">
        <v>82</v>
      </c>
      <c r="B13">
        <v>364</v>
      </c>
      <c r="C13">
        <v>960</v>
      </c>
      <c r="D13">
        <v>140</v>
      </c>
      <c r="E13">
        <v>30</v>
      </c>
      <c r="G13">
        <v>839.9531749771819</v>
      </c>
      <c r="H13">
        <v>4586.2160000000003</v>
      </c>
      <c r="I13">
        <v>245.41499999999999</v>
      </c>
      <c r="J13">
        <v>38.207825022818035</v>
      </c>
      <c r="K13">
        <v>87.323999999999998</v>
      </c>
      <c r="L13">
        <v>66.87</v>
      </c>
      <c r="M13">
        <v>86.855000000000004</v>
      </c>
      <c r="N13">
        <v>66.367999999999995</v>
      </c>
      <c r="O13">
        <v>0.95699999999999996</v>
      </c>
      <c r="P13">
        <v>0.76569678407350683</v>
      </c>
      <c r="Q13">
        <v>1.306</v>
      </c>
      <c r="R13">
        <v>0.76600000000000001</v>
      </c>
      <c r="S13">
        <v>0.998</v>
      </c>
      <c r="T13">
        <v>500</v>
      </c>
      <c r="U13" t="s">
        <v>64</v>
      </c>
      <c r="V13">
        <v>1584100</v>
      </c>
    </row>
    <row r="14" spans="1:22" x14ac:dyDescent="0.25">
      <c r="A14" t="s">
        <v>84</v>
      </c>
      <c r="B14">
        <v>364</v>
      </c>
      <c r="C14">
        <v>960</v>
      </c>
      <c r="D14">
        <v>140</v>
      </c>
      <c r="E14">
        <v>30</v>
      </c>
      <c r="G14">
        <v>429.76367630507116</v>
      </c>
      <c r="H14">
        <v>3926.3209999999999</v>
      </c>
      <c r="I14">
        <v>224.20400000000001</v>
      </c>
      <c r="J14">
        <v>35.352323694928842</v>
      </c>
      <c r="K14">
        <v>74.611999999999995</v>
      </c>
      <c r="L14">
        <v>67.001999999999995</v>
      </c>
      <c r="M14">
        <v>74.483999999999995</v>
      </c>
      <c r="N14">
        <v>65.436000000000007</v>
      </c>
      <c r="O14">
        <v>0.98199999999999998</v>
      </c>
      <c r="P14">
        <v>0.89766606822262107</v>
      </c>
      <c r="Q14">
        <v>1.1140000000000001</v>
      </c>
      <c r="R14">
        <v>0.89800000000000002</v>
      </c>
      <c r="S14">
        <v>0.998</v>
      </c>
      <c r="T14">
        <v>600</v>
      </c>
      <c r="U14" t="s">
        <v>64</v>
      </c>
      <c r="V14">
        <v>282211</v>
      </c>
    </row>
    <row r="15" spans="1:22" x14ac:dyDescent="0.25">
      <c r="A15" t="s">
        <v>87</v>
      </c>
      <c r="B15">
        <v>364</v>
      </c>
      <c r="C15">
        <v>960</v>
      </c>
      <c r="D15">
        <v>140</v>
      </c>
      <c r="E15">
        <v>30</v>
      </c>
      <c r="G15">
        <v>87.450776091651448</v>
      </c>
      <c r="H15">
        <v>4522.9139999999998</v>
      </c>
      <c r="I15">
        <v>241.59700000000001</v>
      </c>
      <c r="J15">
        <v>37.943223908348557</v>
      </c>
      <c r="K15">
        <v>82.575000000000003</v>
      </c>
      <c r="L15">
        <v>69.739999999999995</v>
      </c>
      <c r="M15">
        <v>81.566000000000003</v>
      </c>
      <c r="N15">
        <v>68.933000000000007</v>
      </c>
      <c r="O15">
        <v>0.97399999999999998</v>
      </c>
      <c r="P15">
        <v>0.84459459459459463</v>
      </c>
      <c r="Q15">
        <v>1.1839999999999999</v>
      </c>
      <c r="R15">
        <v>0.84499999999999997</v>
      </c>
      <c r="S15">
        <v>0.999</v>
      </c>
      <c r="T15">
        <v>450</v>
      </c>
      <c r="U15" t="s">
        <v>64</v>
      </c>
      <c r="V15">
        <v>8365619</v>
      </c>
    </row>
    <row r="16" spans="1:22" x14ac:dyDescent="0.25">
      <c r="A16" t="s">
        <v>89</v>
      </c>
      <c r="B16">
        <v>364</v>
      </c>
      <c r="C16">
        <v>960</v>
      </c>
      <c r="D16">
        <v>140</v>
      </c>
      <c r="E16">
        <v>30</v>
      </c>
      <c r="G16">
        <v>5</v>
      </c>
      <c r="H16">
        <v>2510.1880000000001</v>
      </c>
      <c r="I16">
        <v>189.76900000000001</v>
      </c>
      <c r="J16">
        <v>28.266900370927075</v>
      </c>
      <c r="K16">
        <v>64.724000000000004</v>
      </c>
      <c r="L16">
        <v>49.38</v>
      </c>
      <c r="M16">
        <v>66.953000000000003</v>
      </c>
      <c r="N16">
        <v>51.390999999999998</v>
      </c>
      <c r="O16">
        <v>0.876</v>
      </c>
      <c r="P16">
        <v>0.76277650648360029</v>
      </c>
      <c r="Q16">
        <v>1.3109999999999999</v>
      </c>
      <c r="R16">
        <v>0.76300000000000001</v>
      </c>
      <c r="S16">
        <v>0.97299999999999998</v>
      </c>
      <c r="T16">
        <v>500</v>
      </c>
      <c r="U16" t="s">
        <v>64</v>
      </c>
      <c r="V16">
        <v>643314</v>
      </c>
    </row>
    <row r="17" spans="1:22" x14ac:dyDescent="0.25">
      <c r="A17" t="s">
        <v>93</v>
      </c>
      <c r="B17">
        <v>252</v>
      </c>
      <c r="C17">
        <v>1200</v>
      </c>
      <c r="D17">
        <v>140</v>
      </c>
      <c r="E17">
        <v>30</v>
      </c>
      <c r="G17">
        <v>487.35385797478619</v>
      </c>
      <c r="H17">
        <v>6020.393</v>
      </c>
      <c r="I17">
        <v>615.29300000000001</v>
      </c>
      <c r="J17">
        <v>43.776142025213801</v>
      </c>
      <c r="K17">
        <v>126.51</v>
      </c>
      <c r="L17">
        <v>60.591000000000001</v>
      </c>
      <c r="M17">
        <v>169.49100000000001</v>
      </c>
      <c r="N17">
        <v>89.549000000000007</v>
      </c>
      <c r="O17">
        <v>0.2</v>
      </c>
      <c r="P17">
        <v>0.47892720306513409</v>
      </c>
      <c r="Q17">
        <v>2.0880000000000001</v>
      </c>
      <c r="R17">
        <v>0.47899999999999998</v>
      </c>
      <c r="S17">
        <v>0.57699999999999996</v>
      </c>
      <c r="T17">
        <v>450</v>
      </c>
      <c r="U17" t="s">
        <v>43</v>
      </c>
      <c r="V17">
        <v>2518329</v>
      </c>
    </row>
    <row r="18" spans="1:22" x14ac:dyDescent="0.25">
      <c r="A18" t="s">
        <v>94</v>
      </c>
      <c r="B18">
        <v>252</v>
      </c>
      <c r="C18">
        <v>1200</v>
      </c>
      <c r="D18">
        <v>140</v>
      </c>
      <c r="E18">
        <v>30</v>
      </c>
      <c r="G18">
        <v>378.34180571589326</v>
      </c>
      <c r="H18">
        <v>8251.0079999999998</v>
      </c>
      <c r="I18">
        <v>727.23299999999995</v>
      </c>
      <c r="J18">
        <v>51.248194284106695</v>
      </c>
      <c r="K18">
        <v>170.80199999999999</v>
      </c>
      <c r="L18">
        <v>61.506999999999998</v>
      </c>
      <c r="M18">
        <v>182</v>
      </c>
      <c r="N18">
        <v>79.707999999999998</v>
      </c>
      <c r="O18">
        <v>0.19600000000000001</v>
      </c>
      <c r="P18">
        <v>0.36010082823190492</v>
      </c>
      <c r="Q18">
        <v>2.7770000000000001</v>
      </c>
      <c r="R18">
        <v>0.36</v>
      </c>
      <c r="S18">
        <v>0.67600000000000005</v>
      </c>
      <c r="T18">
        <v>500</v>
      </c>
      <c r="U18" t="s">
        <v>43</v>
      </c>
      <c r="V18">
        <v>715769</v>
      </c>
    </row>
    <row r="19" spans="1:22" x14ac:dyDescent="0.25">
      <c r="A19" t="s">
        <v>99</v>
      </c>
      <c r="B19">
        <v>252</v>
      </c>
      <c r="C19">
        <v>1200</v>
      </c>
      <c r="D19">
        <v>140</v>
      </c>
      <c r="E19">
        <v>30</v>
      </c>
      <c r="G19">
        <v>191.024</v>
      </c>
      <c r="H19">
        <v>5004.0990000000002</v>
      </c>
      <c r="I19">
        <v>393.70100000000002</v>
      </c>
      <c r="J19">
        <v>39.910577334115587</v>
      </c>
      <c r="K19">
        <v>139.97900000000001</v>
      </c>
      <c r="L19">
        <v>45.517000000000003</v>
      </c>
      <c r="M19">
        <v>154.667</v>
      </c>
      <c r="N19">
        <v>61.597999999999999</v>
      </c>
      <c r="O19">
        <v>0.40600000000000003</v>
      </c>
      <c r="P19">
        <v>0.32520325203252032</v>
      </c>
      <c r="Q19">
        <v>3.0750000000000002</v>
      </c>
      <c r="R19">
        <v>0.32500000000000001</v>
      </c>
      <c r="S19">
        <v>0.77200000000000002</v>
      </c>
      <c r="T19">
        <v>450</v>
      </c>
      <c r="U19" t="s">
        <v>43</v>
      </c>
      <c r="V19">
        <v>2653709</v>
      </c>
    </row>
    <row r="20" spans="1:22" x14ac:dyDescent="0.25">
      <c r="A20" t="s">
        <v>103</v>
      </c>
      <c r="B20">
        <v>252</v>
      </c>
      <c r="C20">
        <v>1200</v>
      </c>
      <c r="D20">
        <v>140</v>
      </c>
      <c r="E20">
        <v>30</v>
      </c>
      <c r="G20">
        <v>0</v>
      </c>
      <c r="H20">
        <v>16340.387000000001</v>
      </c>
      <c r="I20">
        <v>979.36699999999996</v>
      </c>
      <c r="J20">
        <v>72.120085455919238</v>
      </c>
      <c r="K20">
        <v>236.66</v>
      </c>
      <c r="L20">
        <v>87.912000000000006</v>
      </c>
      <c r="M20">
        <v>307.96600000000001</v>
      </c>
      <c r="N20">
        <v>133.68199999999999</v>
      </c>
      <c r="O20">
        <v>0.214</v>
      </c>
      <c r="P20">
        <v>0.37147102526002967</v>
      </c>
      <c r="Q20">
        <v>2.6920000000000002</v>
      </c>
      <c r="R20">
        <v>0.371</v>
      </c>
      <c r="S20">
        <v>0.56699999999999995</v>
      </c>
      <c r="T20">
        <v>500</v>
      </c>
      <c r="U20" t="s">
        <v>43</v>
      </c>
      <c r="V20">
        <v>26662</v>
      </c>
    </row>
    <row r="21" spans="1:22" x14ac:dyDescent="0.25">
      <c r="A21" t="s">
        <v>105</v>
      </c>
      <c r="B21">
        <v>252</v>
      </c>
      <c r="C21">
        <v>1200</v>
      </c>
      <c r="D21">
        <v>140</v>
      </c>
      <c r="E21">
        <v>30</v>
      </c>
      <c r="G21">
        <v>1</v>
      </c>
      <c r="H21">
        <v>5910.1850000000004</v>
      </c>
      <c r="I21">
        <v>420.596</v>
      </c>
      <c r="J21">
        <v>43.373613115293345</v>
      </c>
      <c r="K21">
        <v>120.926</v>
      </c>
      <c r="L21">
        <v>62.228999999999999</v>
      </c>
      <c r="M21">
        <v>133.125</v>
      </c>
      <c r="N21">
        <v>75.191999999999993</v>
      </c>
      <c r="O21">
        <v>0.42</v>
      </c>
      <c r="P21">
        <v>0.51466803911477099</v>
      </c>
      <c r="Q21">
        <v>1.9429999999999998</v>
      </c>
      <c r="R21">
        <v>0.51500000000000001</v>
      </c>
      <c r="S21">
        <v>0.81399999999999995</v>
      </c>
      <c r="T21">
        <v>600</v>
      </c>
      <c r="U21" t="s">
        <v>43</v>
      </c>
      <c r="V21">
        <v>21527</v>
      </c>
    </row>
    <row r="22" spans="1:22" x14ac:dyDescent="0.25">
      <c r="A22" t="s">
        <v>109</v>
      </c>
      <c r="B22">
        <v>224</v>
      </c>
      <c r="C22">
        <v>1200</v>
      </c>
      <c r="D22">
        <v>140</v>
      </c>
      <c r="E22">
        <v>30</v>
      </c>
      <c r="G22">
        <v>0</v>
      </c>
      <c r="H22">
        <v>5117.0940000000001</v>
      </c>
      <c r="I22">
        <v>449.31299999999999</v>
      </c>
      <c r="J22">
        <v>40.358662127624576</v>
      </c>
      <c r="K22">
        <v>170.13800000000001</v>
      </c>
      <c r="L22">
        <v>38.293999999999997</v>
      </c>
      <c r="M22">
        <v>182.339</v>
      </c>
      <c r="N22">
        <v>60.466999999999999</v>
      </c>
      <c r="O22">
        <v>0.31900000000000001</v>
      </c>
      <c r="P22">
        <v>0.22507314877335136</v>
      </c>
      <c r="Q22">
        <v>4.4429999999999996</v>
      </c>
      <c r="R22">
        <v>0.22500000000000001</v>
      </c>
      <c r="S22">
        <v>0.61299999999999999</v>
      </c>
      <c r="T22">
        <v>450</v>
      </c>
      <c r="U22" t="s">
        <v>43</v>
      </c>
      <c r="V22">
        <v>99854</v>
      </c>
    </row>
    <row r="23" spans="1:22" x14ac:dyDescent="0.25">
      <c r="A23" t="s">
        <v>114</v>
      </c>
      <c r="B23">
        <v>224</v>
      </c>
      <c r="C23">
        <v>1200</v>
      </c>
      <c r="D23">
        <v>140</v>
      </c>
      <c r="E23">
        <v>30</v>
      </c>
      <c r="G23">
        <v>5</v>
      </c>
      <c r="H23">
        <v>2620.6509999999998</v>
      </c>
      <c r="I23">
        <v>305.12900000000002</v>
      </c>
      <c r="J23">
        <v>28.88215922567835</v>
      </c>
      <c r="K23">
        <v>79.468999999999994</v>
      </c>
      <c r="L23">
        <v>41.988</v>
      </c>
      <c r="M23">
        <v>97.010999999999996</v>
      </c>
      <c r="N23">
        <v>58.953000000000003</v>
      </c>
      <c r="O23">
        <v>0.35399999999999998</v>
      </c>
      <c r="P23">
        <v>0.52826201796090866</v>
      </c>
      <c r="Q23">
        <v>1.8929999999999998</v>
      </c>
      <c r="R23">
        <v>0.52800000000000002</v>
      </c>
      <c r="S23">
        <v>0.67700000000000005</v>
      </c>
      <c r="T23">
        <v>450</v>
      </c>
      <c r="U23" t="s">
        <v>43</v>
      </c>
      <c r="V23">
        <v>89433</v>
      </c>
    </row>
    <row r="24" spans="1:22" x14ac:dyDescent="0.25">
      <c r="A24" t="s">
        <v>115</v>
      </c>
      <c r="B24">
        <v>224</v>
      </c>
      <c r="C24">
        <v>1200</v>
      </c>
      <c r="D24">
        <v>140</v>
      </c>
      <c r="E24">
        <v>30</v>
      </c>
      <c r="G24">
        <v>0</v>
      </c>
      <c r="H24">
        <v>2726</v>
      </c>
      <c r="I24">
        <v>279.44</v>
      </c>
      <c r="J24">
        <v>29.456964367310718</v>
      </c>
      <c r="K24">
        <v>107.30500000000001</v>
      </c>
      <c r="L24">
        <v>32.066000000000003</v>
      </c>
      <c r="M24">
        <v>115.57299999999999</v>
      </c>
      <c r="N24">
        <v>45.19</v>
      </c>
      <c r="O24">
        <v>0.51800000000000002</v>
      </c>
      <c r="P24">
        <v>0.30349013657056145</v>
      </c>
      <c r="Q24">
        <v>3.2949999999999999</v>
      </c>
      <c r="R24">
        <v>0.29899999999999999</v>
      </c>
      <c r="S24">
        <v>0.86</v>
      </c>
      <c r="T24">
        <v>500</v>
      </c>
      <c r="U24" t="s">
        <v>43</v>
      </c>
      <c r="V24">
        <v>57456</v>
      </c>
    </row>
    <row r="25" spans="1:22" x14ac:dyDescent="0.25">
      <c r="A25" t="s">
        <v>117</v>
      </c>
      <c r="B25">
        <v>224</v>
      </c>
      <c r="C25">
        <v>1200</v>
      </c>
      <c r="D25">
        <v>140</v>
      </c>
      <c r="E25">
        <v>30</v>
      </c>
      <c r="G25">
        <v>65</v>
      </c>
      <c r="H25">
        <v>6320.51</v>
      </c>
      <c r="I25">
        <v>631.97199999999998</v>
      </c>
      <c r="J25">
        <v>44.853994456720471</v>
      </c>
      <c r="K25">
        <v>148.41399999999999</v>
      </c>
      <c r="L25">
        <v>54.223999999999997</v>
      </c>
      <c r="M25">
        <v>177.35400000000001</v>
      </c>
      <c r="N25">
        <v>95.064999999999998</v>
      </c>
      <c r="O25">
        <v>0.19900000000000001</v>
      </c>
      <c r="P25">
        <v>0.36536353671903543</v>
      </c>
      <c r="Q25">
        <v>2.7370000000000001</v>
      </c>
      <c r="R25">
        <v>0.36499999999999999</v>
      </c>
      <c r="S25">
        <v>0.51300000000000001</v>
      </c>
      <c r="T25">
        <v>500</v>
      </c>
      <c r="U25" t="s">
        <v>43</v>
      </c>
      <c r="V25">
        <v>29962</v>
      </c>
    </row>
    <row r="26" spans="1:22" x14ac:dyDescent="0.25">
      <c r="A26" t="s">
        <v>122</v>
      </c>
      <c r="B26">
        <v>224</v>
      </c>
      <c r="C26">
        <v>1200</v>
      </c>
      <c r="D26">
        <v>140</v>
      </c>
      <c r="E26">
        <v>30</v>
      </c>
      <c r="G26">
        <v>0</v>
      </c>
      <c r="H26">
        <v>5381.0649999999996</v>
      </c>
      <c r="I26">
        <v>377.32299999999998</v>
      </c>
      <c r="J26">
        <v>41.386545974477983</v>
      </c>
      <c r="K26">
        <v>113.27800000000001</v>
      </c>
      <c r="L26">
        <v>60.482999999999997</v>
      </c>
      <c r="M26">
        <v>134.10400000000001</v>
      </c>
      <c r="N26">
        <v>79.23</v>
      </c>
      <c r="O26">
        <v>0.47499999999999998</v>
      </c>
      <c r="P26">
        <v>0.53390282968499736</v>
      </c>
      <c r="Q26">
        <v>1.873</v>
      </c>
      <c r="R26">
        <v>0.53400000000000003</v>
      </c>
      <c r="S26">
        <v>0.78800000000000003</v>
      </c>
      <c r="T26">
        <v>600</v>
      </c>
      <c r="U26" t="s">
        <v>43</v>
      </c>
      <c r="V26">
        <v>21893</v>
      </c>
    </row>
    <row r="27" spans="1:22" x14ac:dyDescent="0.25">
      <c r="A27" t="s">
        <v>125</v>
      </c>
      <c r="B27">
        <v>280</v>
      </c>
      <c r="C27">
        <v>1200</v>
      </c>
      <c r="D27">
        <v>168</v>
      </c>
      <c r="E27">
        <v>30</v>
      </c>
      <c r="G27">
        <v>155.45896525732047</v>
      </c>
      <c r="H27">
        <v>13104.700999999999</v>
      </c>
      <c r="I27">
        <v>639.23</v>
      </c>
      <c r="J27">
        <v>64.58603474267953</v>
      </c>
      <c r="K27">
        <v>224.58600000000001</v>
      </c>
      <c r="L27">
        <v>74.293999999999997</v>
      </c>
      <c r="M27">
        <v>242.786</v>
      </c>
      <c r="N27">
        <v>92.302000000000007</v>
      </c>
      <c r="O27">
        <v>0.40300000000000002</v>
      </c>
      <c r="P27">
        <v>0.33079722130334105</v>
      </c>
      <c r="Q27">
        <v>3.0230000000000001</v>
      </c>
      <c r="R27">
        <v>0.33100000000000002</v>
      </c>
      <c r="S27">
        <v>0.78</v>
      </c>
      <c r="T27">
        <v>450</v>
      </c>
      <c r="U27" t="s">
        <v>43</v>
      </c>
      <c r="V27">
        <v>504109</v>
      </c>
    </row>
    <row r="28" spans="1:22" x14ac:dyDescent="0.25">
      <c r="A28" t="s">
        <v>128</v>
      </c>
      <c r="B28">
        <v>280</v>
      </c>
      <c r="C28">
        <v>1200</v>
      </c>
      <c r="D28">
        <v>168</v>
      </c>
      <c r="E28">
        <v>30</v>
      </c>
      <c r="G28">
        <v>36.065878199105164</v>
      </c>
      <c r="H28">
        <v>3089.4250000000002</v>
      </c>
      <c r="I28">
        <v>338.71100000000001</v>
      </c>
      <c r="J28">
        <v>31.359121800894833</v>
      </c>
      <c r="K28">
        <v>78.105000000000004</v>
      </c>
      <c r="L28">
        <v>50.363</v>
      </c>
      <c r="M28">
        <v>91.867000000000004</v>
      </c>
      <c r="N28">
        <v>69.057000000000002</v>
      </c>
      <c r="O28">
        <v>0.33800000000000002</v>
      </c>
      <c r="P28">
        <v>0.64474532559638942</v>
      </c>
      <c r="Q28">
        <v>1.5509999999999999</v>
      </c>
      <c r="R28">
        <v>0.64500000000000002</v>
      </c>
      <c r="S28">
        <v>0.67600000000000005</v>
      </c>
      <c r="T28">
        <v>500</v>
      </c>
      <c r="U28" t="s">
        <v>43</v>
      </c>
      <c r="V28">
        <v>269754</v>
      </c>
    </row>
    <row r="29" spans="1:22" x14ac:dyDescent="0.25">
      <c r="A29" t="s">
        <v>129</v>
      </c>
      <c r="B29">
        <v>280</v>
      </c>
      <c r="C29">
        <v>1200</v>
      </c>
      <c r="D29">
        <v>168</v>
      </c>
      <c r="E29">
        <v>30</v>
      </c>
      <c r="G29">
        <v>0</v>
      </c>
      <c r="H29">
        <v>2404.2420000000002</v>
      </c>
      <c r="I29">
        <v>268.26600000000002</v>
      </c>
      <c r="J29">
        <v>27.663947610171064</v>
      </c>
      <c r="K29">
        <v>72.855999999999995</v>
      </c>
      <c r="L29">
        <v>42.017000000000003</v>
      </c>
      <c r="M29">
        <v>94.644999999999996</v>
      </c>
      <c r="N29">
        <v>46.9</v>
      </c>
      <c r="O29">
        <v>0.42</v>
      </c>
      <c r="P29">
        <v>0.57670126874279126</v>
      </c>
      <c r="Q29">
        <v>1.734</v>
      </c>
      <c r="R29">
        <v>0.57699999999999996</v>
      </c>
      <c r="S29">
        <v>0.745</v>
      </c>
      <c r="T29">
        <v>450</v>
      </c>
      <c r="U29" t="s">
        <v>43</v>
      </c>
      <c r="V29">
        <v>118193</v>
      </c>
    </row>
    <row r="30" spans="1:22" x14ac:dyDescent="0.25">
      <c r="A30" t="s">
        <v>130</v>
      </c>
      <c r="B30">
        <v>280</v>
      </c>
      <c r="C30">
        <v>1200</v>
      </c>
      <c r="D30">
        <v>168</v>
      </c>
      <c r="E30">
        <v>30</v>
      </c>
      <c r="G30">
        <v>14.384</v>
      </c>
      <c r="H30">
        <v>2300.9009999999998</v>
      </c>
      <c r="I30">
        <v>236.44</v>
      </c>
      <c r="J30">
        <v>27.062881136903552</v>
      </c>
      <c r="K30">
        <v>69.691000000000003</v>
      </c>
      <c r="L30">
        <v>42.036999999999999</v>
      </c>
      <c r="M30">
        <v>86.278999999999996</v>
      </c>
      <c r="N30">
        <v>55.866</v>
      </c>
      <c r="O30">
        <v>0.51700000000000002</v>
      </c>
      <c r="P30">
        <v>0.60313630880579017</v>
      </c>
      <c r="Q30">
        <v>1.6579999999999999</v>
      </c>
      <c r="R30">
        <v>0.60299999999999998</v>
      </c>
      <c r="S30">
        <v>0.78</v>
      </c>
      <c r="T30">
        <v>500</v>
      </c>
      <c r="U30" t="s">
        <v>43</v>
      </c>
      <c r="V30">
        <v>87299</v>
      </c>
    </row>
    <row r="31" spans="1:22" x14ac:dyDescent="0.25">
      <c r="A31" t="s">
        <v>131</v>
      </c>
      <c r="B31">
        <v>280</v>
      </c>
      <c r="C31">
        <v>1200</v>
      </c>
      <c r="D31">
        <v>168</v>
      </c>
      <c r="E31">
        <v>30</v>
      </c>
      <c r="G31">
        <v>0</v>
      </c>
      <c r="H31">
        <v>4151.951</v>
      </c>
      <c r="I31">
        <v>276.875</v>
      </c>
      <c r="J31">
        <v>36.35391382300778</v>
      </c>
      <c r="K31">
        <v>87.19</v>
      </c>
      <c r="L31">
        <v>60.631</v>
      </c>
      <c r="M31">
        <v>97.700999999999993</v>
      </c>
      <c r="N31">
        <v>65.027000000000001</v>
      </c>
      <c r="O31">
        <v>0.68100000000000005</v>
      </c>
      <c r="P31">
        <v>0.69541029207232274</v>
      </c>
      <c r="Q31">
        <v>1.4379999999999999</v>
      </c>
      <c r="R31">
        <v>0.69499999999999995</v>
      </c>
      <c r="S31">
        <v>0.92500000000000004</v>
      </c>
      <c r="T31">
        <v>450</v>
      </c>
      <c r="U31" t="s">
        <v>43</v>
      </c>
      <c r="V31">
        <v>78108</v>
      </c>
    </row>
    <row r="32" spans="1:22" x14ac:dyDescent="0.25">
      <c r="A32" t="s">
        <v>137</v>
      </c>
      <c r="B32">
        <v>280</v>
      </c>
      <c r="C32">
        <v>1200</v>
      </c>
      <c r="D32">
        <v>168</v>
      </c>
      <c r="E32">
        <v>30</v>
      </c>
      <c r="G32">
        <v>0</v>
      </c>
      <c r="H32">
        <v>42897.851000000002</v>
      </c>
      <c r="I32">
        <v>1854.817</v>
      </c>
      <c r="J32">
        <v>116.85379783874896</v>
      </c>
      <c r="K32">
        <v>343.36799999999999</v>
      </c>
      <c r="L32">
        <v>159.06899999999999</v>
      </c>
      <c r="M32">
        <v>447.02199999999999</v>
      </c>
      <c r="N32">
        <v>241.494</v>
      </c>
      <c r="O32">
        <v>0.157</v>
      </c>
      <c r="P32">
        <v>0.46317739694302923</v>
      </c>
      <c r="Q32">
        <v>2.1589999999999998</v>
      </c>
      <c r="R32">
        <v>0.46300000000000002</v>
      </c>
      <c r="S32">
        <v>0.57299999999999995</v>
      </c>
      <c r="T32">
        <v>600</v>
      </c>
      <c r="U32" t="s">
        <v>43</v>
      </c>
      <c r="V32">
        <v>8667</v>
      </c>
    </row>
    <row r="33" spans="1:22" x14ac:dyDescent="0.25">
      <c r="A33" t="s">
        <v>186</v>
      </c>
      <c r="B33">
        <v>224</v>
      </c>
      <c r="C33">
        <v>1200</v>
      </c>
      <c r="D33">
        <v>140</v>
      </c>
      <c r="E33">
        <v>30</v>
      </c>
      <c r="G33">
        <v>157.923</v>
      </c>
      <c r="H33">
        <v>5107.567</v>
      </c>
      <c r="I33">
        <v>392.02800000000002</v>
      </c>
      <c r="J33">
        <v>40.321074767993039</v>
      </c>
      <c r="K33">
        <v>125.771</v>
      </c>
      <c r="L33">
        <v>51.706000000000003</v>
      </c>
      <c r="M33">
        <v>133.798</v>
      </c>
      <c r="N33">
        <v>60.284999999999997</v>
      </c>
      <c r="O33">
        <v>0.41799999999999998</v>
      </c>
      <c r="P33">
        <v>0.41118421052631582</v>
      </c>
      <c r="Q33">
        <v>2.4319999999999999</v>
      </c>
      <c r="R33">
        <v>0.41099999999999998</v>
      </c>
      <c r="S33">
        <v>0.77</v>
      </c>
      <c r="T33">
        <v>500</v>
      </c>
      <c r="U33" t="s">
        <v>43</v>
      </c>
      <c r="V33">
        <v>243315</v>
      </c>
    </row>
    <row r="34" spans="1:22" x14ac:dyDescent="0.25">
      <c r="A34" t="s">
        <v>190</v>
      </c>
      <c r="B34">
        <v>224</v>
      </c>
      <c r="C34">
        <v>1200</v>
      </c>
      <c r="D34">
        <v>140</v>
      </c>
      <c r="E34">
        <v>30</v>
      </c>
      <c r="G34">
        <v>48.398000000000003</v>
      </c>
      <c r="H34">
        <v>5476.3590000000004</v>
      </c>
      <c r="I34">
        <v>380.60899999999998</v>
      </c>
      <c r="J34">
        <v>41.75139770105401</v>
      </c>
      <c r="K34">
        <v>112.941</v>
      </c>
      <c r="L34">
        <v>61.738</v>
      </c>
      <c r="M34">
        <v>136.096</v>
      </c>
      <c r="N34">
        <v>81.299000000000007</v>
      </c>
      <c r="O34">
        <v>0.47499999999999998</v>
      </c>
      <c r="P34">
        <v>0.54674685620557684</v>
      </c>
      <c r="Q34">
        <v>1.829</v>
      </c>
      <c r="R34">
        <v>0.54700000000000004</v>
      </c>
      <c r="S34">
        <v>0.73599999999999999</v>
      </c>
      <c r="T34">
        <v>450</v>
      </c>
      <c r="U34" t="s">
        <v>43</v>
      </c>
      <c r="V34">
        <v>627114</v>
      </c>
    </row>
    <row r="35" spans="1:22" x14ac:dyDescent="0.25">
      <c r="A35" t="s">
        <v>191</v>
      </c>
      <c r="B35">
        <v>224</v>
      </c>
      <c r="C35">
        <v>1200</v>
      </c>
      <c r="D35">
        <v>140</v>
      </c>
      <c r="E35">
        <v>30</v>
      </c>
      <c r="G35">
        <v>29.353999999999999</v>
      </c>
      <c r="H35">
        <v>6103.6049999999996</v>
      </c>
      <c r="I35">
        <v>526.99099999999999</v>
      </c>
      <c r="J35">
        <v>44.077633929928858</v>
      </c>
      <c r="K35">
        <v>141.85400000000001</v>
      </c>
      <c r="L35">
        <v>54.783999999999999</v>
      </c>
      <c r="M35">
        <v>171.77199999999999</v>
      </c>
      <c r="N35">
        <v>73.531000000000006</v>
      </c>
      <c r="O35">
        <v>0.27600000000000002</v>
      </c>
      <c r="P35">
        <v>0.38624951718810352</v>
      </c>
      <c r="Q35">
        <v>2.589</v>
      </c>
      <c r="R35">
        <v>0.38600000000000001</v>
      </c>
      <c r="S35">
        <v>0.63700000000000001</v>
      </c>
      <c r="T35">
        <v>450</v>
      </c>
      <c r="U35" t="s">
        <v>43</v>
      </c>
      <c r="V35">
        <v>285664</v>
      </c>
    </row>
    <row r="36" spans="1:22" x14ac:dyDescent="0.25">
      <c r="A36" t="s">
        <v>195</v>
      </c>
      <c r="B36">
        <v>224</v>
      </c>
      <c r="C36">
        <v>1200</v>
      </c>
      <c r="D36">
        <v>140</v>
      </c>
      <c r="E36">
        <v>30</v>
      </c>
      <c r="G36">
        <v>57.817</v>
      </c>
      <c r="H36">
        <v>6706.527</v>
      </c>
      <c r="I36">
        <v>431.23099999999999</v>
      </c>
      <c r="J36">
        <v>46.203396477515795</v>
      </c>
      <c r="K36">
        <v>144.23099999999999</v>
      </c>
      <c r="L36">
        <v>59.093000000000004</v>
      </c>
      <c r="M36">
        <v>143.18100000000001</v>
      </c>
      <c r="N36">
        <v>78.497</v>
      </c>
      <c r="O36">
        <v>0.45300000000000001</v>
      </c>
      <c r="P36">
        <v>0.40866366979975477</v>
      </c>
      <c r="Q36">
        <v>2.4470000000000001</v>
      </c>
      <c r="R36">
        <v>0.40899999999999997</v>
      </c>
      <c r="S36">
        <v>0.751</v>
      </c>
      <c r="T36">
        <v>600</v>
      </c>
      <c r="U36" t="s">
        <v>43</v>
      </c>
      <c r="V36">
        <v>66555</v>
      </c>
    </row>
    <row r="37" spans="1:22" x14ac:dyDescent="0.25">
      <c r="A37" t="s">
        <v>196</v>
      </c>
      <c r="B37">
        <v>224</v>
      </c>
      <c r="C37">
        <v>1200</v>
      </c>
      <c r="D37">
        <v>140</v>
      </c>
      <c r="E37">
        <v>30</v>
      </c>
      <c r="G37">
        <v>32.634</v>
      </c>
      <c r="H37">
        <v>9388.9650000000001</v>
      </c>
      <c r="I37">
        <v>995.03</v>
      </c>
      <c r="J37">
        <v>54.66809289277974</v>
      </c>
      <c r="K37">
        <v>142.18799999999999</v>
      </c>
      <c r="L37">
        <v>84.073999999999998</v>
      </c>
      <c r="M37">
        <v>247.21199999999999</v>
      </c>
      <c r="N37">
        <v>167.03800000000001</v>
      </c>
      <c r="O37">
        <v>0.11899999999999999</v>
      </c>
      <c r="P37">
        <v>0.59136605558840916</v>
      </c>
      <c r="Q37">
        <v>1.6910000000000003</v>
      </c>
      <c r="R37">
        <v>0.59099999999999997</v>
      </c>
      <c r="S37">
        <v>0.34599999999999997</v>
      </c>
      <c r="T37">
        <v>500</v>
      </c>
      <c r="U37" t="s">
        <v>43</v>
      </c>
      <c r="V37">
        <v>70877</v>
      </c>
    </row>
    <row r="38" spans="1:22" x14ac:dyDescent="0.25">
      <c r="A38" t="s">
        <v>199</v>
      </c>
      <c r="B38">
        <v>280</v>
      </c>
      <c r="C38">
        <v>1200</v>
      </c>
      <c r="D38">
        <v>168</v>
      </c>
      <c r="E38">
        <v>30</v>
      </c>
      <c r="G38">
        <v>34.026000000000003</v>
      </c>
      <c r="H38">
        <v>4194.6670000000004</v>
      </c>
      <c r="I38">
        <v>432.62299999999999</v>
      </c>
      <c r="J38">
        <v>36.540443009751577</v>
      </c>
      <c r="K38">
        <v>115.545</v>
      </c>
      <c r="L38">
        <v>46.222999999999999</v>
      </c>
      <c r="M38">
        <v>130.358</v>
      </c>
      <c r="N38">
        <v>69.924000000000007</v>
      </c>
      <c r="O38">
        <v>0.28199999999999997</v>
      </c>
      <c r="P38">
        <v>0.4</v>
      </c>
      <c r="Q38">
        <v>2.5</v>
      </c>
      <c r="R38">
        <v>0.4</v>
      </c>
      <c r="S38">
        <v>0.58299999999999996</v>
      </c>
      <c r="T38">
        <v>500</v>
      </c>
      <c r="U38" t="s">
        <v>43</v>
      </c>
      <c r="V38">
        <v>39483</v>
      </c>
    </row>
    <row r="39" spans="1:22" x14ac:dyDescent="0.25">
      <c r="A39" t="s">
        <v>202</v>
      </c>
      <c r="B39">
        <v>280</v>
      </c>
      <c r="C39">
        <v>1200</v>
      </c>
      <c r="D39">
        <v>168</v>
      </c>
      <c r="E39">
        <v>30</v>
      </c>
      <c r="G39">
        <v>8.4510000000000005</v>
      </c>
      <c r="H39">
        <v>14635.008</v>
      </c>
      <c r="I39">
        <v>654.08000000000004</v>
      </c>
      <c r="J39">
        <v>68.252968659091053</v>
      </c>
      <c r="K39">
        <v>152.92400000000001</v>
      </c>
      <c r="L39">
        <v>121.851</v>
      </c>
      <c r="M39">
        <v>202.85400000000001</v>
      </c>
      <c r="N39">
        <v>141.26</v>
      </c>
      <c r="O39">
        <v>0.43</v>
      </c>
      <c r="P39">
        <v>0.79681274900398413</v>
      </c>
      <c r="Q39">
        <v>1.2549999999999999</v>
      </c>
      <c r="R39">
        <v>0.79700000000000004</v>
      </c>
      <c r="S39">
        <v>0.77200000000000002</v>
      </c>
      <c r="T39">
        <v>450</v>
      </c>
      <c r="U39" t="s">
        <v>43</v>
      </c>
      <c r="V39">
        <v>46179</v>
      </c>
    </row>
    <row r="40" spans="1:22" x14ac:dyDescent="0.25">
      <c r="A40" t="s">
        <v>203</v>
      </c>
      <c r="B40">
        <v>280</v>
      </c>
      <c r="C40">
        <v>1200</v>
      </c>
      <c r="D40">
        <v>168</v>
      </c>
      <c r="E40">
        <v>30</v>
      </c>
      <c r="G40">
        <v>0</v>
      </c>
      <c r="H40">
        <v>5409.0140000000001</v>
      </c>
      <c r="I40">
        <v>662.37199999999996</v>
      </c>
      <c r="J40">
        <v>41.493886666670917</v>
      </c>
      <c r="K40">
        <v>176.98699999999999</v>
      </c>
      <c r="L40">
        <v>38.911999999999999</v>
      </c>
      <c r="M40">
        <v>238.04400000000001</v>
      </c>
      <c r="N40">
        <v>68.903000000000006</v>
      </c>
      <c r="O40">
        <v>0.155</v>
      </c>
      <c r="P40">
        <v>0.2198768689533861</v>
      </c>
      <c r="Q40">
        <v>4.548</v>
      </c>
      <c r="R40">
        <v>0.22</v>
      </c>
      <c r="S40">
        <v>0.434</v>
      </c>
      <c r="T40">
        <v>450</v>
      </c>
      <c r="U40" t="s">
        <v>43</v>
      </c>
      <c r="V40">
        <v>37729</v>
      </c>
    </row>
    <row r="41" spans="1:22" x14ac:dyDescent="0.25">
      <c r="A41" t="s">
        <v>203</v>
      </c>
      <c r="B41">
        <v>280</v>
      </c>
      <c r="C41">
        <v>1200</v>
      </c>
      <c r="D41">
        <v>168</v>
      </c>
      <c r="E41">
        <v>30</v>
      </c>
      <c r="G41">
        <v>0</v>
      </c>
      <c r="H41">
        <v>17817.952000000001</v>
      </c>
      <c r="I41">
        <v>1409.011</v>
      </c>
      <c r="J41">
        <v>75.310226882862636</v>
      </c>
      <c r="K41">
        <v>271.77499999999998</v>
      </c>
      <c r="L41">
        <v>83.475999999999999</v>
      </c>
      <c r="M41">
        <v>420.529</v>
      </c>
      <c r="N41">
        <v>150.21899999999999</v>
      </c>
      <c r="O41">
        <v>0.113</v>
      </c>
      <c r="P41">
        <v>0.30712530712530717</v>
      </c>
      <c r="Q41">
        <v>3.2559999999999993</v>
      </c>
      <c r="R41">
        <v>0.307</v>
      </c>
      <c r="S41">
        <v>0.436</v>
      </c>
      <c r="T41">
        <v>450</v>
      </c>
      <c r="U41" t="s">
        <v>43</v>
      </c>
      <c r="V41">
        <v>37729</v>
      </c>
    </row>
    <row r="42" spans="1:22" x14ac:dyDescent="0.25">
      <c r="A42" t="s">
        <v>208</v>
      </c>
      <c r="B42">
        <v>280</v>
      </c>
      <c r="C42">
        <v>1200</v>
      </c>
      <c r="D42">
        <v>168</v>
      </c>
      <c r="E42">
        <v>30</v>
      </c>
      <c r="G42">
        <v>12.59</v>
      </c>
      <c r="H42">
        <v>14429.63</v>
      </c>
      <c r="I42">
        <v>583.13800000000003</v>
      </c>
      <c r="J42">
        <v>67.772368137569245</v>
      </c>
      <c r="K42">
        <v>176.88300000000001</v>
      </c>
      <c r="L42">
        <v>103.867</v>
      </c>
      <c r="M42">
        <v>198.17</v>
      </c>
      <c r="N42">
        <v>128.72499999999999</v>
      </c>
      <c r="O42">
        <v>0.53300000000000003</v>
      </c>
      <c r="P42">
        <v>0.58719906048150317</v>
      </c>
      <c r="Q42">
        <v>1.7030000000000003</v>
      </c>
      <c r="R42">
        <v>0.58699999999999997</v>
      </c>
      <c r="S42">
        <v>0.80600000000000005</v>
      </c>
      <c r="T42">
        <v>450</v>
      </c>
      <c r="U42" t="s">
        <v>43</v>
      </c>
      <c r="V42">
        <v>40873</v>
      </c>
    </row>
    <row r="43" spans="1:22" x14ac:dyDescent="0.25">
      <c r="A43" t="s">
        <v>211</v>
      </c>
      <c r="B43">
        <v>280</v>
      </c>
      <c r="C43">
        <v>1200</v>
      </c>
      <c r="D43">
        <v>168</v>
      </c>
      <c r="E43">
        <v>30</v>
      </c>
      <c r="G43">
        <v>0</v>
      </c>
      <c r="H43">
        <v>11712.814</v>
      </c>
      <c r="I43">
        <v>508.94799999999998</v>
      </c>
      <c r="J43">
        <v>61.059843524463034</v>
      </c>
      <c r="K43">
        <v>147.11099999999999</v>
      </c>
      <c r="L43">
        <v>101.374</v>
      </c>
      <c r="M43">
        <v>166.852</v>
      </c>
      <c r="N43">
        <v>119.504</v>
      </c>
      <c r="O43">
        <v>0.56799999999999995</v>
      </c>
      <c r="P43">
        <v>0.68917987594762231</v>
      </c>
      <c r="Q43">
        <v>1.4510000000000001</v>
      </c>
      <c r="R43">
        <v>0.68899999999999995</v>
      </c>
      <c r="S43">
        <v>0.83599999999999997</v>
      </c>
      <c r="T43">
        <v>500</v>
      </c>
      <c r="U43" t="s">
        <v>43</v>
      </c>
      <c r="V43">
        <v>36297</v>
      </c>
    </row>
    <row r="44" spans="1:22" x14ac:dyDescent="0.25">
      <c r="A44" t="s">
        <v>257</v>
      </c>
      <c r="B44">
        <v>224</v>
      </c>
      <c r="C44">
        <v>1200</v>
      </c>
      <c r="D44">
        <v>140</v>
      </c>
      <c r="E44">
        <v>30</v>
      </c>
      <c r="G44">
        <v>0</v>
      </c>
      <c r="H44">
        <v>3201.2350000000001</v>
      </c>
      <c r="I44">
        <v>370.15</v>
      </c>
      <c r="J44">
        <v>31.921540509467384</v>
      </c>
      <c r="K44">
        <v>113.999</v>
      </c>
      <c r="L44">
        <v>35.753999999999998</v>
      </c>
      <c r="M44">
        <v>147.15899999999999</v>
      </c>
      <c r="N44">
        <v>56.191000000000003</v>
      </c>
      <c r="O44">
        <v>0.29399999999999998</v>
      </c>
      <c r="P44">
        <v>0.31367628607277287</v>
      </c>
      <c r="Q44">
        <v>3.1880000000000002</v>
      </c>
      <c r="R44">
        <v>0.314</v>
      </c>
      <c r="S44">
        <v>0.66200000000000003</v>
      </c>
      <c r="T44">
        <v>450</v>
      </c>
      <c r="U44" t="s">
        <v>43</v>
      </c>
      <c r="V44">
        <v>62141</v>
      </c>
    </row>
    <row r="45" spans="1:22" x14ac:dyDescent="0.25">
      <c r="A45" t="s">
        <v>263</v>
      </c>
      <c r="B45">
        <v>224</v>
      </c>
      <c r="C45">
        <v>1200</v>
      </c>
      <c r="D45">
        <v>140</v>
      </c>
      <c r="E45">
        <v>30</v>
      </c>
      <c r="G45">
        <v>5.12</v>
      </c>
      <c r="H45">
        <v>1581.6179999999999</v>
      </c>
      <c r="I45">
        <v>200.489</v>
      </c>
      <c r="J45">
        <v>22.437572185203877</v>
      </c>
      <c r="K45">
        <v>68.784000000000006</v>
      </c>
      <c r="L45">
        <v>29.277000000000001</v>
      </c>
      <c r="M45">
        <v>84.033000000000001</v>
      </c>
      <c r="N45">
        <v>36.802999999999997</v>
      </c>
      <c r="O45">
        <v>0.49399999999999999</v>
      </c>
      <c r="P45">
        <v>0.42571306939123027</v>
      </c>
      <c r="Q45">
        <v>2.3490000000000002</v>
      </c>
      <c r="R45">
        <v>0.42599999999999999</v>
      </c>
      <c r="S45">
        <v>0.79200000000000004</v>
      </c>
      <c r="T45">
        <v>450</v>
      </c>
      <c r="U45" t="s">
        <v>43</v>
      </c>
      <c r="V45">
        <v>1972858</v>
      </c>
    </row>
    <row r="46" spans="1:22" x14ac:dyDescent="0.25">
      <c r="A46" t="s">
        <v>264</v>
      </c>
      <c r="B46">
        <v>224</v>
      </c>
      <c r="C46">
        <v>1200</v>
      </c>
      <c r="D46">
        <v>140</v>
      </c>
      <c r="E46">
        <v>30</v>
      </c>
      <c r="G46">
        <v>92.304000000000002</v>
      </c>
      <c r="H46">
        <v>10179.562</v>
      </c>
      <c r="I46">
        <v>1134.05</v>
      </c>
      <c r="J46">
        <v>56.9232397322995</v>
      </c>
      <c r="K46">
        <v>140.19800000000001</v>
      </c>
      <c r="L46">
        <v>92.447999999999993</v>
      </c>
      <c r="M46">
        <v>318.77499999999998</v>
      </c>
      <c r="N46">
        <v>204.00700000000001</v>
      </c>
      <c r="O46">
        <v>9.9000000000000005E-2</v>
      </c>
      <c r="P46">
        <v>0.65919578114700073</v>
      </c>
      <c r="Q46">
        <v>1.5169999999999999</v>
      </c>
      <c r="R46">
        <v>0.65900000000000003</v>
      </c>
      <c r="S46">
        <v>0.27600000000000002</v>
      </c>
      <c r="T46">
        <v>500</v>
      </c>
      <c r="U46" t="s">
        <v>43</v>
      </c>
      <c r="V46">
        <v>373811</v>
      </c>
    </row>
    <row r="47" spans="1:22" x14ac:dyDescent="0.25">
      <c r="A47" t="s">
        <v>267</v>
      </c>
      <c r="B47">
        <v>224</v>
      </c>
      <c r="C47">
        <v>1200</v>
      </c>
      <c r="D47">
        <v>140</v>
      </c>
      <c r="E47">
        <v>30</v>
      </c>
      <c r="G47">
        <v>45.648000000000003</v>
      </c>
      <c r="H47">
        <v>8485.9349999999995</v>
      </c>
      <c r="I47">
        <v>780.678</v>
      </c>
      <c r="J47">
        <v>51.972656310920314</v>
      </c>
      <c r="K47">
        <v>198.74299999999999</v>
      </c>
      <c r="L47">
        <v>54.365000000000002</v>
      </c>
      <c r="M47">
        <v>240.58099999999999</v>
      </c>
      <c r="N47">
        <v>97.369</v>
      </c>
      <c r="O47">
        <v>0.17499999999999999</v>
      </c>
      <c r="P47">
        <v>0.2735229759299781</v>
      </c>
      <c r="Q47">
        <v>3.6560000000000001</v>
      </c>
      <c r="R47">
        <v>0.27400000000000002</v>
      </c>
      <c r="S47">
        <v>0.51800000000000002</v>
      </c>
      <c r="T47">
        <v>500</v>
      </c>
      <c r="U47" t="s">
        <v>43</v>
      </c>
      <c r="V47">
        <v>271770</v>
      </c>
    </row>
    <row r="48" spans="1:22" x14ac:dyDescent="0.25">
      <c r="A48" t="s">
        <v>270</v>
      </c>
      <c r="B48">
        <v>280</v>
      </c>
      <c r="C48">
        <v>1200</v>
      </c>
      <c r="D48">
        <v>168</v>
      </c>
      <c r="E48">
        <v>30</v>
      </c>
      <c r="G48">
        <v>1238.7929999999999</v>
      </c>
      <c r="H48">
        <v>13812.037</v>
      </c>
      <c r="I48">
        <v>991.96600000000001</v>
      </c>
      <c r="J48">
        <v>66.306168079872521</v>
      </c>
      <c r="K48">
        <v>274.05599999999998</v>
      </c>
      <c r="L48">
        <v>64.168999999999997</v>
      </c>
      <c r="M48">
        <v>312.62400000000002</v>
      </c>
      <c r="N48">
        <v>108.366</v>
      </c>
      <c r="O48">
        <v>0.17599999999999999</v>
      </c>
      <c r="P48">
        <v>0.23413720440177946</v>
      </c>
      <c r="Q48">
        <v>4.2709999999999999</v>
      </c>
      <c r="R48">
        <v>0.23400000000000001</v>
      </c>
      <c r="S48">
        <v>0.48899999999999999</v>
      </c>
      <c r="T48">
        <v>500</v>
      </c>
      <c r="U48" t="s">
        <v>43</v>
      </c>
      <c r="V48">
        <v>288006</v>
      </c>
    </row>
    <row r="49" spans="1:22" x14ac:dyDescent="0.25">
      <c r="A49" t="s">
        <v>274</v>
      </c>
      <c r="B49">
        <v>280</v>
      </c>
      <c r="C49">
        <v>1200</v>
      </c>
      <c r="D49">
        <v>168</v>
      </c>
      <c r="E49">
        <v>30</v>
      </c>
      <c r="G49">
        <v>6.5170000000000003</v>
      </c>
      <c r="H49">
        <v>2938.6689999999999</v>
      </c>
      <c r="I49">
        <v>294.30500000000001</v>
      </c>
      <c r="J49">
        <v>30.58443059665872</v>
      </c>
      <c r="K49">
        <v>72.944000000000003</v>
      </c>
      <c r="L49">
        <v>51.295000000000002</v>
      </c>
      <c r="M49">
        <v>83.891999999999996</v>
      </c>
      <c r="N49">
        <v>58.472000000000001</v>
      </c>
      <c r="O49">
        <v>0.42599999999999999</v>
      </c>
      <c r="P49">
        <v>0.70323488045007032</v>
      </c>
      <c r="Q49">
        <v>1.4219999999999999</v>
      </c>
      <c r="R49">
        <v>0.70299999999999996</v>
      </c>
      <c r="S49">
        <v>0.77700000000000002</v>
      </c>
      <c r="T49">
        <v>450</v>
      </c>
      <c r="U49" t="s">
        <v>43</v>
      </c>
      <c r="V49">
        <v>1190383</v>
      </c>
    </row>
    <row r="50" spans="1:22" x14ac:dyDescent="0.25">
      <c r="A50" t="s">
        <v>276</v>
      </c>
      <c r="B50">
        <v>280</v>
      </c>
      <c r="C50">
        <v>1200</v>
      </c>
      <c r="D50">
        <v>168</v>
      </c>
      <c r="E50">
        <v>30</v>
      </c>
      <c r="G50">
        <v>75.019000000000005</v>
      </c>
      <c r="H50">
        <v>7769.4440000000004</v>
      </c>
      <c r="I50">
        <v>814.87900000000002</v>
      </c>
      <c r="J50">
        <v>49.730180326953729</v>
      </c>
      <c r="K50">
        <v>253.69200000000001</v>
      </c>
      <c r="L50">
        <v>38.994</v>
      </c>
      <c r="M50">
        <v>321.46100000000001</v>
      </c>
      <c r="N50">
        <v>71.238</v>
      </c>
      <c r="O50">
        <v>0.14699999999999999</v>
      </c>
      <c r="P50">
        <v>0.1537042729787888</v>
      </c>
      <c r="Q50">
        <v>6.5060000000000002</v>
      </c>
      <c r="R50">
        <v>0.154</v>
      </c>
      <c r="S50">
        <v>0.47</v>
      </c>
      <c r="T50">
        <v>500</v>
      </c>
      <c r="U50" t="s">
        <v>43</v>
      </c>
      <c r="V50">
        <v>501299</v>
      </c>
    </row>
    <row r="51" spans="1:22" x14ac:dyDescent="0.25">
      <c r="A51" t="s">
        <v>277</v>
      </c>
      <c r="B51">
        <v>280</v>
      </c>
      <c r="C51">
        <v>1200</v>
      </c>
      <c r="D51">
        <v>168</v>
      </c>
      <c r="E51">
        <v>30</v>
      </c>
      <c r="G51">
        <v>29.439</v>
      </c>
      <c r="H51">
        <v>5277.3639999999996</v>
      </c>
      <c r="I51">
        <v>452.892</v>
      </c>
      <c r="J51">
        <v>40.985816256242039</v>
      </c>
      <c r="K51">
        <v>113.017</v>
      </c>
      <c r="L51">
        <v>59.454000000000001</v>
      </c>
      <c r="M51">
        <v>137.87200000000001</v>
      </c>
      <c r="N51">
        <v>88.89</v>
      </c>
      <c r="O51">
        <v>0.32300000000000001</v>
      </c>
      <c r="P51">
        <v>0.52603892688058917</v>
      </c>
      <c r="Q51">
        <v>1.901</v>
      </c>
      <c r="R51">
        <v>0.52600000000000002</v>
      </c>
      <c r="S51">
        <v>0.63800000000000001</v>
      </c>
      <c r="T51">
        <v>450</v>
      </c>
      <c r="U51" t="s">
        <v>43</v>
      </c>
      <c r="V51">
        <v>562595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EC8E-6EEC-44E5-A555-065030ED0885}">
  <dimension ref="A1:U169"/>
  <sheetViews>
    <sheetView topLeftCell="E1" zoomScale="85" zoomScaleNormal="85" workbookViewId="0">
      <pane ySplit="1" topLeftCell="A118" activePane="bottomLeft" state="frozen"/>
      <selection pane="bottomLeft" activeCell="E1" sqref="A1:XFD1048576"/>
    </sheetView>
  </sheetViews>
  <sheetFormatPr defaultRowHeight="15" x14ac:dyDescent="0.25"/>
  <cols>
    <col min="1" max="1" width="17.5703125" customWidth="1"/>
    <col min="2" max="2" width="17.5703125" style="81" customWidth="1"/>
    <col min="3" max="4" width="17.5703125" customWidth="1"/>
    <col min="5" max="5" width="17.5703125" style="82" customWidth="1"/>
    <col min="6" max="6" width="17.5703125" style="81" customWidth="1"/>
    <col min="7" max="12" width="17.5703125" customWidth="1"/>
    <col min="13" max="13" width="17.5703125" style="82" customWidth="1"/>
    <col min="14" max="14" width="17.5703125" style="81" customWidth="1"/>
    <col min="15" max="17" width="17.5703125" customWidth="1"/>
    <col min="18" max="18" width="17.5703125" style="82" customWidth="1"/>
    <col min="19" max="19" width="17.5703125" style="83" customWidth="1"/>
    <col min="20" max="20" width="17.5703125" style="81" customWidth="1"/>
    <col min="21" max="21" width="17.5703125" style="82" customWidth="1"/>
  </cols>
  <sheetData>
    <row r="1" spans="1:21" x14ac:dyDescent="0.25">
      <c r="A1" s="77" t="s">
        <v>3</v>
      </c>
      <c r="B1" s="84" t="s">
        <v>555</v>
      </c>
      <c r="C1" s="78" t="s">
        <v>559</v>
      </c>
      <c r="D1" s="78" t="s">
        <v>560</v>
      </c>
      <c r="E1" s="85" t="s">
        <v>563</v>
      </c>
      <c r="F1" s="86" t="s">
        <v>19</v>
      </c>
      <c r="G1" s="79" t="s">
        <v>18</v>
      </c>
      <c r="H1" s="79" t="s">
        <v>553</v>
      </c>
      <c r="I1" s="79" t="s">
        <v>554</v>
      </c>
      <c r="J1" s="80" t="s">
        <v>561</v>
      </c>
      <c r="K1" s="79" t="s">
        <v>562</v>
      </c>
      <c r="L1" s="79" t="s">
        <v>16</v>
      </c>
      <c r="M1" s="87" t="s">
        <v>17</v>
      </c>
      <c r="N1" s="88" t="s">
        <v>23</v>
      </c>
      <c r="O1" s="89" t="s">
        <v>24</v>
      </c>
      <c r="P1" s="90" t="s">
        <v>25</v>
      </c>
      <c r="Q1" s="89" t="s">
        <v>26</v>
      </c>
      <c r="R1" s="91" t="s">
        <v>27</v>
      </c>
      <c r="S1" s="92" t="s">
        <v>5</v>
      </c>
      <c r="T1" s="93" t="s">
        <v>12</v>
      </c>
      <c r="U1" s="94" t="s">
        <v>9</v>
      </c>
    </row>
    <row r="2" spans="1:21" x14ac:dyDescent="0.25">
      <c r="A2" t="s">
        <v>41</v>
      </c>
      <c r="B2" s="81">
        <v>280</v>
      </c>
      <c r="C2">
        <v>1200</v>
      </c>
      <c r="D2">
        <v>140</v>
      </c>
      <c r="E2" s="82">
        <v>30</v>
      </c>
      <c r="F2" s="81">
        <v>291.47242768686169</v>
      </c>
      <c r="G2">
        <v>5126.4579999999996</v>
      </c>
      <c r="H2">
        <v>903.68399999999997</v>
      </c>
      <c r="I2">
        <v>40.395572313138274</v>
      </c>
      <c r="J2">
        <v>112.878</v>
      </c>
      <c r="K2">
        <v>57.825000000000003</v>
      </c>
      <c r="L2">
        <v>204.74299999999999</v>
      </c>
      <c r="M2" s="82">
        <v>106.36799999999999</v>
      </c>
      <c r="N2" s="81">
        <v>0.79</v>
      </c>
      <c r="O2">
        <v>0.51229508196721307</v>
      </c>
      <c r="P2">
        <v>1.9520000000000002</v>
      </c>
      <c r="Q2">
        <v>0.51200000000000001</v>
      </c>
      <c r="R2" s="82">
        <v>0.35399999999999998</v>
      </c>
      <c r="S2" s="83">
        <v>450</v>
      </c>
      <c r="T2" s="81" t="s">
        <v>43</v>
      </c>
      <c r="U2" s="82">
        <v>4305823</v>
      </c>
    </row>
    <row r="3" spans="1:21" x14ac:dyDescent="0.25">
      <c r="A3" t="s">
        <v>50</v>
      </c>
      <c r="B3" s="81">
        <v>280</v>
      </c>
      <c r="C3">
        <v>1200</v>
      </c>
      <c r="D3">
        <v>140</v>
      </c>
      <c r="E3" s="82">
        <v>30</v>
      </c>
      <c r="F3" s="81">
        <v>213.09990819493368</v>
      </c>
      <c r="G3">
        <v>2510.2220000000002</v>
      </c>
      <c r="H3">
        <v>279.90100000000001</v>
      </c>
      <c r="I3">
        <v>28.267091805066318</v>
      </c>
      <c r="J3">
        <v>71.605999999999995</v>
      </c>
      <c r="K3">
        <v>44.634999999999998</v>
      </c>
      <c r="L3">
        <v>83.313999999999993</v>
      </c>
      <c r="M3" s="82">
        <v>51.826999999999998</v>
      </c>
      <c r="N3" s="81">
        <v>0.40300000000000002</v>
      </c>
      <c r="O3">
        <v>0.6234413965087281</v>
      </c>
      <c r="P3">
        <v>1.6040000000000003</v>
      </c>
      <c r="Q3">
        <v>0.623</v>
      </c>
      <c r="R3" s="82">
        <v>0.79500000000000004</v>
      </c>
      <c r="S3" s="83">
        <v>500</v>
      </c>
      <c r="T3" s="81" t="s">
        <v>43</v>
      </c>
      <c r="U3" s="82">
        <v>1544620</v>
      </c>
    </row>
    <row r="4" spans="1:21" x14ac:dyDescent="0.25">
      <c r="A4" t="s">
        <v>52</v>
      </c>
      <c r="B4" s="81">
        <v>280</v>
      </c>
      <c r="C4">
        <v>1200</v>
      </c>
      <c r="D4">
        <v>140</v>
      </c>
      <c r="E4" s="82">
        <v>30</v>
      </c>
      <c r="F4" s="81">
        <v>834.46689755786474</v>
      </c>
      <c r="G4">
        <v>2638.2730000000001</v>
      </c>
      <c r="H4">
        <v>281.82499999999999</v>
      </c>
      <c r="I4">
        <v>28.979102442135229</v>
      </c>
      <c r="J4">
        <v>73.980999999999995</v>
      </c>
      <c r="K4">
        <v>45.405999999999999</v>
      </c>
      <c r="L4">
        <v>82.590999999999994</v>
      </c>
      <c r="M4" s="82">
        <v>53.54</v>
      </c>
      <c r="N4" s="81">
        <v>0.41699999999999998</v>
      </c>
      <c r="O4">
        <v>0.61387354205033762</v>
      </c>
      <c r="P4">
        <v>1.629</v>
      </c>
      <c r="Q4">
        <v>0.61399999999999999</v>
      </c>
      <c r="R4" s="82">
        <v>0.78</v>
      </c>
      <c r="S4" s="83">
        <v>500</v>
      </c>
      <c r="T4" s="81" t="s">
        <v>43</v>
      </c>
      <c r="U4" s="82">
        <v>2136507</v>
      </c>
    </row>
    <row r="5" spans="1:21" x14ac:dyDescent="0.25">
      <c r="A5" t="s">
        <v>53</v>
      </c>
      <c r="B5" s="81">
        <v>280</v>
      </c>
      <c r="C5">
        <v>1200</v>
      </c>
      <c r="D5">
        <v>140</v>
      </c>
      <c r="E5" s="82">
        <v>30</v>
      </c>
      <c r="F5" s="81">
        <v>214.46279595962491</v>
      </c>
      <c r="G5">
        <v>5327.2830000000004</v>
      </c>
      <c r="H5">
        <v>401.67099999999999</v>
      </c>
      <c r="I5">
        <v>41.179204040375076</v>
      </c>
      <c r="J5">
        <v>144.78100000000001</v>
      </c>
      <c r="K5">
        <v>46.851999999999997</v>
      </c>
      <c r="L5">
        <v>155.53899999999999</v>
      </c>
      <c r="M5" s="82">
        <v>63.472999999999999</v>
      </c>
      <c r="N5" s="81">
        <v>0.41499999999999998</v>
      </c>
      <c r="O5">
        <v>0.3236245954692557</v>
      </c>
      <c r="P5">
        <v>3.0899999999999994</v>
      </c>
      <c r="Q5">
        <v>0.32400000000000001</v>
      </c>
      <c r="R5" s="82">
        <v>0.78</v>
      </c>
      <c r="S5" s="83">
        <v>600</v>
      </c>
      <c r="T5" s="81" t="s">
        <v>43</v>
      </c>
      <c r="U5" s="82">
        <v>33689</v>
      </c>
    </row>
    <row r="6" spans="1:21" x14ac:dyDescent="0.25">
      <c r="A6" t="s">
        <v>54</v>
      </c>
      <c r="B6" s="81">
        <v>280</v>
      </c>
      <c r="C6">
        <v>1200</v>
      </c>
      <c r="D6">
        <v>140</v>
      </c>
      <c r="E6" s="82">
        <v>30</v>
      </c>
      <c r="F6" s="81">
        <v>81.915604871689894</v>
      </c>
      <c r="G6">
        <v>4477.5339999999997</v>
      </c>
      <c r="H6">
        <v>549.053</v>
      </c>
      <c r="I6">
        <v>37.752395128310113</v>
      </c>
      <c r="J6">
        <v>113.19199999999999</v>
      </c>
      <c r="K6">
        <v>50.366</v>
      </c>
      <c r="L6">
        <v>153.047</v>
      </c>
      <c r="M6" s="82">
        <v>75.114999999999995</v>
      </c>
      <c r="N6" s="81">
        <v>0.187</v>
      </c>
      <c r="O6">
        <v>0.44503782821539833</v>
      </c>
      <c r="P6">
        <v>2.2469999999999999</v>
      </c>
      <c r="Q6">
        <v>0.44500000000000001</v>
      </c>
      <c r="R6" s="82">
        <v>0.48899999999999999</v>
      </c>
      <c r="S6" s="83">
        <v>450</v>
      </c>
      <c r="T6" s="81" t="s">
        <v>43</v>
      </c>
      <c r="U6" s="82">
        <v>3616919</v>
      </c>
    </row>
    <row r="7" spans="1:21" x14ac:dyDescent="0.25">
      <c r="A7" t="s">
        <v>56</v>
      </c>
      <c r="B7" s="81">
        <v>280</v>
      </c>
      <c r="C7">
        <v>1200</v>
      </c>
      <c r="D7">
        <v>140</v>
      </c>
      <c r="E7" s="82">
        <v>30</v>
      </c>
      <c r="F7" s="81">
        <v>7.5839999999999996</v>
      </c>
      <c r="G7">
        <v>1220.722</v>
      </c>
      <c r="H7">
        <v>179.864</v>
      </c>
      <c r="I7">
        <v>19.712125224897729</v>
      </c>
      <c r="J7">
        <v>73.635999999999996</v>
      </c>
      <c r="K7">
        <v>21.106999999999999</v>
      </c>
      <c r="L7">
        <v>76.075999999999993</v>
      </c>
      <c r="M7" s="82">
        <v>22.609000000000002</v>
      </c>
      <c r="N7" s="81">
        <v>0.47399999999999998</v>
      </c>
      <c r="O7">
        <v>0.28661507595299512</v>
      </c>
      <c r="P7">
        <v>3.4889999999999999</v>
      </c>
      <c r="Q7">
        <v>0.28699999999999998</v>
      </c>
      <c r="R7" s="82">
        <v>0.87</v>
      </c>
      <c r="S7" s="83">
        <v>450</v>
      </c>
      <c r="T7" s="81" t="s">
        <v>43</v>
      </c>
      <c r="U7" s="82">
        <v>2057094</v>
      </c>
    </row>
    <row r="8" spans="1:21" x14ac:dyDescent="0.25">
      <c r="A8" t="s">
        <v>59</v>
      </c>
      <c r="B8" s="81">
        <v>280</v>
      </c>
      <c r="C8">
        <v>1200</v>
      </c>
      <c r="D8">
        <v>140</v>
      </c>
      <c r="E8" s="82">
        <v>30</v>
      </c>
      <c r="F8" s="81">
        <v>0</v>
      </c>
      <c r="G8">
        <v>2574.1509999999998</v>
      </c>
      <c r="H8">
        <v>229.809</v>
      </c>
      <c r="I8">
        <v>28.624774441554834</v>
      </c>
      <c r="J8">
        <v>70.201999999999998</v>
      </c>
      <c r="K8">
        <v>46.686999999999998</v>
      </c>
      <c r="L8">
        <v>79.968000000000004</v>
      </c>
      <c r="M8" s="82">
        <v>52.259</v>
      </c>
      <c r="N8" s="81">
        <v>0.61299999999999999</v>
      </c>
      <c r="O8">
        <v>0.66489361702127658</v>
      </c>
      <c r="P8">
        <v>1.504</v>
      </c>
      <c r="Q8">
        <v>0.66500000000000004</v>
      </c>
      <c r="R8" s="82">
        <v>0.86199999999999999</v>
      </c>
      <c r="S8" s="83">
        <v>600</v>
      </c>
      <c r="T8" s="81" t="s">
        <v>43</v>
      </c>
      <c r="U8" s="82">
        <v>30900</v>
      </c>
    </row>
    <row r="9" spans="1:21" x14ac:dyDescent="0.25">
      <c r="A9" t="s">
        <v>61</v>
      </c>
      <c r="B9" s="81">
        <v>280</v>
      </c>
      <c r="C9">
        <v>1200</v>
      </c>
      <c r="D9">
        <v>140</v>
      </c>
      <c r="E9" s="82">
        <v>30</v>
      </c>
      <c r="F9" s="81">
        <v>0</v>
      </c>
      <c r="G9">
        <v>3110.6</v>
      </c>
      <c r="H9">
        <v>237.59399999999999</v>
      </c>
      <c r="I9">
        <v>31.466406403707737</v>
      </c>
      <c r="J9">
        <v>73.391999999999996</v>
      </c>
      <c r="K9">
        <v>53.963999999999999</v>
      </c>
      <c r="L9">
        <v>80.405000000000001</v>
      </c>
      <c r="M9" s="82">
        <v>58.194000000000003</v>
      </c>
      <c r="N9" s="81">
        <v>0.69199999999999995</v>
      </c>
      <c r="O9">
        <v>0.73529411764705876</v>
      </c>
      <c r="P9">
        <v>1.36</v>
      </c>
      <c r="Q9">
        <v>0.73499999999999999</v>
      </c>
      <c r="R9" s="82">
        <v>0.90800000000000003</v>
      </c>
      <c r="S9" s="83">
        <v>600</v>
      </c>
      <c r="T9" s="81" t="s">
        <v>43</v>
      </c>
      <c r="U9" s="82">
        <v>24908</v>
      </c>
    </row>
    <row r="10" spans="1:21" x14ac:dyDescent="0.25">
      <c r="A10" t="s">
        <v>68</v>
      </c>
      <c r="B10" s="81">
        <v>336</v>
      </c>
      <c r="C10">
        <v>840</v>
      </c>
      <c r="D10">
        <v>140</v>
      </c>
      <c r="E10" s="82">
        <v>30</v>
      </c>
      <c r="F10" s="81">
        <v>83.263221087766993</v>
      </c>
      <c r="G10">
        <v>3175.0619999999999</v>
      </c>
      <c r="H10">
        <v>215.78100000000001</v>
      </c>
      <c r="I10">
        <v>31.790778912233005</v>
      </c>
      <c r="J10">
        <v>71.680000000000007</v>
      </c>
      <c r="K10">
        <v>56.398000000000003</v>
      </c>
      <c r="L10">
        <v>75.858000000000004</v>
      </c>
      <c r="M10" s="82">
        <v>55.966000000000001</v>
      </c>
      <c r="N10" s="81">
        <v>0.85699999999999998</v>
      </c>
      <c r="O10">
        <v>0.78678206136900086</v>
      </c>
      <c r="P10">
        <v>1.2709999999999999</v>
      </c>
      <c r="Q10">
        <v>0.78700000000000003</v>
      </c>
      <c r="R10" s="82">
        <v>0.98299999999999998</v>
      </c>
      <c r="S10" s="83">
        <v>500</v>
      </c>
      <c r="T10" s="81" t="s">
        <v>64</v>
      </c>
      <c r="U10" s="82">
        <v>738546</v>
      </c>
    </row>
    <row r="11" spans="1:21" x14ac:dyDescent="0.25">
      <c r="A11" t="s">
        <v>70</v>
      </c>
      <c r="B11" s="81">
        <v>336</v>
      </c>
      <c r="C11">
        <v>840</v>
      </c>
      <c r="D11">
        <v>140</v>
      </c>
      <c r="E11" s="82">
        <v>30</v>
      </c>
      <c r="F11" s="81">
        <v>167.21948827637794</v>
      </c>
      <c r="G11">
        <v>4910.2389999999996</v>
      </c>
      <c r="H11">
        <v>260.01600000000002</v>
      </c>
      <c r="I11">
        <v>39.53451172362206</v>
      </c>
      <c r="J11">
        <v>82.971999999999994</v>
      </c>
      <c r="K11">
        <v>75.349999999999994</v>
      </c>
      <c r="L11">
        <v>84.899000000000001</v>
      </c>
      <c r="M11" s="82">
        <v>72.900000000000006</v>
      </c>
      <c r="N11" s="81">
        <v>0.91300000000000003</v>
      </c>
      <c r="O11">
        <v>0.90826521344232514</v>
      </c>
      <c r="P11">
        <v>1.101</v>
      </c>
      <c r="Q11">
        <v>0.90800000000000003</v>
      </c>
      <c r="R11" s="82">
        <v>0.98899999999999999</v>
      </c>
      <c r="S11" s="83">
        <v>600</v>
      </c>
      <c r="T11" s="81" t="s">
        <v>64</v>
      </c>
      <c r="U11" s="82">
        <v>146688</v>
      </c>
    </row>
    <row r="12" spans="1:21" x14ac:dyDescent="0.25">
      <c r="A12" t="s">
        <v>72</v>
      </c>
      <c r="B12" s="81">
        <v>336</v>
      </c>
      <c r="C12">
        <v>840</v>
      </c>
      <c r="D12">
        <v>140</v>
      </c>
      <c r="E12" s="82">
        <v>30</v>
      </c>
      <c r="F12" s="81">
        <v>5</v>
      </c>
      <c r="G12">
        <v>3792.174</v>
      </c>
      <c r="H12">
        <v>235.69</v>
      </c>
      <c r="I12">
        <v>34.743150034634603</v>
      </c>
      <c r="J12">
        <v>74.611000000000004</v>
      </c>
      <c r="K12">
        <v>64.713999999999999</v>
      </c>
      <c r="L12">
        <v>79.561000000000007</v>
      </c>
      <c r="M12" s="82">
        <v>62.929000000000002</v>
      </c>
      <c r="N12" s="81">
        <v>0.85799999999999998</v>
      </c>
      <c r="O12">
        <v>0.86730268863833471</v>
      </c>
      <c r="P12">
        <v>1.153</v>
      </c>
      <c r="Q12">
        <v>0.86699999999999999</v>
      </c>
      <c r="R12" s="82">
        <v>0.96799999999999997</v>
      </c>
      <c r="S12" s="83">
        <v>600</v>
      </c>
      <c r="T12" s="81" t="s">
        <v>43</v>
      </c>
      <c r="U12" s="82">
        <v>133016</v>
      </c>
    </row>
    <row r="13" spans="1:21" x14ac:dyDescent="0.25">
      <c r="A13" t="s">
        <v>76</v>
      </c>
      <c r="B13" s="81">
        <v>336</v>
      </c>
      <c r="C13">
        <v>840</v>
      </c>
      <c r="D13">
        <v>140</v>
      </c>
      <c r="E13" s="82">
        <v>30</v>
      </c>
      <c r="F13" s="81">
        <v>5</v>
      </c>
      <c r="G13">
        <v>1274.6289999999999</v>
      </c>
      <c r="H13">
        <v>141.03100000000001</v>
      </c>
      <c r="I13">
        <v>20.142666454979562</v>
      </c>
      <c r="J13">
        <v>51.622999999999998</v>
      </c>
      <c r="K13">
        <v>31.437000000000001</v>
      </c>
      <c r="L13">
        <v>50.765000000000001</v>
      </c>
      <c r="M13" s="82">
        <v>31.209</v>
      </c>
      <c r="N13" s="81">
        <v>0.80500000000000005</v>
      </c>
      <c r="O13">
        <v>0.60901339829476253</v>
      </c>
      <c r="P13">
        <v>1.6419999999999999</v>
      </c>
      <c r="Q13">
        <v>0.60899999999999999</v>
      </c>
      <c r="R13" s="82">
        <v>0.96699999999999997</v>
      </c>
      <c r="S13" s="83">
        <v>600</v>
      </c>
      <c r="T13" s="81" t="s">
        <v>64</v>
      </c>
      <c r="U13" s="82">
        <v>42753</v>
      </c>
    </row>
    <row r="14" spans="1:21" x14ac:dyDescent="0.25">
      <c r="A14" t="s">
        <v>79</v>
      </c>
      <c r="B14" s="81">
        <v>364</v>
      </c>
      <c r="C14">
        <v>960</v>
      </c>
      <c r="D14">
        <v>140</v>
      </c>
      <c r="E14" s="82">
        <v>30</v>
      </c>
      <c r="F14" s="81">
        <v>501.93936165068408</v>
      </c>
      <c r="G14">
        <v>1899.874</v>
      </c>
      <c r="H14">
        <v>154.63800000000001</v>
      </c>
      <c r="I14">
        <v>24.591638349315875</v>
      </c>
      <c r="J14">
        <v>50.781999999999996</v>
      </c>
      <c r="K14">
        <v>47.634999999999998</v>
      </c>
      <c r="L14">
        <v>50.783000000000001</v>
      </c>
      <c r="M14" s="82">
        <v>47.637</v>
      </c>
      <c r="N14" s="81">
        <v>0.998</v>
      </c>
      <c r="O14">
        <v>0.9380863039399624</v>
      </c>
      <c r="P14">
        <v>1.0660000000000001</v>
      </c>
      <c r="Q14">
        <v>0.93799999999999994</v>
      </c>
      <c r="R14" s="82">
        <v>1</v>
      </c>
      <c r="S14" s="83">
        <v>450</v>
      </c>
      <c r="T14" s="81" t="s">
        <v>64</v>
      </c>
      <c r="U14" s="82">
        <v>8440701</v>
      </c>
    </row>
    <row r="15" spans="1:21" x14ac:dyDescent="0.25">
      <c r="A15" t="s">
        <v>80</v>
      </c>
      <c r="B15" s="81">
        <v>364</v>
      </c>
      <c r="C15">
        <v>960</v>
      </c>
      <c r="D15">
        <v>140</v>
      </c>
      <c r="E15" s="82">
        <v>30</v>
      </c>
      <c r="F15" s="81">
        <v>768.21348404733055</v>
      </c>
      <c r="G15">
        <v>3203.8380000000002</v>
      </c>
      <c r="H15">
        <v>209.88499999999999</v>
      </c>
      <c r="I15">
        <v>31.934515952669514</v>
      </c>
      <c r="J15">
        <v>75.950999999999993</v>
      </c>
      <c r="K15">
        <v>53.709000000000003</v>
      </c>
      <c r="L15">
        <v>76.263000000000005</v>
      </c>
      <c r="M15" s="82">
        <v>54.509</v>
      </c>
      <c r="N15" s="81">
        <v>0.91400000000000003</v>
      </c>
      <c r="O15">
        <v>0.70721357850070721</v>
      </c>
      <c r="P15">
        <v>1.4139999999999999</v>
      </c>
      <c r="Q15">
        <v>0.70699999999999996</v>
      </c>
      <c r="R15" s="82">
        <v>0.998</v>
      </c>
      <c r="S15" s="83">
        <v>450</v>
      </c>
      <c r="T15" s="81" t="s">
        <v>64</v>
      </c>
      <c r="U15" s="82">
        <v>6053604</v>
      </c>
    </row>
    <row r="16" spans="1:21" x14ac:dyDescent="0.25">
      <c r="A16" t="s">
        <v>83</v>
      </c>
      <c r="B16" s="81">
        <v>364</v>
      </c>
      <c r="C16">
        <v>960</v>
      </c>
      <c r="D16">
        <v>140</v>
      </c>
      <c r="E16" s="82">
        <v>30</v>
      </c>
      <c r="F16" s="81">
        <v>344.97381782280911</v>
      </c>
      <c r="G16">
        <v>3436.5929999999998</v>
      </c>
      <c r="H16">
        <v>212.46700000000001</v>
      </c>
      <c r="I16">
        <v>33.074182177190892</v>
      </c>
      <c r="J16">
        <v>71.551000000000002</v>
      </c>
      <c r="K16">
        <v>61.152999999999999</v>
      </c>
      <c r="L16">
        <v>73.106999999999999</v>
      </c>
      <c r="M16" s="82">
        <v>60.965000000000003</v>
      </c>
      <c r="N16" s="81">
        <v>0.95699999999999996</v>
      </c>
      <c r="O16">
        <v>0.85470085470085477</v>
      </c>
      <c r="P16">
        <v>1.17</v>
      </c>
      <c r="Q16">
        <v>0.85499999999999998</v>
      </c>
      <c r="R16" s="82">
        <v>0.997</v>
      </c>
      <c r="S16" s="83">
        <v>500</v>
      </c>
      <c r="T16" s="81" t="s">
        <v>64</v>
      </c>
      <c r="U16" s="82">
        <v>1490267</v>
      </c>
    </row>
    <row r="17" spans="1:21" x14ac:dyDescent="0.25">
      <c r="A17" t="s">
        <v>85</v>
      </c>
      <c r="B17" s="81">
        <v>364</v>
      </c>
      <c r="C17">
        <v>960</v>
      </c>
      <c r="D17">
        <v>140</v>
      </c>
      <c r="E17" s="82">
        <v>30</v>
      </c>
      <c r="F17" s="81">
        <v>267.12130026430293</v>
      </c>
      <c r="G17">
        <v>2175.4380000000001</v>
      </c>
      <c r="H17">
        <v>171.53</v>
      </c>
      <c r="I17">
        <v>26.31469973569703</v>
      </c>
      <c r="J17">
        <v>55.545999999999999</v>
      </c>
      <c r="K17">
        <v>49.866</v>
      </c>
      <c r="L17">
        <v>57.372</v>
      </c>
      <c r="M17" s="82">
        <v>50.110999999999997</v>
      </c>
      <c r="N17" s="81">
        <v>0.92900000000000005</v>
      </c>
      <c r="O17">
        <v>0.89766606822262107</v>
      </c>
      <c r="P17">
        <v>1.1140000000000001</v>
      </c>
      <c r="Q17">
        <v>0.89800000000000002</v>
      </c>
      <c r="R17" s="82">
        <v>0.99099999999999999</v>
      </c>
      <c r="S17" s="83">
        <v>600</v>
      </c>
      <c r="T17" s="81" t="s">
        <v>64</v>
      </c>
      <c r="U17" s="82">
        <v>423405</v>
      </c>
    </row>
    <row r="18" spans="1:21" x14ac:dyDescent="0.25">
      <c r="A18" t="s">
        <v>86</v>
      </c>
      <c r="B18" s="81">
        <v>364</v>
      </c>
      <c r="C18">
        <v>960</v>
      </c>
      <c r="D18">
        <v>140</v>
      </c>
      <c r="E18" s="82">
        <v>30</v>
      </c>
      <c r="F18" s="81">
        <v>384.95442411698218</v>
      </c>
      <c r="G18">
        <v>3425.877</v>
      </c>
      <c r="H18">
        <v>207.536</v>
      </c>
      <c r="I18">
        <v>33.022575883017765</v>
      </c>
      <c r="J18">
        <v>67.222999999999999</v>
      </c>
      <c r="K18">
        <v>64.887</v>
      </c>
      <c r="L18">
        <v>67.221999999999994</v>
      </c>
      <c r="M18" s="82">
        <v>64.888999999999996</v>
      </c>
      <c r="N18" s="81">
        <v>1</v>
      </c>
      <c r="O18">
        <v>0.96525096525096521</v>
      </c>
      <c r="P18">
        <v>1.036</v>
      </c>
      <c r="Q18">
        <v>0.96499999999999997</v>
      </c>
      <c r="R18" s="82">
        <v>1</v>
      </c>
      <c r="S18" s="83">
        <v>600</v>
      </c>
      <c r="T18" s="81" t="s">
        <v>64</v>
      </c>
      <c r="U18" s="82">
        <v>299497</v>
      </c>
    </row>
    <row r="19" spans="1:21" x14ac:dyDescent="0.25">
      <c r="A19" t="s">
        <v>90</v>
      </c>
      <c r="B19" s="81">
        <v>364</v>
      </c>
      <c r="C19">
        <v>960</v>
      </c>
      <c r="D19">
        <v>140</v>
      </c>
      <c r="E19" s="82">
        <v>30</v>
      </c>
      <c r="F19" s="81">
        <v>5</v>
      </c>
      <c r="G19">
        <v>901.92</v>
      </c>
      <c r="H19">
        <v>127.244</v>
      </c>
      <c r="I19">
        <v>16.943731954527742</v>
      </c>
      <c r="J19">
        <v>47.093000000000004</v>
      </c>
      <c r="K19">
        <v>24.093</v>
      </c>
      <c r="L19">
        <v>49.463999999999999</v>
      </c>
      <c r="M19" s="82">
        <v>25.603000000000002</v>
      </c>
      <c r="N19" s="81">
        <v>0.7</v>
      </c>
      <c r="O19">
        <v>0.51786639047125838</v>
      </c>
      <c r="P19">
        <v>1.931</v>
      </c>
      <c r="Q19">
        <v>0.51800000000000002</v>
      </c>
      <c r="R19" s="82">
        <v>0.93899999999999995</v>
      </c>
      <c r="S19" s="83">
        <v>600</v>
      </c>
      <c r="T19" s="81" t="s">
        <v>64</v>
      </c>
      <c r="U19" s="82">
        <v>79110</v>
      </c>
    </row>
    <row r="20" spans="1:21" x14ac:dyDescent="0.25">
      <c r="A20" t="s">
        <v>95</v>
      </c>
      <c r="B20" s="81">
        <v>252</v>
      </c>
      <c r="C20">
        <v>1200</v>
      </c>
      <c r="D20">
        <v>140</v>
      </c>
      <c r="E20" s="82">
        <v>30</v>
      </c>
      <c r="F20" s="81">
        <v>198.27528148910551</v>
      </c>
      <c r="G20">
        <v>4904.8270000000002</v>
      </c>
      <c r="H20">
        <v>360.17500000000001</v>
      </c>
      <c r="I20">
        <v>39.512718510894487</v>
      </c>
      <c r="J20">
        <v>92.141999999999996</v>
      </c>
      <c r="K20">
        <v>67.775999999999996</v>
      </c>
      <c r="L20">
        <v>120.027</v>
      </c>
      <c r="M20" s="82">
        <v>86.022000000000006</v>
      </c>
      <c r="N20" s="81">
        <v>0.47499999999999998</v>
      </c>
      <c r="O20">
        <v>0.73583517292126566</v>
      </c>
      <c r="P20">
        <v>1.359</v>
      </c>
      <c r="Q20">
        <v>0.73599999999999999</v>
      </c>
      <c r="R20" s="82">
        <v>0.77300000000000002</v>
      </c>
      <c r="S20" s="83">
        <v>500</v>
      </c>
      <c r="T20" s="81" t="s">
        <v>43</v>
      </c>
      <c r="U20" s="82">
        <v>607174</v>
      </c>
    </row>
    <row r="21" spans="1:21" x14ac:dyDescent="0.25">
      <c r="A21" t="s">
        <v>96</v>
      </c>
      <c r="B21" s="81">
        <v>252</v>
      </c>
      <c r="C21">
        <v>1200</v>
      </c>
      <c r="D21">
        <v>140</v>
      </c>
      <c r="E21" s="82">
        <v>30</v>
      </c>
      <c r="F21" s="81">
        <v>583.20673511809093</v>
      </c>
      <c r="G21">
        <v>4892.8050000000003</v>
      </c>
      <c r="H21">
        <v>572.86699999999996</v>
      </c>
      <c r="I21">
        <v>39.464264881909074</v>
      </c>
      <c r="J21">
        <v>208.54499999999999</v>
      </c>
      <c r="K21">
        <v>29.872</v>
      </c>
      <c r="L21">
        <v>45</v>
      </c>
      <c r="M21" s="82">
        <v>40.08</v>
      </c>
      <c r="N21" s="81">
        <v>0.187</v>
      </c>
      <c r="O21">
        <v>0.14324595330181922</v>
      </c>
      <c r="P21">
        <v>6.9809999999999999</v>
      </c>
      <c r="Q21">
        <v>0.14299999999999999</v>
      </c>
      <c r="R21" s="82">
        <v>0.65400000000000003</v>
      </c>
      <c r="S21" s="83">
        <v>600</v>
      </c>
      <c r="T21" s="81" t="s">
        <v>43</v>
      </c>
      <c r="U21" s="82">
        <v>224671</v>
      </c>
    </row>
    <row r="22" spans="1:21" x14ac:dyDescent="0.25">
      <c r="A22" t="s">
        <v>97</v>
      </c>
      <c r="B22" s="81">
        <v>252</v>
      </c>
      <c r="C22">
        <v>1200</v>
      </c>
      <c r="D22">
        <v>140</v>
      </c>
      <c r="E22" s="82">
        <v>30</v>
      </c>
      <c r="F22" s="81">
        <v>814.88692929646652</v>
      </c>
      <c r="G22">
        <v>21123.075000000001</v>
      </c>
      <c r="H22">
        <v>960.97799999999995</v>
      </c>
      <c r="I22">
        <v>81.998070703533472</v>
      </c>
      <c r="J22">
        <v>222.53800000000001</v>
      </c>
      <c r="K22">
        <v>120.854</v>
      </c>
      <c r="L22">
        <v>258.28399999999999</v>
      </c>
      <c r="M22" s="82">
        <v>159.71199999999999</v>
      </c>
      <c r="N22" s="81">
        <v>0.28699999999999998</v>
      </c>
      <c r="O22">
        <v>0.54318305268875611</v>
      </c>
      <c r="P22">
        <v>1.841</v>
      </c>
      <c r="Q22">
        <v>0.54300000000000004</v>
      </c>
      <c r="R22" s="82">
        <v>0.68500000000000005</v>
      </c>
      <c r="S22" s="83">
        <v>500</v>
      </c>
      <c r="T22" s="81" t="s">
        <v>43</v>
      </c>
      <c r="U22" s="82">
        <v>143298</v>
      </c>
    </row>
    <row r="23" spans="1:21" x14ac:dyDescent="0.25">
      <c r="A23" t="s">
        <v>98</v>
      </c>
      <c r="B23" s="81">
        <v>252</v>
      </c>
      <c r="C23">
        <v>1200</v>
      </c>
      <c r="D23">
        <v>140</v>
      </c>
      <c r="E23" s="82">
        <v>30</v>
      </c>
      <c r="F23" s="81">
        <v>681.68281761415085</v>
      </c>
      <c r="G23">
        <v>16128.147000000001</v>
      </c>
      <c r="H23">
        <v>1389.4839999999999</v>
      </c>
      <c r="I23">
        <v>71.650182385849135</v>
      </c>
      <c r="J23">
        <v>234.98699999999999</v>
      </c>
      <c r="K23">
        <v>87.388000000000005</v>
      </c>
      <c r="L23">
        <v>367.09500000000003</v>
      </c>
      <c r="M23" s="82">
        <v>162.48099999999999</v>
      </c>
      <c r="N23" s="81">
        <v>0.105</v>
      </c>
      <c r="O23">
        <v>0.37188545927854222</v>
      </c>
      <c r="P23">
        <v>2.6890000000000001</v>
      </c>
      <c r="Q23">
        <v>0.372</v>
      </c>
      <c r="R23" s="82">
        <v>0.436</v>
      </c>
      <c r="S23" s="83">
        <v>600</v>
      </c>
      <c r="T23" s="81" t="s">
        <v>43</v>
      </c>
      <c r="U23" s="82">
        <v>73284</v>
      </c>
    </row>
    <row r="24" spans="1:21" x14ac:dyDescent="0.25">
      <c r="A24" t="s">
        <v>100</v>
      </c>
      <c r="B24" s="81">
        <v>252</v>
      </c>
      <c r="C24">
        <v>1200</v>
      </c>
      <c r="D24">
        <v>140</v>
      </c>
      <c r="E24" s="82">
        <v>30</v>
      </c>
      <c r="F24" s="81">
        <v>13.7</v>
      </c>
      <c r="G24">
        <v>1839.4570000000001</v>
      </c>
      <c r="H24">
        <v>251.10900000000001</v>
      </c>
      <c r="I24">
        <v>24.197465741477497</v>
      </c>
      <c r="J24">
        <v>63.872999999999998</v>
      </c>
      <c r="K24">
        <v>36.667999999999999</v>
      </c>
      <c r="L24">
        <v>89.218999999999994</v>
      </c>
      <c r="M24" s="82">
        <v>49.966000000000001</v>
      </c>
      <c r="N24" s="81">
        <v>0.36699999999999999</v>
      </c>
      <c r="O24">
        <v>0.57405281285878296</v>
      </c>
      <c r="P24">
        <v>1.7420000000000002</v>
      </c>
      <c r="Q24">
        <v>0.57399999999999995</v>
      </c>
      <c r="R24" s="82">
        <v>0.66600000000000004</v>
      </c>
      <c r="S24" s="83">
        <v>450</v>
      </c>
      <c r="T24" s="81" t="s">
        <v>43</v>
      </c>
      <c r="U24" s="82">
        <v>92287</v>
      </c>
    </row>
    <row r="25" spans="1:21" x14ac:dyDescent="0.25">
      <c r="A25" t="s">
        <v>101</v>
      </c>
      <c r="B25" s="81">
        <v>252</v>
      </c>
      <c r="C25">
        <v>1200</v>
      </c>
      <c r="D25">
        <v>140</v>
      </c>
      <c r="E25" s="82">
        <v>30</v>
      </c>
      <c r="F25" s="81">
        <v>0</v>
      </c>
      <c r="G25">
        <v>3516.864</v>
      </c>
      <c r="H25">
        <v>352.71600000000001</v>
      </c>
      <c r="I25">
        <v>33.458221404669295</v>
      </c>
      <c r="J25">
        <v>145</v>
      </c>
      <c r="K25">
        <v>30.846</v>
      </c>
      <c r="L25">
        <v>143.59700000000001</v>
      </c>
      <c r="M25" s="82">
        <v>42.712000000000003</v>
      </c>
      <c r="N25" s="81">
        <v>0.35499999999999998</v>
      </c>
      <c r="O25">
        <v>0.21249468763280915</v>
      </c>
      <c r="P25">
        <v>4.7060000000000004</v>
      </c>
      <c r="Q25">
        <v>0.214</v>
      </c>
      <c r="R25" s="82">
        <v>0.54</v>
      </c>
      <c r="S25" s="83">
        <v>450</v>
      </c>
      <c r="T25" s="81" t="s">
        <v>43</v>
      </c>
      <c r="U25" s="82">
        <v>76618</v>
      </c>
    </row>
    <row r="26" spans="1:21" x14ac:dyDescent="0.25">
      <c r="A26" t="s">
        <v>102</v>
      </c>
      <c r="B26" s="81">
        <v>252</v>
      </c>
      <c r="C26">
        <v>1200</v>
      </c>
      <c r="D26">
        <v>140</v>
      </c>
      <c r="E26" s="82">
        <v>30</v>
      </c>
      <c r="F26" s="81">
        <v>14.5</v>
      </c>
      <c r="G26">
        <v>4963.951</v>
      </c>
      <c r="H26">
        <v>489.15199999999999</v>
      </c>
      <c r="I26">
        <v>39.750153179980501</v>
      </c>
      <c r="J26">
        <v>110.003</v>
      </c>
      <c r="K26">
        <v>57.456000000000003</v>
      </c>
      <c r="L26">
        <v>142.292</v>
      </c>
      <c r="M26" s="82">
        <v>69.795000000000002</v>
      </c>
      <c r="N26" s="81">
        <v>0.26100000000000001</v>
      </c>
      <c r="O26">
        <v>0.5221932114882506</v>
      </c>
      <c r="P26">
        <v>1.9150000000000003</v>
      </c>
      <c r="Q26">
        <v>0.52200000000000002</v>
      </c>
      <c r="R26" s="82">
        <v>0.75700000000000001</v>
      </c>
      <c r="S26" s="83">
        <v>600</v>
      </c>
      <c r="T26" s="81" t="s">
        <v>43</v>
      </c>
      <c r="U26" s="82">
        <v>55098</v>
      </c>
    </row>
    <row r="27" spans="1:21" x14ac:dyDescent="0.25">
      <c r="A27" t="s">
        <v>106</v>
      </c>
      <c r="B27" s="81">
        <v>252</v>
      </c>
      <c r="C27">
        <v>1200</v>
      </c>
      <c r="D27">
        <v>140</v>
      </c>
      <c r="E27" s="82">
        <v>30</v>
      </c>
      <c r="F27" s="81">
        <v>0</v>
      </c>
      <c r="G27">
        <v>17574.074000000001</v>
      </c>
      <c r="H27">
        <v>1232.877</v>
      </c>
      <c r="I27">
        <v>74.793057797669391</v>
      </c>
      <c r="J27">
        <v>216.13200000000001</v>
      </c>
      <c r="K27">
        <v>103.529</v>
      </c>
      <c r="L27">
        <v>317.935</v>
      </c>
      <c r="M27" s="82">
        <v>172.821</v>
      </c>
      <c r="N27" s="81">
        <v>0.14499999999999999</v>
      </c>
      <c r="O27">
        <v>0.47892720306513409</v>
      </c>
      <c r="P27">
        <v>2.0880000000000001</v>
      </c>
      <c r="Q27">
        <v>0.47899999999999998</v>
      </c>
      <c r="R27" s="82">
        <v>0.51600000000000001</v>
      </c>
      <c r="S27" s="83">
        <v>600</v>
      </c>
      <c r="T27" s="81" t="s">
        <v>43</v>
      </c>
      <c r="U27" s="82">
        <v>29035</v>
      </c>
    </row>
    <row r="28" spans="1:21" x14ac:dyDescent="0.25">
      <c r="A28" t="s">
        <v>110</v>
      </c>
      <c r="B28" s="81">
        <v>224</v>
      </c>
      <c r="C28">
        <v>1200</v>
      </c>
      <c r="D28">
        <v>140</v>
      </c>
      <c r="E28" s="82">
        <v>30</v>
      </c>
      <c r="F28" s="81">
        <v>19.695</v>
      </c>
      <c r="G28">
        <v>4560.8379999999997</v>
      </c>
      <c r="H28">
        <v>604.99599999999998</v>
      </c>
      <c r="I28">
        <v>38.101966152453436</v>
      </c>
      <c r="J28">
        <v>146.69300000000001</v>
      </c>
      <c r="K28">
        <v>39.585999999999999</v>
      </c>
      <c r="L28">
        <v>197.346</v>
      </c>
      <c r="M28" s="82">
        <v>84.894999999999996</v>
      </c>
      <c r="N28" s="81">
        <v>0.157</v>
      </c>
      <c r="O28">
        <v>0.26983270372369134</v>
      </c>
      <c r="P28">
        <v>3.7059999999999995</v>
      </c>
      <c r="Q28">
        <v>0.27</v>
      </c>
      <c r="R28" s="82">
        <v>0.43099999999999999</v>
      </c>
      <c r="S28" s="83">
        <v>450</v>
      </c>
      <c r="T28" s="81" t="s">
        <v>43</v>
      </c>
      <c r="U28" s="82">
        <v>75479</v>
      </c>
    </row>
    <row r="29" spans="1:21" x14ac:dyDescent="0.25">
      <c r="A29" t="s">
        <v>111</v>
      </c>
      <c r="B29" s="81">
        <v>224</v>
      </c>
      <c r="C29">
        <v>1200</v>
      </c>
      <c r="D29">
        <v>140</v>
      </c>
      <c r="E29" s="82">
        <v>30</v>
      </c>
      <c r="F29" s="81">
        <v>0</v>
      </c>
      <c r="G29">
        <v>7028.3180000000002</v>
      </c>
      <c r="H29">
        <v>426.875</v>
      </c>
      <c r="I29">
        <v>47.298869993304145</v>
      </c>
      <c r="J29">
        <v>150.85400000000001</v>
      </c>
      <c r="K29">
        <v>59.32</v>
      </c>
      <c r="L29">
        <v>156.29</v>
      </c>
      <c r="M29" s="82">
        <v>73.957999999999998</v>
      </c>
      <c r="N29" s="81">
        <v>0.48499999999999999</v>
      </c>
      <c r="O29">
        <v>0.39323633503735744</v>
      </c>
      <c r="P29">
        <v>2.5430000000000001</v>
      </c>
      <c r="Q29">
        <v>0.39300000000000002</v>
      </c>
      <c r="R29" s="82">
        <v>0.81499999999999995</v>
      </c>
      <c r="S29" s="83">
        <v>500</v>
      </c>
      <c r="T29" s="81" t="s">
        <v>43</v>
      </c>
      <c r="U29" s="82">
        <v>51337</v>
      </c>
    </row>
    <row r="30" spans="1:21" x14ac:dyDescent="0.25">
      <c r="A30" t="s">
        <v>112</v>
      </c>
      <c r="B30" s="81">
        <v>224</v>
      </c>
      <c r="C30">
        <v>1200</v>
      </c>
      <c r="D30">
        <v>140</v>
      </c>
      <c r="E30" s="82">
        <v>30</v>
      </c>
      <c r="F30" s="81">
        <v>0</v>
      </c>
      <c r="G30">
        <v>9830.0949999999993</v>
      </c>
      <c r="H30">
        <v>1230.4939999999999</v>
      </c>
      <c r="I30">
        <v>55.937611860230945</v>
      </c>
      <c r="J30">
        <v>143.59299999999999</v>
      </c>
      <c r="K30">
        <v>87.162999999999997</v>
      </c>
      <c r="L30">
        <v>278.81200000000001</v>
      </c>
      <c r="M30" s="82">
        <v>160.07599999999999</v>
      </c>
      <c r="N30" s="81">
        <v>8.2000000000000003E-2</v>
      </c>
      <c r="O30">
        <v>0.60716454159077105</v>
      </c>
      <c r="P30">
        <v>1.6470000000000002</v>
      </c>
      <c r="Q30">
        <v>0.60699999999999998</v>
      </c>
      <c r="R30" s="82">
        <v>0.32600000000000001</v>
      </c>
      <c r="S30" s="83">
        <v>600</v>
      </c>
      <c r="T30" s="81" t="s">
        <v>43</v>
      </c>
      <c r="U30" s="82">
        <v>14605</v>
      </c>
    </row>
    <row r="31" spans="1:21" x14ac:dyDescent="0.25">
      <c r="A31" t="s">
        <v>113</v>
      </c>
      <c r="B31" s="81">
        <v>224</v>
      </c>
      <c r="C31">
        <v>1200</v>
      </c>
      <c r="D31">
        <v>140</v>
      </c>
      <c r="E31" s="82">
        <v>30</v>
      </c>
      <c r="F31" s="81">
        <v>60.685000000000002</v>
      </c>
      <c r="G31">
        <v>2315.364</v>
      </c>
      <c r="H31">
        <v>291.44600000000003</v>
      </c>
      <c r="I31">
        <v>27.147803802776501</v>
      </c>
      <c r="J31">
        <v>63.094999999999999</v>
      </c>
      <c r="K31">
        <v>46.722999999999999</v>
      </c>
      <c r="L31">
        <v>84.176000000000002</v>
      </c>
      <c r="M31" s="82">
        <v>51.37</v>
      </c>
      <c r="N31" s="81">
        <v>0.34300000000000003</v>
      </c>
      <c r="O31">
        <v>0.7407407407407407</v>
      </c>
      <c r="P31">
        <v>1.35</v>
      </c>
      <c r="Q31">
        <v>0.74099999999999999</v>
      </c>
      <c r="R31" s="82">
        <v>0.64600000000000002</v>
      </c>
      <c r="S31" s="83">
        <v>450</v>
      </c>
      <c r="T31" s="81" t="s">
        <v>43</v>
      </c>
      <c r="U31" s="82">
        <v>66984</v>
      </c>
    </row>
    <row r="32" spans="1:21" x14ac:dyDescent="0.25">
      <c r="A32" t="s">
        <v>119</v>
      </c>
      <c r="B32" s="81">
        <v>224</v>
      </c>
      <c r="C32">
        <v>1200</v>
      </c>
      <c r="D32">
        <v>140</v>
      </c>
      <c r="E32" s="82">
        <v>30</v>
      </c>
      <c r="F32" s="81">
        <v>0</v>
      </c>
      <c r="G32">
        <v>9489.357</v>
      </c>
      <c r="H32">
        <v>531.92999999999995</v>
      </c>
      <c r="I32">
        <v>54.959586485228918</v>
      </c>
      <c r="J32">
        <v>165.75</v>
      </c>
      <c r="K32">
        <v>72.894000000000005</v>
      </c>
      <c r="L32">
        <v>184.34</v>
      </c>
      <c r="M32" s="82">
        <v>97.956000000000003</v>
      </c>
      <c r="N32" s="81">
        <v>0.42099999999999999</v>
      </c>
      <c r="O32">
        <v>0.43975373790677219</v>
      </c>
      <c r="P32">
        <v>2.274</v>
      </c>
      <c r="Q32">
        <v>0.44</v>
      </c>
      <c r="R32" s="82">
        <v>0.755</v>
      </c>
      <c r="S32" s="83">
        <v>500</v>
      </c>
      <c r="T32" s="81" t="s">
        <v>43</v>
      </c>
      <c r="U32" s="82">
        <v>29475</v>
      </c>
    </row>
    <row r="33" spans="1:21" x14ac:dyDescent="0.25">
      <c r="A33" t="s">
        <v>121</v>
      </c>
      <c r="B33" s="81">
        <v>224</v>
      </c>
      <c r="C33">
        <v>1200</v>
      </c>
      <c r="D33">
        <v>140</v>
      </c>
      <c r="E33" s="82">
        <v>30</v>
      </c>
      <c r="F33" s="81">
        <v>14.618</v>
      </c>
      <c r="G33">
        <v>12722.888999999999</v>
      </c>
      <c r="H33">
        <v>685.101</v>
      </c>
      <c r="I33">
        <v>63.638206680570455</v>
      </c>
      <c r="J33">
        <v>172.02500000000001</v>
      </c>
      <c r="K33">
        <v>94.168000000000006</v>
      </c>
      <c r="L33">
        <v>204.864</v>
      </c>
      <c r="M33" s="82">
        <v>124.77500000000001</v>
      </c>
      <c r="N33" s="81">
        <v>0.34100000000000003</v>
      </c>
      <c r="O33">
        <v>0.54734537493158186</v>
      </c>
      <c r="P33">
        <v>1.827</v>
      </c>
      <c r="Q33">
        <v>0.54700000000000004</v>
      </c>
      <c r="R33" s="82">
        <v>0.72899999999999998</v>
      </c>
      <c r="S33" s="83">
        <v>600</v>
      </c>
      <c r="T33" s="81" t="s">
        <v>43</v>
      </c>
      <c r="U33" s="82">
        <v>22154</v>
      </c>
    </row>
    <row r="34" spans="1:21" x14ac:dyDescent="0.25">
      <c r="A34" t="s">
        <v>123</v>
      </c>
      <c r="B34" s="81">
        <v>224</v>
      </c>
      <c r="C34">
        <v>1200</v>
      </c>
      <c r="D34">
        <v>140</v>
      </c>
      <c r="E34" s="82">
        <v>30</v>
      </c>
      <c r="F34" s="81">
        <v>5</v>
      </c>
      <c r="G34">
        <v>7120.5249999999996</v>
      </c>
      <c r="H34">
        <v>608.226</v>
      </c>
      <c r="I34">
        <v>47.608124331030261</v>
      </c>
      <c r="J34">
        <v>123.303</v>
      </c>
      <c r="K34">
        <v>73.527000000000001</v>
      </c>
      <c r="L34">
        <v>164.85900000000001</v>
      </c>
      <c r="M34" s="82">
        <v>115.377</v>
      </c>
      <c r="N34" s="81">
        <v>0.24199999999999999</v>
      </c>
      <c r="O34">
        <v>0.59630292188431722</v>
      </c>
      <c r="P34">
        <v>1.677</v>
      </c>
      <c r="Q34">
        <v>0.59599999999999997</v>
      </c>
      <c r="R34" s="82">
        <v>0.58899999999999997</v>
      </c>
      <c r="S34" s="83">
        <v>600</v>
      </c>
      <c r="T34" s="81" t="s">
        <v>43</v>
      </c>
      <c r="U34" s="82">
        <v>18769</v>
      </c>
    </row>
    <row r="35" spans="1:21" x14ac:dyDescent="0.25">
      <c r="A35" t="s">
        <v>126</v>
      </c>
      <c r="B35" s="81">
        <v>280</v>
      </c>
      <c r="C35">
        <v>1200</v>
      </c>
      <c r="D35">
        <v>168</v>
      </c>
      <c r="E35" s="82">
        <v>30</v>
      </c>
      <c r="F35" s="81">
        <v>1315.0619769343571</v>
      </c>
      <c r="G35">
        <v>11381.484</v>
      </c>
      <c r="H35">
        <v>618.68600000000004</v>
      </c>
      <c r="I35">
        <v>60.190023065642983</v>
      </c>
      <c r="J35">
        <v>145.714</v>
      </c>
      <c r="K35">
        <v>99.450999999999993</v>
      </c>
      <c r="L35">
        <v>194.8</v>
      </c>
      <c r="M35" s="82">
        <v>120.67</v>
      </c>
      <c r="N35" s="81">
        <v>0.374</v>
      </c>
      <c r="O35">
        <v>0.68259385665529004</v>
      </c>
      <c r="P35">
        <v>1.4650000000000001</v>
      </c>
      <c r="Q35">
        <v>0.68300000000000005</v>
      </c>
      <c r="R35" s="82">
        <v>0.76100000000000001</v>
      </c>
      <c r="S35" s="83">
        <v>500</v>
      </c>
      <c r="T35" s="81" t="s">
        <v>43</v>
      </c>
      <c r="U35" s="82">
        <v>358390</v>
      </c>
    </row>
    <row r="36" spans="1:21" x14ac:dyDescent="0.25">
      <c r="A36" t="s">
        <v>127</v>
      </c>
      <c r="B36" s="81">
        <v>280</v>
      </c>
      <c r="C36">
        <v>1200</v>
      </c>
      <c r="D36">
        <v>168</v>
      </c>
      <c r="E36" s="82">
        <v>30</v>
      </c>
      <c r="F36" s="81">
        <v>65.012</v>
      </c>
      <c r="G36">
        <v>504.959</v>
      </c>
      <c r="H36">
        <v>92.951999999999998</v>
      </c>
      <c r="I36">
        <v>12.678069325314512</v>
      </c>
      <c r="J36">
        <v>32.865000000000002</v>
      </c>
      <c r="K36">
        <v>19.562999999999999</v>
      </c>
      <c r="L36">
        <v>33.901000000000003</v>
      </c>
      <c r="M36" s="82">
        <v>20.925999999999998</v>
      </c>
      <c r="N36" s="81">
        <v>0.73399999999999999</v>
      </c>
      <c r="O36">
        <v>0.59523809523809523</v>
      </c>
      <c r="P36">
        <v>1.68</v>
      </c>
      <c r="Q36">
        <v>0.59499999999999997</v>
      </c>
      <c r="R36" s="82">
        <v>0.93</v>
      </c>
      <c r="S36" s="83">
        <v>600</v>
      </c>
      <c r="T36" s="81" t="s">
        <v>43</v>
      </c>
      <c r="U36" s="82">
        <v>42567</v>
      </c>
    </row>
    <row r="37" spans="1:21" x14ac:dyDescent="0.25">
      <c r="A37" t="s">
        <v>132</v>
      </c>
      <c r="B37" s="81">
        <v>280</v>
      </c>
      <c r="C37">
        <v>1200</v>
      </c>
      <c r="D37">
        <v>168</v>
      </c>
      <c r="E37" s="82">
        <v>30</v>
      </c>
      <c r="F37" s="81">
        <v>27.003</v>
      </c>
      <c r="G37">
        <v>5454.5280000000002</v>
      </c>
      <c r="H37">
        <v>451.97500000000002</v>
      </c>
      <c r="I37">
        <v>41.668095551228397</v>
      </c>
      <c r="J37">
        <v>156.85900000000001</v>
      </c>
      <c r="K37">
        <v>44.274999999999999</v>
      </c>
      <c r="L37">
        <v>179.114</v>
      </c>
      <c r="M37" s="82">
        <v>60.265999999999998</v>
      </c>
      <c r="N37" s="81">
        <v>0.33600000000000002</v>
      </c>
      <c r="O37">
        <v>0.28224668360146765</v>
      </c>
      <c r="P37">
        <v>3.5430000000000006</v>
      </c>
      <c r="Q37">
        <v>0.28199999999999997</v>
      </c>
      <c r="R37" s="82">
        <v>0.65600000000000003</v>
      </c>
      <c r="S37" s="83">
        <v>450</v>
      </c>
      <c r="T37" s="81" t="s">
        <v>43</v>
      </c>
      <c r="U37" s="82">
        <v>67423</v>
      </c>
    </row>
    <row r="38" spans="1:21" x14ac:dyDescent="0.25">
      <c r="A38" t="s">
        <v>133</v>
      </c>
      <c r="B38" s="81">
        <v>280</v>
      </c>
      <c r="C38">
        <v>1200</v>
      </c>
      <c r="D38">
        <v>168</v>
      </c>
      <c r="E38" s="82">
        <v>30</v>
      </c>
      <c r="F38" s="81">
        <v>0</v>
      </c>
      <c r="G38">
        <v>5812.3819999999996</v>
      </c>
      <c r="H38">
        <v>701.33900000000006</v>
      </c>
      <c r="I38">
        <v>43.013238111966338</v>
      </c>
      <c r="J38">
        <v>245.685</v>
      </c>
      <c r="K38">
        <v>30.122</v>
      </c>
      <c r="L38">
        <v>262.428</v>
      </c>
      <c r="M38" s="82">
        <v>45.609000000000002</v>
      </c>
      <c r="N38" s="81">
        <v>0.14799999999999999</v>
      </c>
      <c r="O38">
        <v>0.12260912211868562</v>
      </c>
      <c r="P38">
        <v>8.1560000000000006</v>
      </c>
      <c r="Q38">
        <v>0.123</v>
      </c>
      <c r="R38" s="82">
        <v>0.58299999999999996</v>
      </c>
      <c r="S38" s="83">
        <v>600</v>
      </c>
      <c r="T38" s="81" t="s">
        <v>43</v>
      </c>
      <c r="U38" s="82">
        <v>16296</v>
      </c>
    </row>
    <row r="39" spans="1:21" x14ac:dyDescent="0.25">
      <c r="A39" t="s">
        <v>134</v>
      </c>
      <c r="B39" s="81">
        <v>280</v>
      </c>
      <c r="C39">
        <v>1200</v>
      </c>
      <c r="D39">
        <v>168</v>
      </c>
      <c r="E39" s="82">
        <v>30</v>
      </c>
      <c r="F39" s="81">
        <v>0</v>
      </c>
      <c r="G39">
        <v>21457.405999999999</v>
      </c>
      <c r="H39">
        <v>1334.8150000000001</v>
      </c>
      <c r="I39">
        <v>82.644446042425542</v>
      </c>
      <c r="J39">
        <v>177.02</v>
      </c>
      <c r="K39">
        <v>154.33500000000001</v>
      </c>
      <c r="L39">
        <v>237.636</v>
      </c>
      <c r="M39" s="82">
        <v>188.197</v>
      </c>
      <c r="N39" s="81">
        <v>0.151</v>
      </c>
      <c r="O39">
        <v>0.87183958151700081</v>
      </c>
      <c r="P39">
        <v>1.147</v>
      </c>
      <c r="Q39">
        <v>0.872</v>
      </c>
      <c r="R39" s="82">
        <v>0.63700000000000001</v>
      </c>
      <c r="S39" s="83">
        <v>600</v>
      </c>
      <c r="T39" s="81" t="s">
        <v>43</v>
      </c>
      <c r="U39" s="82">
        <v>15280</v>
      </c>
    </row>
    <row r="40" spans="1:21" x14ac:dyDescent="0.25">
      <c r="A40" t="s">
        <v>136</v>
      </c>
      <c r="B40" s="81">
        <v>280</v>
      </c>
      <c r="C40">
        <v>1200</v>
      </c>
      <c r="D40">
        <v>168</v>
      </c>
      <c r="E40" s="82">
        <v>30</v>
      </c>
      <c r="F40" s="81">
        <v>0</v>
      </c>
      <c r="G40">
        <v>2940.7220000000002</v>
      </c>
      <c r="H40">
        <v>442.01499999999999</v>
      </c>
      <c r="I40">
        <v>30.595112111547646</v>
      </c>
      <c r="J40">
        <v>116.33799999999999</v>
      </c>
      <c r="K40">
        <v>32.183999999999997</v>
      </c>
      <c r="L40">
        <v>170.48699999999999</v>
      </c>
      <c r="M40" s="82">
        <v>53.764000000000003</v>
      </c>
      <c r="N40" s="81">
        <v>0.189</v>
      </c>
      <c r="O40">
        <v>0.27662517289073302</v>
      </c>
      <c r="P40">
        <v>3.6150000000000007</v>
      </c>
      <c r="Q40">
        <v>0.27700000000000002</v>
      </c>
      <c r="R40" s="82">
        <v>0.51500000000000001</v>
      </c>
      <c r="S40" s="83">
        <v>500</v>
      </c>
      <c r="T40" s="81" t="s">
        <v>43</v>
      </c>
      <c r="U40" s="82">
        <v>34633</v>
      </c>
    </row>
    <row r="41" spans="1:21" x14ac:dyDescent="0.25">
      <c r="A41" t="s">
        <v>198</v>
      </c>
      <c r="B41" s="81">
        <v>280</v>
      </c>
      <c r="C41">
        <v>1200</v>
      </c>
      <c r="D41">
        <v>168</v>
      </c>
      <c r="E41" s="82">
        <v>30</v>
      </c>
      <c r="F41" s="81">
        <v>40</v>
      </c>
      <c r="G41">
        <v>8231</v>
      </c>
      <c r="H41">
        <v>539</v>
      </c>
      <c r="I41">
        <v>51.186020290493197</v>
      </c>
      <c r="J41">
        <v>135</v>
      </c>
      <c r="K41">
        <v>77</v>
      </c>
      <c r="L41">
        <v>207.37200000000001</v>
      </c>
      <c r="M41" s="82">
        <v>126.876</v>
      </c>
      <c r="N41" s="81">
        <v>0.36</v>
      </c>
      <c r="O41">
        <v>0.57471264367816088</v>
      </c>
      <c r="P41">
        <v>1.7400000000000002</v>
      </c>
      <c r="Q41">
        <v>0.56999999999999995</v>
      </c>
      <c r="R41" s="82">
        <v>0.65</v>
      </c>
      <c r="S41" s="83">
        <v>450</v>
      </c>
      <c r="T41" s="81" t="s">
        <v>43</v>
      </c>
      <c r="U41" s="82">
        <v>40140</v>
      </c>
    </row>
    <row r="42" spans="1:21" x14ac:dyDescent="0.25">
      <c r="A42" t="s">
        <v>201</v>
      </c>
      <c r="B42" s="81">
        <v>280</v>
      </c>
      <c r="C42">
        <v>1200</v>
      </c>
      <c r="D42">
        <v>168</v>
      </c>
      <c r="E42" s="82">
        <v>30</v>
      </c>
      <c r="F42" s="81">
        <v>0</v>
      </c>
      <c r="G42">
        <v>7059.21</v>
      </c>
      <c r="H42">
        <v>554.024</v>
      </c>
      <c r="I42">
        <v>47.402703843214233</v>
      </c>
      <c r="J42">
        <v>185.45599999999999</v>
      </c>
      <c r="K42">
        <v>48.465000000000003</v>
      </c>
      <c r="L42">
        <v>202.93</v>
      </c>
      <c r="M42" s="82">
        <v>82.241</v>
      </c>
      <c r="N42" s="81">
        <v>0.28899999999999998</v>
      </c>
      <c r="O42">
        <v>0.26130128037627387</v>
      </c>
      <c r="P42">
        <v>3.8269999999999995</v>
      </c>
      <c r="Q42">
        <v>0.26100000000000001</v>
      </c>
      <c r="R42" s="82">
        <v>0.57799999999999996</v>
      </c>
      <c r="S42" s="83">
        <v>450</v>
      </c>
      <c r="T42" s="81" t="s">
        <v>43</v>
      </c>
      <c r="U42" s="82">
        <v>59200</v>
      </c>
    </row>
    <row r="43" spans="1:21" x14ac:dyDescent="0.25">
      <c r="A43" t="s">
        <v>205</v>
      </c>
      <c r="B43" s="81">
        <v>280</v>
      </c>
      <c r="C43">
        <v>1200</v>
      </c>
      <c r="D43">
        <v>168</v>
      </c>
      <c r="E43" s="82">
        <v>30</v>
      </c>
      <c r="F43" s="81">
        <v>0</v>
      </c>
      <c r="G43">
        <v>12069.984</v>
      </c>
      <c r="H43">
        <v>901.76900000000001</v>
      </c>
      <c r="I43">
        <v>61.98383041794186</v>
      </c>
      <c r="J43">
        <v>205.46299999999999</v>
      </c>
      <c r="K43">
        <v>74.796999999999997</v>
      </c>
      <c r="L43">
        <v>256.83800000000002</v>
      </c>
      <c r="M43" s="82">
        <v>112.672</v>
      </c>
      <c r="N43" s="81">
        <v>0.187</v>
      </c>
      <c r="O43">
        <v>0.36403349108117949</v>
      </c>
      <c r="P43">
        <v>2.7469999999999999</v>
      </c>
      <c r="Q43">
        <v>0.36399999999999999</v>
      </c>
      <c r="R43" s="82">
        <v>0.50900000000000001</v>
      </c>
      <c r="S43" s="83">
        <v>600</v>
      </c>
      <c r="T43" s="81" t="s">
        <v>43</v>
      </c>
      <c r="U43" s="82">
        <v>15254</v>
      </c>
    </row>
    <row r="44" spans="1:21" x14ac:dyDescent="0.25">
      <c r="A44" t="s">
        <v>206</v>
      </c>
      <c r="B44" s="81">
        <v>280</v>
      </c>
      <c r="C44">
        <v>1200</v>
      </c>
      <c r="D44">
        <v>168</v>
      </c>
      <c r="E44" s="82">
        <v>30</v>
      </c>
      <c r="F44" s="81">
        <v>23.73</v>
      </c>
      <c r="G44">
        <v>12955.007</v>
      </c>
      <c r="H44">
        <v>1475.433</v>
      </c>
      <c r="I44">
        <v>64.216094584459213</v>
      </c>
      <c r="J44">
        <v>168.55500000000001</v>
      </c>
      <c r="K44">
        <v>97.86</v>
      </c>
      <c r="L44">
        <v>349.5</v>
      </c>
      <c r="M44" s="82">
        <v>203.30199999999999</v>
      </c>
      <c r="N44" s="81">
        <v>7.4999999999999997E-2</v>
      </c>
      <c r="O44">
        <v>0.58072009291521487</v>
      </c>
      <c r="P44">
        <v>1.722</v>
      </c>
      <c r="Q44">
        <v>0.58099999999999996</v>
      </c>
      <c r="R44" s="82">
        <v>0.26500000000000001</v>
      </c>
      <c r="S44" s="83">
        <v>600</v>
      </c>
      <c r="T44" s="81" t="s">
        <v>43</v>
      </c>
      <c r="U44" s="82">
        <v>10294</v>
      </c>
    </row>
    <row r="45" spans="1:21" x14ac:dyDescent="0.25">
      <c r="A45" t="s">
        <v>209</v>
      </c>
      <c r="B45" s="81">
        <v>280</v>
      </c>
      <c r="C45">
        <v>1200</v>
      </c>
      <c r="D45">
        <v>168</v>
      </c>
      <c r="E45" s="82">
        <v>30</v>
      </c>
      <c r="F45" s="81">
        <v>6.0720000000000001</v>
      </c>
      <c r="G45">
        <v>10069.234</v>
      </c>
      <c r="H45">
        <v>457.274</v>
      </c>
      <c r="I45">
        <v>56.613926983543152</v>
      </c>
      <c r="J45">
        <v>138.31200000000001</v>
      </c>
      <c r="K45">
        <v>92.692999999999998</v>
      </c>
      <c r="L45">
        <v>165.55600000000001</v>
      </c>
      <c r="M45" s="82">
        <v>101.637</v>
      </c>
      <c r="N45" s="81">
        <v>0.60499999999999998</v>
      </c>
      <c r="O45">
        <v>0.67024128686327078</v>
      </c>
      <c r="P45">
        <v>1.492</v>
      </c>
      <c r="Q45">
        <v>0.67</v>
      </c>
      <c r="R45" s="82">
        <v>0.82499999999999996</v>
      </c>
      <c r="S45" s="83">
        <v>600</v>
      </c>
      <c r="T45" s="81" t="s">
        <v>43</v>
      </c>
      <c r="U45" s="82">
        <v>17240</v>
      </c>
    </row>
    <row r="46" spans="1:21" x14ac:dyDescent="0.25">
      <c r="A46" t="s">
        <v>210</v>
      </c>
      <c r="B46" s="81">
        <v>280</v>
      </c>
      <c r="C46">
        <v>1200</v>
      </c>
      <c r="D46">
        <v>168</v>
      </c>
      <c r="E46" s="82">
        <v>30</v>
      </c>
      <c r="F46" s="81">
        <v>9.6300000000000008</v>
      </c>
      <c r="G46">
        <v>13100.549000000001</v>
      </c>
      <c r="H46">
        <v>594.35500000000002</v>
      </c>
      <c r="I46">
        <v>64.575802442828177</v>
      </c>
      <c r="J46">
        <v>147.41200000000001</v>
      </c>
      <c r="K46">
        <v>113.15300000000001</v>
      </c>
      <c r="L46">
        <v>164.85900000000001</v>
      </c>
      <c r="M46" s="82">
        <v>147.39400000000001</v>
      </c>
      <c r="N46" s="81">
        <v>0.46600000000000003</v>
      </c>
      <c r="O46">
        <v>0.76745970836531086</v>
      </c>
      <c r="P46">
        <v>1.3029999999999999</v>
      </c>
      <c r="Q46">
        <v>0.76800000000000002</v>
      </c>
      <c r="R46" s="82">
        <v>0.76700000000000002</v>
      </c>
      <c r="S46" s="83">
        <v>500</v>
      </c>
      <c r="T46" s="81" t="s">
        <v>43</v>
      </c>
      <c r="U46" s="82">
        <v>28412</v>
      </c>
    </row>
    <row r="47" spans="1:21" x14ac:dyDescent="0.25">
      <c r="A47" t="s">
        <v>213</v>
      </c>
      <c r="B47" s="81">
        <v>280</v>
      </c>
      <c r="C47">
        <v>1200</v>
      </c>
      <c r="D47">
        <v>168</v>
      </c>
      <c r="E47" s="82">
        <v>30</v>
      </c>
      <c r="F47" s="81">
        <v>0</v>
      </c>
      <c r="G47">
        <v>4413.8270000000002</v>
      </c>
      <c r="H47">
        <v>291.71499999999997</v>
      </c>
      <c r="I47">
        <v>37.482859682859612</v>
      </c>
      <c r="J47">
        <v>89.028999999999996</v>
      </c>
      <c r="K47">
        <v>63.124000000000002</v>
      </c>
      <c r="L47">
        <v>110.58799999999999</v>
      </c>
      <c r="M47" s="82">
        <v>73.289000000000001</v>
      </c>
      <c r="N47" s="81">
        <v>0.65200000000000002</v>
      </c>
      <c r="O47">
        <v>0.70921985815602839</v>
      </c>
      <c r="P47">
        <v>1.41</v>
      </c>
      <c r="Q47">
        <v>0.70899999999999996</v>
      </c>
      <c r="R47" s="82">
        <v>0.878</v>
      </c>
      <c r="S47" s="83">
        <v>500</v>
      </c>
      <c r="T47" s="81" t="s">
        <v>43</v>
      </c>
      <c r="U47" s="82">
        <v>45496</v>
      </c>
    </row>
    <row r="48" spans="1:21" x14ac:dyDescent="0.25">
      <c r="A48" t="s">
        <v>259</v>
      </c>
      <c r="B48" s="81">
        <v>224</v>
      </c>
      <c r="C48">
        <v>1200</v>
      </c>
      <c r="D48">
        <v>140</v>
      </c>
      <c r="E48" s="82">
        <v>30</v>
      </c>
      <c r="F48" s="81">
        <v>63.661999999999999</v>
      </c>
      <c r="G48">
        <v>7975.8779999999997</v>
      </c>
      <c r="H48">
        <v>602.92399999999998</v>
      </c>
      <c r="I48">
        <v>50.38651425129347</v>
      </c>
      <c r="J48">
        <v>171.97499999999999</v>
      </c>
      <c r="K48">
        <v>59.051000000000002</v>
      </c>
      <c r="L48">
        <v>199.714</v>
      </c>
      <c r="M48" s="82">
        <v>85.938999999999993</v>
      </c>
      <c r="N48" s="81">
        <v>0.27600000000000002</v>
      </c>
      <c r="O48">
        <v>0.34340659340659341</v>
      </c>
      <c r="P48">
        <v>2.9119999999999999</v>
      </c>
      <c r="Q48">
        <v>0.34300000000000003</v>
      </c>
      <c r="R48" s="82">
        <v>0.55600000000000005</v>
      </c>
      <c r="S48" s="83">
        <v>500</v>
      </c>
      <c r="T48" s="81" t="s">
        <v>43</v>
      </c>
      <c r="U48" s="82">
        <v>410147</v>
      </c>
    </row>
    <row r="49" spans="1:21" x14ac:dyDescent="0.25">
      <c r="A49" t="s">
        <v>261</v>
      </c>
      <c r="B49" s="81">
        <v>224</v>
      </c>
      <c r="C49">
        <v>1200</v>
      </c>
      <c r="D49">
        <v>140</v>
      </c>
      <c r="E49" s="82">
        <v>30</v>
      </c>
      <c r="F49" s="81">
        <v>215.601</v>
      </c>
      <c r="G49">
        <v>7219.4790000000003</v>
      </c>
      <c r="H49">
        <v>650.91700000000003</v>
      </c>
      <c r="I49">
        <v>47.937788213436242</v>
      </c>
      <c r="J49">
        <v>136.316</v>
      </c>
      <c r="K49">
        <v>67.433000000000007</v>
      </c>
      <c r="L49">
        <v>198.83699999999999</v>
      </c>
      <c r="M49" s="82">
        <v>107.113</v>
      </c>
      <c r="N49" s="81">
        <v>0.214</v>
      </c>
      <c r="O49">
        <v>0.49455984174085071</v>
      </c>
      <c r="P49">
        <v>2.0219999999999998</v>
      </c>
      <c r="Q49">
        <v>0.495</v>
      </c>
      <c r="R49" s="82">
        <v>0.54</v>
      </c>
      <c r="S49" s="83">
        <v>450</v>
      </c>
      <c r="T49" s="81" t="s">
        <v>43</v>
      </c>
      <c r="U49" s="82">
        <v>1672166</v>
      </c>
    </row>
    <row r="50" spans="1:21" x14ac:dyDescent="0.25">
      <c r="A50" t="s">
        <v>262</v>
      </c>
      <c r="B50" s="81">
        <v>224</v>
      </c>
      <c r="C50">
        <v>1200</v>
      </c>
      <c r="D50">
        <v>140</v>
      </c>
      <c r="E50" s="82">
        <v>30</v>
      </c>
      <c r="F50" s="81">
        <v>0</v>
      </c>
      <c r="G50">
        <v>4676.79</v>
      </c>
      <c r="H50">
        <v>492.35700000000003</v>
      </c>
      <c r="I50">
        <v>38.583267002749913</v>
      </c>
      <c r="J50">
        <v>137.72300000000001</v>
      </c>
      <c r="K50">
        <v>43.237000000000002</v>
      </c>
      <c r="L50">
        <v>173.37700000000001</v>
      </c>
      <c r="M50" s="82">
        <v>65.522000000000006</v>
      </c>
      <c r="N50" s="81">
        <v>0.24199999999999999</v>
      </c>
      <c r="O50">
        <v>0.31397174254317112</v>
      </c>
      <c r="P50">
        <v>3.1850000000000001</v>
      </c>
      <c r="Q50">
        <v>0.314</v>
      </c>
      <c r="R50" s="82">
        <v>0.56999999999999995</v>
      </c>
      <c r="S50" s="83">
        <v>600</v>
      </c>
      <c r="T50" s="81" t="s">
        <v>43</v>
      </c>
      <c r="U50" s="82">
        <v>24219</v>
      </c>
    </row>
    <row r="51" spans="1:21" x14ac:dyDescent="0.25">
      <c r="A51" t="s">
        <v>265</v>
      </c>
      <c r="B51" s="81">
        <v>224</v>
      </c>
      <c r="C51">
        <v>1200</v>
      </c>
      <c r="D51">
        <v>140</v>
      </c>
      <c r="E51" s="82">
        <v>30</v>
      </c>
      <c r="F51" s="81">
        <v>7.6109999999999998</v>
      </c>
      <c r="G51">
        <v>6369.6090000000004</v>
      </c>
      <c r="H51">
        <v>454.09300000000002</v>
      </c>
      <c r="I51">
        <v>45.027874875739457</v>
      </c>
      <c r="J51">
        <v>150.822</v>
      </c>
      <c r="K51">
        <v>53.771999999999998</v>
      </c>
      <c r="L51">
        <v>172.114</v>
      </c>
      <c r="M51" s="82">
        <v>72.826999999999998</v>
      </c>
      <c r="N51" s="81">
        <v>0.38800000000000001</v>
      </c>
      <c r="O51">
        <v>0.35650623885918004</v>
      </c>
      <c r="P51">
        <v>2.8050000000000002</v>
      </c>
      <c r="Q51">
        <v>0.35699999999999998</v>
      </c>
      <c r="R51" s="82">
        <v>0.72899999999999998</v>
      </c>
      <c r="S51" s="83">
        <v>600</v>
      </c>
      <c r="T51" s="81" t="s">
        <v>43</v>
      </c>
      <c r="U51" s="82">
        <v>50070</v>
      </c>
    </row>
    <row r="52" spans="1:21" x14ac:dyDescent="0.25">
      <c r="A52" t="s">
        <v>278</v>
      </c>
      <c r="B52" s="81">
        <v>280</v>
      </c>
      <c r="C52">
        <v>1200</v>
      </c>
      <c r="D52">
        <v>168</v>
      </c>
      <c r="E52" s="82">
        <v>30</v>
      </c>
      <c r="F52" s="81">
        <v>354.03</v>
      </c>
      <c r="G52">
        <v>8295.1</v>
      </c>
      <c r="H52">
        <v>740.71</v>
      </c>
      <c r="I52">
        <v>51.384942705846839</v>
      </c>
      <c r="J52">
        <v>119.711</v>
      </c>
      <c r="K52">
        <v>88.225999999999999</v>
      </c>
      <c r="L52">
        <v>190.57400000000001</v>
      </c>
      <c r="M52" s="82">
        <v>135.244</v>
      </c>
      <c r="N52" s="81">
        <v>0.19</v>
      </c>
      <c r="O52">
        <v>0.73691967575534267</v>
      </c>
      <c r="P52">
        <v>1.357</v>
      </c>
      <c r="Q52">
        <v>0.73699999999999999</v>
      </c>
      <c r="R52" s="82">
        <v>0.45200000000000001</v>
      </c>
      <c r="S52" s="83">
        <v>500</v>
      </c>
      <c r="T52" s="81" t="s">
        <v>43</v>
      </c>
      <c r="U52" s="82">
        <v>448264</v>
      </c>
    </row>
    <row r="53" spans="1:21" x14ac:dyDescent="0.25">
      <c r="A53" t="s">
        <v>280</v>
      </c>
      <c r="B53" s="81">
        <v>280</v>
      </c>
      <c r="C53">
        <v>1200</v>
      </c>
      <c r="D53">
        <v>168</v>
      </c>
      <c r="E53" s="82">
        <v>30</v>
      </c>
      <c r="F53" s="81">
        <v>859.21900000000005</v>
      </c>
      <c r="G53">
        <v>10138.735000000001</v>
      </c>
      <c r="H53">
        <v>663.22799999999995</v>
      </c>
      <c r="I53">
        <v>56.808974501372717</v>
      </c>
      <c r="J53">
        <v>127.321</v>
      </c>
      <c r="K53">
        <v>101.369</v>
      </c>
      <c r="L53">
        <v>195.77099999999999</v>
      </c>
      <c r="M53" s="82">
        <v>136.52699999999999</v>
      </c>
      <c r="N53" s="81">
        <v>0.28999999999999998</v>
      </c>
      <c r="O53">
        <v>0.79617834394904463</v>
      </c>
      <c r="P53">
        <v>1.256</v>
      </c>
      <c r="Q53">
        <v>0.79600000000000004</v>
      </c>
      <c r="R53" s="82">
        <v>0.54300000000000004</v>
      </c>
      <c r="S53" s="83">
        <v>600</v>
      </c>
      <c r="T53" s="81" t="s">
        <v>43</v>
      </c>
      <c r="U53" s="82">
        <v>97697</v>
      </c>
    </row>
    <row r="54" spans="1:21" x14ac:dyDescent="0.25">
      <c r="A54" t="s">
        <v>346</v>
      </c>
      <c r="B54" s="81">
        <v>291.2</v>
      </c>
      <c r="C54">
        <v>1300</v>
      </c>
      <c r="D54">
        <v>117.12</v>
      </c>
      <c r="E54" s="82">
        <v>40</v>
      </c>
      <c r="F54" s="81">
        <v>986.15</v>
      </c>
      <c r="G54">
        <v>24633.99</v>
      </c>
      <c r="H54">
        <v>1485.58</v>
      </c>
      <c r="I54">
        <f t="shared" ref="I54:I85" si="0">SQRT(G54/PI())</f>
        <v>88.550790810430584</v>
      </c>
      <c r="J54">
        <v>311.81</v>
      </c>
      <c r="K54">
        <v>100.59</v>
      </c>
      <c r="L54">
        <v>412.77</v>
      </c>
      <c r="M54" s="82">
        <v>218.46</v>
      </c>
      <c r="N54" s="81">
        <v>0.14000000000000001</v>
      </c>
      <c r="O54">
        <f t="shared" ref="O54:O81" si="1">1/P54</f>
        <v>0.32258064516129031</v>
      </c>
      <c r="P54">
        <v>3.1</v>
      </c>
      <c r="Q54">
        <v>0.32</v>
      </c>
      <c r="R54" s="82">
        <v>0.38</v>
      </c>
      <c r="S54" s="83">
        <v>500</v>
      </c>
      <c r="T54" s="81" t="s">
        <v>43</v>
      </c>
      <c r="U54" s="82">
        <v>120248</v>
      </c>
    </row>
    <row r="55" spans="1:21" x14ac:dyDescent="0.25">
      <c r="A55" t="s">
        <v>348</v>
      </c>
      <c r="B55" s="81">
        <v>291.2</v>
      </c>
      <c r="C55">
        <v>1300</v>
      </c>
      <c r="D55">
        <v>117.12</v>
      </c>
      <c r="E55" s="82">
        <v>40</v>
      </c>
      <c r="F55" s="81">
        <v>29.568999999999999</v>
      </c>
      <c r="G55">
        <v>5008</v>
      </c>
      <c r="H55">
        <v>344.73</v>
      </c>
      <c r="I55">
        <f t="shared" si="0"/>
        <v>39.926130666625134</v>
      </c>
      <c r="J55">
        <v>108.49</v>
      </c>
      <c r="K55">
        <v>59.02</v>
      </c>
      <c r="L55">
        <v>120.23</v>
      </c>
      <c r="M55" s="82">
        <v>69.09</v>
      </c>
      <c r="N55" s="81">
        <v>0.53</v>
      </c>
      <c r="O55">
        <f t="shared" si="1"/>
        <v>0.54347826086956519</v>
      </c>
      <c r="P55">
        <v>1.84</v>
      </c>
      <c r="Q55">
        <v>0.54</v>
      </c>
      <c r="R55" s="82">
        <v>0.84</v>
      </c>
      <c r="S55" s="83">
        <v>600</v>
      </c>
      <c r="T55" s="81" t="s">
        <v>43</v>
      </c>
      <c r="U55" s="82">
        <v>145890</v>
      </c>
    </row>
    <row r="56" spans="1:21" x14ac:dyDescent="0.25">
      <c r="A56" t="s">
        <v>349</v>
      </c>
      <c r="B56" s="81">
        <v>291.2</v>
      </c>
      <c r="C56">
        <v>1300</v>
      </c>
      <c r="D56">
        <v>117.12</v>
      </c>
      <c r="E56" s="82">
        <v>40</v>
      </c>
      <c r="F56" s="81">
        <v>183.74</v>
      </c>
      <c r="G56">
        <v>3213.01</v>
      </c>
      <c r="H56">
        <v>285.13</v>
      </c>
      <c r="I56">
        <f t="shared" si="0"/>
        <v>31.98019461178092</v>
      </c>
      <c r="J56">
        <v>98.8</v>
      </c>
      <c r="K56">
        <v>41.41</v>
      </c>
      <c r="L56">
        <v>106.91</v>
      </c>
      <c r="M56" s="82">
        <v>49.51</v>
      </c>
      <c r="N56" s="81">
        <v>0.5</v>
      </c>
      <c r="O56">
        <f t="shared" si="1"/>
        <v>0.41841004184100417</v>
      </c>
      <c r="P56">
        <v>2.39</v>
      </c>
      <c r="Q56">
        <v>0.42</v>
      </c>
      <c r="R56" s="82">
        <v>0.76</v>
      </c>
      <c r="S56" s="83">
        <v>700</v>
      </c>
      <c r="T56" s="81" t="s">
        <v>43</v>
      </c>
      <c r="U56" s="82">
        <v>81706</v>
      </c>
    </row>
    <row r="57" spans="1:21" x14ac:dyDescent="0.25">
      <c r="A57" t="s">
        <v>350</v>
      </c>
      <c r="B57" s="81">
        <v>291.2</v>
      </c>
      <c r="C57">
        <v>1300</v>
      </c>
      <c r="D57">
        <v>117.12</v>
      </c>
      <c r="E57" s="82">
        <v>40</v>
      </c>
      <c r="F57" s="81">
        <v>321.23</v>
      </c>
      <c r="G57">
        <v>5246.85</v>
      </c>
      <c r="H57">
        <v>305.85000000000002</v>
      </c>
      <c r="I57">
        <f t="shared" si="0"/>
        <v>40.867153391488159</v>
      </c>
      <c r="J57">
        <v>104.53</v>
      </c>
      <c r="K57">
        <v>63.91</v>
      </c>
      <c r="L57">
        <v>111.84</v>
      </c>
      <c r="M57" s="82">
        <v>68.75</v>
      </c>
      <c r="N57" s="81">
        <v>0.7</v>
      </c>
      <c r="O57">
        <f t="shared" si="1"/>
        <v>0.6097560975609756</v>
      </c>
      <c r="P57">
        <v>1.64</v>
      </c>
      <c r="Q57">
        <v>0.61</v>
      </c>
      <c r="R57" s="82">
        <v>0.92</v>
      </c>
      <c r="S57" s="83">
        <v>700</v>
      </c>
      <c r="T57" s="81" t="s">
        <v>43</v>
      </c>
      <c r="U57" s="82">
        <v>53815</v>
      </c>
    </row>
    <row r="58" spans="1:21" x14ac:dyDescent="0.25">
      <c r="A58" t="s">
        <v>351</v>
      </c>
      <c r="B58" s="81">
        <v>291.2</v>
      </c>
      <c r="C58">
        <v>1300</v>
      </c>
      <c r="D58">
        <v>117.12</v>
      </c>
      <c r="E58" s="82">
        <v>40</v>
      </c>
      <c r="F58" s="81">
        <v>848.44</v>
      </c>
      <c r="G58">
        <v>7004.58</v>
      </c>
      <c r="H58">
        <v>380.17</v>
      </c>
      <c r="I58">
        <f t="shared" si="0"/>
        <v>47.21892695270887</v>
      </c>
      <c r="J58">
        <v>97.72</v>
      </c>
      <c r="K58">
        <v>91.27</v>
      </c>
      <c r="L58">
        <v>117.73</v>
      </c>
      <c r="M58" s="82">
        <v>102.68</v>
      </c>
      <c r="N58" s="81">
        <v>0.61</v>
      </c>
      <c r="O58">
        <f t="shared" si="1"/>
        <v>0.93457943925233644</v>
      </c>
      <c r="P58">
        <v>1.07</v>
      </c>
      <c r="Q58">
        <v>0.93</v>
      </c>
      <c r="R58" s="82">
        <v>0.87</v>
      </c>
      <c r="S58" s="83">
        <v>600</v>
      </c>
      <c r="T58" s="81" t="s">
        <v>64</v>
      </c>
      <c r="U58" s="82">
        <v>136435</v>
      </c>
    </row>
    <row r="59" spans="1:21" x14ac:dyDescent="0.25">
      <c r="A59" t="s">
        <v>352</v>
      </c>
      <c r="B59" s="81">
        <v>291.2</v>
      </c>
      <c r="C59">
        <v>1300</v>
      </c>
      <c r="D59">
        <v>117.12</v>
      </c>
      <c r="E59" s="82">
        <v>40</v>
      </c>
      <c r="F59" s="81">
        <v>669.28</v>
      </c>
      <c r="G59">
        <v>3910.12</v>
      </c>
      <c r="H59">
        <v>288.24</v>
      </c>
      <c r="I59">
        <f t="shared" si="0"/>
        <v>35.27931195707994</v>
      </c>
      <c r="J59">
        <v>101.94</v>
      </c>
      <c r="K59">
        <v>48.84</v>
      </c>
      <c r="L59">
        <v>102.05</v>
      </c>
      <c r="M59" s="82">
        <v>54.91</v>
      </c>
      <c r="N59" s="81">
        <v>0.59</v>
      </c>
      <c r="O59">
        <f t="shared" si="1"/>
        <v>0.47846889952153115</v>
      </c>
      <c r="P59">
        <v>2.09</v>
      </c>
      <c r="Q59">
        <v>0.48</v>
      </c>
      <c r="R59" s="82">
        <v>0.83</v>
      </c>
      <c r="S59" s="83">
        <v>500</v>
      </c>
      <c r="T59" s="81" t="s">
        <v>43</v>
      </c>
      <c r="U59" s="82">
        <v>2085371</v>
      </c>
    </row>
    <row r="60" spans="1:21" x14ac:dyDescent="0.25">
      <c r="A60" t="s">
        <v>353</v>
      </c>
      <c r="B60" s="81">
        <v>291.2</v>
      </c>
      <c r="C60">
        <v>1300</v>
      </c>
      <c r="D60">
        <v>117.12</v>
      </c>
      <c r="E60" s="82">
        <v>40</v>
      </c>
      <c r="F60" s="81">
        <v>1725.36</v>
      </c>
      <c r="G60">
        <v>3184.52</v>
      </c>
      <c r="H60">
        <v>339.71</v>
      </c>
      <c r="I60">
        <f t="shared" si="0"/>
        <v>31.83809351625824</v>
      </c>
      <c r="J60">
        <v>84.72</v>
      </c>
      <c r="K60">
        <v>47.86</v>
      </c>
      <c r="L60">
        <v>103.79</v>
      </c>
      <c r="M60" s="82">
        <v>63.38</v>
      </c>
      <c r="N60" s="81">
        <v>0.35</v>
      </c>
      <c r="O60">
        <f t="shared" si="1"/>
        <v>0.56497175141242939</v>
      </c>
      <c r="P60">
        <v>1.77</v>
      </c>
      <c r="Q60">
        <v>0.56000000000000005</v>
      </c>
      <c r="R60" s="82">
        <v>0.69</v>
      </c>
      <c r="S60" s="83">
        <v>600</v>
      </c>
      <c r="T60" s="81" t="s">
        <v>43</v>
      </c>
      <c r="U60" s="82">
        <v>426998</v>
      </c>
    </row>
    <row r="61" spans="1:21" x14ac:dyDescent="0.25">
      <c r="A61" t="s">
        <v>354</v>
      </c>
      <c r="B61" s="81">
        <v>291.2</v>
      </c>
      <c r="C61">
        <v>1300</v>
      </c>
      <c r="D61">
        <v>117.12</v>
      </c>
      <c r="E61" s="82">
        <v>40</v>
      </c>
      <c r="F61" s="81">
        <v>118.65</v>
      </c>
      <c r="G61">
        <v>1378.31</v>
      </c>
      <c r="H61">
        <v>164.09</v>
      </c>
      <c r="I61">
        <f t="shared" si="0"/>
        <v>20.945875470506849</v>
      </c>
      <c r="J61">
        <v>62.93</v>
      </c>
      <c r="K61">
        <v>27.89</v>
      </c>
      <c r="L61">
        <v>64.09</v>
      </c>
      <c r="M61" s="82">
        <v>31.75</v>
      </c>
      <c r="N61" s="81">
        <v>0.64</v>
      </c>
      <c r="O61">
        <f t="shared" si="1"/>
        <v>0.44247787610619471</v>
      </c>
      <c r="P61">
        <v>2.2599999999999998</v>
      </c>
      <c r="Q61">
        <v>0.44</v>
      </c>
      <c r="R61" s="82">
        <v>0.89</v>
      </c>
      <c r="S61" s="83">
        <v>700</v>
      </c>
      <c r="T61" s="81" t="s">
        <v>43</v>
      </c>
      <c r="U61" s="82">
        <v>211822</v>
      </c>
    </row>
    <row r="62" spans="1:21" x14ac:dyDescent="0.25">
      <c r="A62" t="s">
        <v>355</v>
      </c>
      <c r="B62" s="81">
        <v>291.2</v>
      </c>
      <c r="C62">
        <v>1300</v>
      </c>
      <c r="D62">
        <v>117.12</v>
      </c>
      <c r="E62" s="82">
        <v>40</v>
      </c>
      <c r="F62" s="81">
        <v>643.16</v>
      </c>
      <c r="G62">
        <v>426.72</v>
      </c>
      <c r="H62">
        <v>75.459999999999994</v>
      </c>
      <c r="I62">
        <f t="shared" si="0"/>
        <v>11.654578269175902</v>
      </c>
      <c r="J62">
        <v>24.67</v>
      </c>
      <c r="K62">
        <v>22.02</v>
      </c>
      <c r="L62">
        <v>25.44</v>
      </c>
      <c r="M62" s="82">
        <v>22.01</v>
      </c>
      <c r="N62" s="81">
        <v>0.94</v>
      </c>
      <c r="O62">
        <f t="shared" si="1"/>
        <v>0.89285714285714279</v>
      </c>
      <c r="P62">
        <v>1.1200000000000001</v>
      </c>
      <c r="Q62">
        <v>0.89</v>
      </c>
      <c r="R62" s="82">
        <v>0.99</v>
      </c>
      <c r="S62" s="83">
        <v>600</v>
      </c>
      <c r="T62" s="81" t="s">
        <v>64</v>
      </c>
      <c r="U62" s="82">
        <v>1005499</v>
      </c>
    </row>
    <row r="63" spans="1:21" x14ac:dyDescent="0.25">
      <c r="A63" t="s">
        <v>356</v>
      </c>
      <c r="B63" s="81">
        <v>291.2</v>
      </c>
      <c r="C63">
        <v>1300</v>
      </c>
      <c r="D63">
        <v>117.12</v>
      </c>
      <c r="E63" s="82">
        <v>40</v>
      </c>
      <c r="F63" s="81">
        <v>83.78</v>
      </c>
      <c r="G63">
        <v>128.41999999999999</v>
      </c>
      <c r="H63">
        <v>64.510000000000005</v>
      </c>
      <c r="I63">
        <f t="shared" si="0"/>
        <v>6.3935401448432616</v>
      </c>
      <c r="J63">
        <v>20.18</v>
      </c>
      <c r="K63">
        <v>8.1</v>
      </c>
      <c r="L63">
        <v>22.97</v>
      </c>
      <c r="M63" s="82">
        <v>11.77</v>
      </c>
      <c r="N63" s="81">
        <v>0.39</v>
      </c>
      <c r="O63">
        <f t="shared" si="1"/>
        <v>0.40160642570281119</v>
      </c>
      <c r="P63">
        <v>2.4900000000000002</v>
      </c>
      <c r="Q63">
        <v>0.4</v>
      </c>
      <c r="R63" s="82">
        <v>0.75</v>
      </c>
      <c r="S63" s="83">
        <v>500</v>
      </c>
      <c r="T63" s="81" t="s">
        <v>43</v>
      </c>
      <c r="U63" s="82">
        <v>3458151</v>
      </c>
    </row>
    <row r="64" spans="1:21" x14ac:dyDescent="0.25">
      <c r="A64" t="s">
        <v>357</v>
      </c>
      <c r="B64" s="81">
        <v>291.2</v>
      </c>
      <c r="C64">
        <v>1300</v>
      </c>
      <c r="D64">
        <v>117.12</v>
      </c>
      <c r="E64" s="82">
        <v>40</v>
      </c>
      <c r="F64" s="81">
        <v>0</v>
      </c>
      <c r="G64">
        <v>436.25</v>
      </c>
      <c r="H64">
        <v>328.28</v>
      </c>
      <c r="I64">
        <f t="shared" si="0"/>
        <v>11.784001351310119</v>
      </c>
      <c r="J64">
        <v>27.89</v>
      </c>
      <c r="K64">
        <v>19.920000000000002</v>
      </c>
      <c r="L64">
        <v>29.94</v>
      </c>
      <c r="M64" s="82">
        <v>20.55</v>
      </c>
      <c r="N64" s="81">
        <v>0.22</v>
      </c>
      <c r="O64">
        <f t="shared" si="1"/>
        <v>0.44052863436123346</v>
      </c>
      <c r="P64">
        <v>2.27</v>
      </c>
      <c r="Q64">
        <v>0.44</v>
      </c>
      <c r="R64" s="82">
        <v>0.56000000000000005</v>
      </c>
      <c r="S64" s="83">
        <v>700</v>
      </c>
      <c r="T64" s="81" t="s">
        <v>43</v>
      </c>
      <c r="U64" s="82">
        <v>89272</v>
      </c>
    </row>
    <row r="65" spans="1:21" x14ac:dyDescent="0.25">
      <c r="A65" t="s">
        <v>358</v>
      </c>
      <c r="B65" s="81">
        <v>291.2</v>
      </c>
      <c r="C65">
        <v>1300</v>
      </c>
      <c r="D65">
        <v>117.12</v>
      </c>
      <c r="E65" s="82">
        <v>40</v>
      </c>
      <c r="F65" s="81">
        <v>790.82</v>
      </c>
      <c r="G65">
        <v>3546.95</v>
      </c>
      <c r="H65">
        <v>338.45</v>
      </c>
      <c r="I65">
        <f t="shared" si="0"/>
        <v>33.601030502048538</v>
      </c>
      <c r="J65">
        <v>131.32</v>
      </c>
      <c r="K65">
        <v>34.39</v>
      </c>
      <c r="L65">
        <v>128.49</v>
      </c>
      <c r="M65" s="82">
        <v>51.37</v>
      </c>
      <c r="N65" s="81">
        <v>0.39</v>
      </c>
      <c r="O65">
        <f t="shared" si="1"/>
        <v>0.26178010471204188</v>
      </c>
      <c r="P65">
        <v>3.82</v>
      </c>
      <c r="Q65">
        <v>0.26</v>
      </c>
      <c r="R65" s="82">
        <v>0.7</v>
      </c>
      <c r="S65" s="83">
        <v>500</v>
      </c>
      <c r="T65" s="81" t="s">
        <v>43</v>
      </c>
      <c r="U65" s="82">
        <v>1828716</v>
      </c>
    </row>
    <row r="66" spans="1:21" x14ac:dyDescent="0.25">
      <c r="A66" t="s">
        <v>359</v>
      </c>
      <c r="B66" s="81">
        <v>291.2</v>
      </c>
      <c r="C66">
        <v>1300</v>
      </c>
      <c r="D66">
        <v>117.12</v>
      </c>
      <c r="E66" s="82">
        <v>40</v>
      </c>
      <c r="F66" s="81">
        <v>599.29</v>
      </c>
      <c r="G66">
        <v>3706.83</v>
      </c>
      <c r="H66">
        <v>399.66</v>
      </c>
      <c r="I66">
        <f t="shared" si="0"/>
        <v>34.349972858834413</v>
      </c>
      <c r="J66">
        <v>87.64</v>
      </c>
      <c r="K66">
        <v>53.85</v>
      </c>
      <c r="L66">
        <v>104.23</v>
      </c>
      <c r="M66" s="82">
        <v>72.22</v>
      </c>
      <c r="N66" s="81">
        <v>0.28999999999999998</v>
      </c>
      <c r="O66">
        <f t="shared" si="1"/>
        <v>0.61349693251533743</v>
      </c>
      <c r="P66">
        <v>1.63</v>
      </c>
      <c r="Q66">
        <v>0.61</v>
      </c>
      <c r="R66" s="82">
        <v>0.61</v>
      </c>
      <c r="S66" s="83">
        <v>600</v>
      </c>
      <c r="T66" s="81" t="s">
        <v>43</v>
      </c>
      <c r="U66" s="82">
        <v>335783</v>
      </c>
    </row>
    <row r="67" spans="1:21" x14ac:dyDescent="0.25">
      <c r="A67" t="s">
        <v>361</v>
      </c>
      <c r="B67" s="81">
        <v>291.2</v>
      </c>
      <c r="C67">
        <v>1300</v>
      </c>
      <c r="D67">
        <v>117.12</v>
      </c>
      <c r="E67" s="82">
        <v>40</v>
      </c>
      <c r="F67" s="81">
        <v>839.45</v>
      </c>
      <c r="G67">
        <v>5672.68</v>
      </c>
      <c r="H67">
        <v>457.63</v>
      </c>
      <c r="I67">
        <f t="shared" si="0"/>
        <v>42.493177395401553</v>
      </c>
      <c r="J67">
        <v>126.83</v>
      </c>
      <c r="K67">
        <v>56.95</v>
      </c>
      <c r="L67">
        <v>150.37</v>
      </c>
      <c r="M67" s="82">
        <v>83.02</v>
      </c>
      <c r="N67" s="81">
        <v>0.34</v>
      </c>
      <c r="O67">
        <f t="shared" si="1"/>
        <v>0.44843049327354262</v>
      </c>
      <c r="P67">
        <v>2.23</v>
      </c>
      <c r="Q67">
        <v>0.45</v>
      </c>
      <c r="R67" s="82">
        <v>0.65</v>
      </c>
      <c r="S67" s="83">
        <v>700</v>
      </c>
      <c r="T67" s="81" t="s">
        <v>43</v>
      </c>
      <c r="U67" s="82">
        <v>58591</v>
      </c>
    </row>
    <row r="68" spans="1:21" x14ac:dyDescent="0.25">
      <c r="A68" t="s">
        <v>363</v>
      </c>
      <c r="B68" s="81">
        <v>291.2</v>
      </c>
      <c r="C68">
        <v>1300</v>
      </c>
      <c r="D68">
        <v>120</v>
      </c>
      <c r="E68" s="82">
        <v>40</v>
      </c>
      <c r="F68" s="81">
        <v>412.82</v>
      </c>
      <c r="G68">
        <v>5798.76</v>
      </c>
      <c r="H68">
        <v>515.70000000000005</v>
      </c>
      <c r="I68">
        <f t="shared" si="0"/>
        <v>42.962805257654189</v>
      </c>
      <c r="J68">
        <v>136.6</v>
      </c>
      <c r="K68">
        <v>54.05</v>
      </c>
      <c r="L68">
        <v>168.44</v>
      </c>
      <c r="M68" s="82">
        <v>79.87</v>
      </c>
      <c r="N68" s="81">
        <v>0.27</v>
      </c>
      <c r="O68">
        <f t="shared" si="1"/>
        <v>0.39525691699604748</v>
      </c>
      <c r="P68">
        <v>2.5299999999999998</v>
      </c>
      <c r="Q68">
        <v>0.4</v>
      </c>
      <c r="R68" s="82">
        <v>0.61</v>
      </c>
      <c r="S68" s="83">
        <v>500</v>
      </c>
      <c r="T68" s="81" t="s">
        <v>43</v>
      </c>
      <c r="U68" s="82">
        <v>1034008</v>
      </c>
    </row>
    <row r="69" spans="1:21" x14ac:dyDescent="0.25">
      <c r="A69" t="s">
        <v>364</v>
      </c>
      <c r="B69" s="81">
        <v>291.2</v>
      </c>
      <c r="C69">
        <v>1300</v>
      </c>
      <c r="D69">
        <v>120</v>
      </c>
      <c r="E69" s="82">
        <v>40</v>
      </c>
      <c r="F69" s="81">
        <v>1305.31</v>
      </c>
      <c r="G69">
        <v>5977.05</v>
      </c>
      <c r="H69">
        <v>600.71</v>
      </c>
      <c r="I69">
        <f t="shared" si="0"/>
        <v>43.618277192191194</v>
      </c>
      <c r="J69">
        <v>108.79</v>
      </c>
      <c r="K69">
        <v>69.95</v>
      </c>
      <c r="L69">
        <v>153.35</v>
      </c>
      <c r="M69" s="82">
        <v>106.55</v>
      </c>
      <c r="N69" s="81">
        <v>0.21</v>
      </c>
      <c r="O69">
        <f t="shared" si="1"/>
        <v>0.64102564102564097</v>
      </c>
      <c r="P69">
        <v>1.56</v>
      </c>
      <c r="Q69">
        <v>0.64</v>
      </c>
      <c r="R69" s="82">
        <v>0.56999999999999995</v>
      </c>
      <c r="S69" s="83">
        <v>600</v>
      </c>
      <c r="T69" s="81" t="s">
        <v>43</v>
      </c>
      <c r="U69" s="82">
        <v>139347</v>
      </c>
    </row>
    <row r="70" spans="1:21" x14ac:dyDescent="0.25">
      <c r="A70" t="s">
        <v>365</v>
      </c>
      <c r="B70" s="81">
        <v>291.2</v>
      </c>
      <c r="C70">
        <v>1300</v>
      </c>
      <c r="D70">
        <v>120</v>
      </c>
      <c r="E70" s="82">
        <v>40</v>
      </c>
      <c r="F70" s="81">
        <v>631.15</v>
      </c>
      <c r="G70">
        <v>5810.8</v>
      </c>
      <c r="H70">
        <v>480.34</v>
      </c>
      <c r="I70">
        <f t="shared" si="0"/>
        <v>43.007384094324671</v>
      </c>
      <c r="J70">
        <v>100.2</v>
      </c>
      <c r="K70">
        <v>73.84</v>
      </c>
      <c r="L70">
        <v>131.4</v>
      </c>
      <c r="M70" s="82">
        <v>95.8</v>
      </c>
      <c r="N70" s="81">
        <v>0.32</v>
      </c>
      <c r="O70">
        <f t="shared" si="1"/>
        <v>0.73529411764705876</v>
      </c>
      <c r="P70">
        <v>1.36</v>
      </c>
      <c r="Q70">
        <v>0.74</v>
      </c>
      <c r="R70" s="82">
        <v>0.64</v>
      </c>
      <c r="S70" s="83">
        <v>700</v>
      </c>
      <c r="T70" s="81" t="s">
        <v>43</v>
      </c>
      <c r="U70" s="82">
        <v>87571</v>
      </c>
    </row>
    <row r="71" spans="1:21" x14ac:dyDescent="0.25">
      <c r="A71" t="s">
        <v>366</v>
      </c>
      <c r="B71" s="81">
        <v>291.2</v>
      </c>
      <c r="C71">
        <v>1300</v>
      </c>
      <c r="D71">
        <v>120</v>
      </c>
      <c r="E71" s="82">
        <v>40</v>
      </c>
      <c r="F71" s="81">
        <v>291.26</v>
      </c>
      <c r="G71">
        <v>3829.74</v>
      </c>
      <c r="H71">
        <v>333.44</v>
      </c>
      <c r="I71">
        <f t="shared" si="0"/>
        <v>34.914812093343855</v>
      </c>
      <c r="J71">
        <v>96.94</v>
      </c>
      <c r="K71">
        <v>50.3</v>
      </c>
      <c r="L71">
        <v>112.57</v>
      </c>
      <c r="M71" s="82">
        <v>63.69</v>
      </c>
      <c r="N71" s="81">
        <v>0.43</v>
      </c>
      <c r="O71">
        <f t="shared" si="1"/>
        <v>0.5181347150259068</v>
      </c>
      <c r="P71">
        <v>1.93</v>
      </c>
      <c r="Q71">
        <v>0.52</v>
      </c>
      <c r="R71" s="82">
        <v>0.74</v>
      </c>
      <c r="S71" s="83">
        <v>700</v>
      </c>
      <c r="T71" s="81" t="s">
        <v>43</v>
      </c>
      <c r="U71" s="82">
        <v>105518</v>
      </c>
    </row>
    <row r="72" spans="1:21" x14ac:dyDescent="0.25">
      <c r="A72" t="s">
        <v>368</v>
      </c>
      <c r="B72" s="81">
        <v>291.2</v>
      </c>
      <c r="C72">
        <v>1300</v>
      </c>
      <c r="D72">
        <v>120</v>
      </c>
      <c r="E72" s="82">
        <v>40</v>
      </c>
      <c r="F72" s="81">
        <v>66.590999999999994</v>
      </c>
      <c r="G72">
        <v>4423.72</v>
      </c>
      <c r="H72">
        <v>372.66</v>
      </c>
      <c r="I72">
        <f t="shared" si="0"/>
        <v>37.524842567410708</v>
      </c>
      <c r="J72">
        <v>129.97499999999999</v>
      </c>
      <c r="K72">
        <v>45.167000000000002</v>
      </c>
      <c r="L72">
        <v>149.13</v>
      </c>
      <c r="M72" s="82">
        <v>62.25</v>
      </c>
      <c r="N72" s="81">
        <v>0.4</v>
      </c>
      <c r="O72">
        <f t="shared" si="1"/>
        <v>0.35335689045936397</v>
      </c>
      <c r="P72">
        <v>2.83</v>
      </c>
      <c r="Q72">
        <v>0.35</v>
      </c>
      <c r="R72" s="82">
        <v>0.71</v>
      </c>
      <c r="S72" s="83">
        <v>700</v>
      </c>
      <c r="T72" s="81" t="s">
        <v>43</v>
      </c>
      <c r="U72" s="82">
        <v>44786</v>
      </c>
    </row>
    <row r="73" spans="1:21" x14ac:dyDescent="0.25">
      <c r="A73" t="s">
        <v>370</v>
      </c>
      <c r="B73" s="81">
        <v>291.2</v>
      </c>
      <c r="C73">
        <v>1300</v>
      </c>
      <c r="D73">
        <v>120</v>
      </c>
      <c r="E73" s="82">
        <v>40</v>
      </c>
      <c r="F73" s="81">
        <v>798.02</v>
      </c>
      <c r="G73">
        <v>4025</v>
      </c>
      <c r="H73">
        <v>659.06</v>
      </c>
      <c r="I73">
        <f t="shared" si="0"/>
        <v>35.793816391798146</v>
      </c>
      <c r="J73">
        <v>105</v>
      </c>
      <c r="K73">
        <v>48.81</v>
      </c>
      <c r="L73">
        <v>159.30000000000001</v>
      </c>
      <c r="M73" s="82">
        <v>93.92</v>
      </c>
      <c r="N73" s="81">
        <v>0.12</v>
      </c>
      <c r="O73">
        <f t="shared" si="1"/>
        <v>0.46511627906976744</v>
      </c>
      <c r="P73">
        <v>2.15</v>
      </c>
      <c r="Q73">
        <v>0.46</v>
      </c>
      <c r="R73" s="82">
        <v>0.44</v>
      </c>
      <c r="S73" s="83">
        <v>500</v>
      </c>
      <c r="T73" s="81" t="s">
        <v>43</v>
      </c>
      <c r="U73" s="82">
        <v>1055218</v>
      </c>
    </row>
    <row r="74" spans="1:21" x14ac:dyDescent="0.25">
      <c r="A74" t="s">
        <v>371</v>
      </c>
      <c r="B74" s="81">
        <v>291.2</v>
      </c>
      <c r="C74">
        <v>1300</v>
      </c>
      <c r="D74">
        <v>120</v>
      </c>
      <c r="E74" s="82">
        <v>40</v>
      </c>
      <c r="F74" s="81">
        <v>6.59</v>
      </c>
      <c r="G74">
        <v>1280.53</v>
      </c>
      <c r="H74">
        <v>177.96</v>
      </c>
      <c r="I74">
        <f t="shared" si="0"/>
        <v>20.189238681905007</v>
      </c>
      <c r="J74">
        <v>58.12</v>
      </c>
      <c r="K74">
        <v>28.05</v>
      </c>
      <c r="L74">
        <v>59.42</v>
      </c>
      <c r="M74" s="82">
        <v>31.68</v>
      </c>
      <c r="N74" s="81">
        <v>0.51</v>
      </c>
      <c r="O74">
        <f t="shared" si="1"/>
        <v>0.48309178743961356</v>
      </c>
      <c r="P74">
        <v>2.0699999999999998</v>
      </c>
      <c r="Q74">
        <v>0.48</v>
      </c>
      <c r="R74" s="82">
        <v>2.0699999999999998</v>
      </c>
      <c r="S74" s="83">
        <v>600</v>
      </c>
      <c r="T74" s="81" t="s">
        <v>43</v>
      </c>
      <c r="U74" s="82">
        <v>46612</v>
      </c>
    </row>
    <row r="75" spans="1:21" x14ac:dyDescent="0.25">
      <c r="A75" t="s">
        <v>372</v>
      </c>
      <c r="B75" s="81">
        <v>291.2</v>
      </c>
      <c r="C75">
        <v>1300</v>
      </c>
      <c r="D75">
        <v>120</v>
      </c>
      <c r="E75" s="82">
        <v>40</v>
      </c>
      <c r="F75" s="81">
        <v>636.33000000000004</v>
      </c>
      <c r="G75">
        <v>10905.96</v>
      </c>
      <c r="H75">
        <v>683.32</v>
      </c>
      <c r="I75">
        <f t="shared" si="0"/>
        <v>58.919223402256193</v>
      </c>
      <c r="J75">
        <v>161.02000000000001</v>
      </c>
      <c r="K75">
        <v>86.24</v>
      </c>
      <c r="L75">
        <v>210.71</v>
      </c>
      <c r="M75" s="82">
        <v>108.94</v>
      </c>
      <c r="N75" s="81">
        <v>0.28999999999999998</v>
      </c>
      <c r="O75">
        <f t="shared" si="1"/>
        <v>0.53475935828876997</v>
      </c>
      <c r="P75">
        <v>1.87</v>
      </c>
      <c r="Q75">
        <v>0.54</v>
      </c>
      <c r="R75" s="82">
        <v>0.64</v>
      </c>
      <c r="S75" s="83">
        <v>600</v>
      </c>
      <c r="T75" s="81" t="s">
        <v>43</v>
      </c>
      <c r="U75" s="82">
        <v>168963</v>
      </c>
    </row>
    <row r="76" spans="1:21" x14ac:dyDescent="0.25">
      <c r="A76" t="s">
        <v>373</v>
      </c>
      <c r="B76" s="81">
        <v>291.2</v>
      </c>
      <c r="C76">
        <v>1300</v>
      </c>
      <c r="D76">
        <v>120</v>
      </c>
      <c r="E76" s="82">
        <v>40</v>
      </c>
      <c r="F76" s="81">
        <v>177.27</v>
      </c>
      <c r="G76">
        <v>721.23</v>
      </c>
      <c r="H76">
        <v>112.77</v>
      </c>
      <c r="I76">
        <f t="shared" si="0"/>
        <v>15.151720668370816</v>
      </c>
      <c r="J76">
        <v>31.99</v>
      </c>
      <c r="K76">
        <v>28.71</v>
      </c>
      <c r="L76">
        <v>35.479999999999997</v>
      </c>
      <c r="M76" s="82">
        <v>30.45</v>
      </c>
      <c r="N76" s="81">
        <v>0.71</v>
      </c>
      <c r="O76">
        <f t="shared" si="1"/>
        <v>0.9009009009009008</v>
      </c>
      <c r="P76">
        <v>1.1100000000000001</v>
      </c>
      <c r="Q76">
        <v>0.9</v>
      </c>
      <c r="R76" s="82">
        <v>0.89</v>
      </c>
      <c r="S76" s="83">
        <v>500</v>
      </c>
      <c r="T76" s="81" t="s">
        <v>64</v>
      </c>
      <c r="U76" s="82">
        <v>3985111</v>
      </c>
    </row>
    <row r="77" spans="1:21" x14ac:dyDescent="0.25">
      <c r="A77" t="s">
        <v>375</v>
      </c>
      <c r="B77" s="81">
        <v>291.2</v>
      </c>
      <c r="C77">
        <v>1300</v>
      </c>
      <c r="D77">
        <v>120</v>
      </c>
      <c r="E77" s="82">
        <v>40</v>
      </c>
      <c r="F77" s="81">
        <v>4.8</v>
      </c>
      <c r="G77">
        <v>1060.991</v>
      </c>
      <c r="H77">
        <v>116.9838</v>
      </c>
      <c r="I77">
        <f t="shared" si="0"/>
        <v>18.37726651197142</v>
      </c>
      <c r="J77">
        <v>37.585000000000001</v>
      </c>
      <c r="K77">
        <v>35.942</v>
      </c>
      <c r="L77">
        <v>38.322000000000003</v>
      </c>
      <c r="M77" s="82">
        <v>36.076999999999998</v>
      </c>
      <c r="N77" s="81">
        <v>0.97699999999999998</v>
      </c>
      <c r="O77">
        <f t="shared" si="1"/>
        <v>0.95602294455066916</v>
      </c>
      <c r="P77">
        <v>1.046</v>
      </c>
      <c r="Q77">
        <v>0.95599999999999996</v>
      </c>
      <c r="R77" s="82">
        <v>0.999</v>
      </c>
      <c r="S77" s="83">
        <v>700</v>
      </c>
      <c r="T77" s="81" t="s">
        <v>64</v>
      </c>
      <c r="U77" s="82">
        <v>28231</v>
      </c>
    </row>
    <row r="78" spans="1:21" x14ac:dyDescent="0.25">
      <c r="A78" t="s">
        <v>376</v>
      </c>
      <c r="B78" s="81">
        <v>291.2</v>
      </c>
      <c r="C78">
        <v>1300</v>
      </c>
      <c r="D78">
        <v>120</v>
      </c>
      <c r="E78" s="82">
        <v>40</v>
      </c>
      <c r="F78" s="81">
        <v>1325.47</v>
      </c>
      <c r="G78">
        <v>3779.29</v>
      </c>
      <c r="H78">
        <v>285.2</v>
      </c>
      <c r="I78">
        <f t="shared" si="0"/>
        <v>34.6840794854864</v>
      </c>
      <c r="J78">
        <v>75.7</v>
      </c>
      <c r="K78">
        <v>63.56</v>
      </c>
      <c r="L78">
        <v>82.55</v>
      </c>
      <c r="M78" s="82">
        <v>67.75</v>
      </c>
      <c r="N78" s="81">
        <v>0.57999999999999996</v>
      </c>
      <c r="O78">
        <f t="shared" si="1"/>
        <v>0.84033613445378152</v>
      </c>
      <c r="P78">
        <v>1.19</v>
      </c>
      <c r="Q78">
        <v>0.84</v>
      </c>
      <c r="R78" s="82">
        <v>0.88</v>
      </c>
      <c r="S78" s="83">
        <v>600</v>
      </c>
      <c r="T78" s="81" t="s">
        <v>64</v>
      </c>
      <c r="U78" s="82">
        <v>287798</v>
      </c>
    </row>
    <row r="79" spans="1:21" x14ac:dyDescent="0.25">
      <c r="A79" t="s">
        <v>377</v>
      </c>
      <c r="B79" s="81">
        <v>291.2</v>
      </c>
      <c r="C79">
        <v>1300</v>
      </c>
      <c r="D79">
        <v>120</v>
      </c>
      <c r="E79" s="82">
        <v>40</v>
      </c>
      <c r="F79" s="81">
        <v>2</v>
      </c>
      <c r="G79">
        <v>619.15</v>
      </c>
      <c r="H79">
        <v>143.32</v>
      </c>
      <c r="I79">
        <f t="shared" si="0"/>
        <v>14.038574216447126</v>
      </c>
      <c r="J79">
        <v>35</v>
      </c>
      <c r="K79">
        <v>22.53</v>
      </c>
      <c r="L79">
        <v>48.25</v>
      </c>
      <c r="M79" s="82">
        <v>33.64</v>
      </c>
      <c r="N79" s="81">
        <v>0.38</v>
      </c>
      <c r="O79">
        <f t="shared" si="1"/>
        <v>0.64516129032258063</v>
      </c>
      <c r="P79">
        <v>1.55</v>
      </c>
      <c r="Q79">
        <v>0.64</v>
      </c>
      <c r="R79" s="82">
        <v>0.66</v>
      </c>
      <c r="S79" s="83">
        <v>700</v>
      </c>
      <c r="T79" s="81" t="s">
        <v>43</v>
      </c>
      <c r="U79" s="82">
        <v>74868</v>
      </c>
    </row>
    <row r="80" spans="1:21" x14ac:dyDescent="0.25">
      <c r="A80" t="s">
        <v>378</v>
      </c>
      <c r="B80" s="81">
        <v>291.2</v>
      </c>
      <c r="C80">
        <v>1300</v>
      </c>
      <c r="D80">
        <v>120</v>
      </c>
      <c r="E80" s="82">
        <v>40</v>
      </c>
      <c r="F80" s="81">
        <v>1507.51</v>
      </c>
      <c r="G80">
        <v>6682.85</v>
      </c>
      <c r="H80">
        <v>546.22</v>
      </c>
      <c r="I80">
        <f t="shared" si="0"/>
        <v>46.121765175276472</v>
      </c>
      <c r="J80">
        <v>124.13</v>
      </c>
      <c r="K80">
        <v>68.55</v>
      </c>
      <c r="L80">
        <v>160.38999999999999</v>
      </c>
      <c r="M80" s="82">
        <v>100.66</v>
      </c>
      <c r="N80" s="81">
        <v>0.28000000000000003</v>
      </c>
      <c r="O80">
        <f t="shared" si="1"/>
        <v>0.5524861878453039</v>
      </c>
      <c r="P80">
        <v>1.81</v>
      </c>
      <c r="Q80">
        <v>0.55000000000000004</v>
      </c>
      <c r="R80" s="82">
        <v>0.67</v>
      </c>
      <c r="S80" s="83">
        <v>600</v>
      </c>
      <c r="T80" s="81" t="s">
        <v>43</v>
      </c>
      <c r="U80" s="82">
        <v>152583</v>
      </c>
    </row>
    <row r="81" spans="1:21" x14ac:dyDescent="0.25">
      <c r="A81" t="s">
        <v>379</v>
      </c>
      <c r="B81" s="81">
        <v>291.2</v>
      </c>
      <c r="C81">
        <v>1300</v>
      </c>
      <c r="D81">
        <v>120</v>
      </c>
      <c r="E81" s="82">
        <v>40</v>
      </c>
      <c r="F81" s="81">
        <v>331.97</v>
      </c>
      <c r="G81">
        <v>6783.32</v>
      </c>
      <c r="H81">
        <v>487.29</v>
      </c>
      <c r="I81">
        <f t="shared" si="0"/>
        <v>46.467169239671044</v>
      </c>
      <c r="J81">
        <v>194.44</v>
      </c>
      <c r="K81">
        <v>44.42</v>
      </c>
      <c r="L81">
        <v>200.64</v>
      </c>
      <c r="M81" s="82">
        <v>50.24</v>
      </c>
      <c r="N81" s="81">
        <v>0.36</v>
      </c>
      <c r="O81">
        <f t="shared" si="1"/>
        <v>0.22831050228310504</v>
      </c>
      <c r="P81">
        <v>4.38</v>
      </c>
      <c r="Q81">
        <v>0.23</v>
      </c>
      <c r="R81" s="82">
        <v>0.81</v>
      </c>
      <c r="S81" s="83">
        <v>500</v>
      </c>
      <c r="T81" s="81" t="s">
        <v>43</v>
      </c>
      <c r="U81" s="82">
        <v>423576</v>
      </c>
    </row>
    <row r="82" spans="1:21" x14ac:dyDescent="0.25">
      <c r="A82" t="s">
        <v>430</v>
      </c>
      <c r="B82" s="81">
        <v>268.8</v>
      </c>
      <c r="C82">
        <v>1300</v>
      </c>
      <c r="D82">
        <v>120</v>
      </c>
      <c r="E82" s="82">
        <v>40</v>
      </c>
      <c r="F82" s="81">
        <v>403.2</v>
      </c>
      <c r="G82">
        <v>5839.3</v>
      </c>
      <c r="H82">
        <v>568.23</v>
      </c>
      <c r="I82">
        <f t="shared" si="0"/>
        <v>43.112723393367403</v>
      </c>
      <c r="J82">
        <v>169.98</v>
      </c>
      <c r="K82">
        <v>43.74</v>
      </c>
      <c r="L82">
        <v>186.75</v>
      </c>
      <c r="M82" s="82">
        <v>66.19</v>
      </c>
      <c r="N82" s="81">
        <v>0.23</v>
      </c>
      <c r="O82">
        <f t="shared" ref="O82:O110" si="2">1/P82</f>
        <v>0.25706940874035988</v>
      </c>
      <c r="P82">
        <v>3.89</v>
      </c>
      <c r="Q82">
        <v>0.26</v>
      </c>
      <c r="R82" s="82">
        <v>0.64</v>
      </c>
      <c r="S82" s="83">
        <v>500</v>
      </c>
      <c r="T82" s="81" t="s">
        <v>43</v>
      </c>
      <c r="U82" s="82">
        <v>564441</v>
      </c>
    </row>
    <row r="83" spans="1:21" x14ac:dyDescent="0.25">
      <c r="A83" t="s">
        <v>431</v>
      </c>
      <c r="B83" s="81">
        <v>268.8</v>
      </c>
      <c r="C83">
        <v>1300</v>
      </c>
      <c r="D83">
        <v>120</v>
      </c>
      <c r="E83" s="82">
        <v>40</v>
      </c>
      <c r="F83" s="81">
        <v>8.3800000000000008</v>
      </c>
      <c r="G83">
        <v>6001.56</v>
      </c>
      <c r="H83">
        <v>479.56</v>
      </c>
      <c r="I83">
        <f t="shared" si="0"/>
        <v>43.707618106288876</v>
      </c>
      <c r="J83">
        <v>117.51</v>
      </c>
      <c r="K83">
        <v>65.03</v>
      </c>
      <c r="L83">
        <v>142.71</v>
      </c>
      <c r="M83" s="82">
        <v>81.34</v>
      </c>
      <c r="N83" s="81">
        <v>0.33</v>
      </c>
      <c r="O83">
        <f t="shared" si="2"/>
        <v>0.5524861878453039</v>
      </c>
      <c r="P83">
        <v>1.81</v>
      </c>
      <c r="Q83">
        <v>0.55000000000000004</v>
      </c>
      <c r="R83" s="82">
        <v>0.78</v>
      </c>
      <c r="S83" s="83">
        <v>600</v>
      </c>
      <c r="T83" s="81" t="s">
        <v>43</v>
      </c>
      <c r="U83" s="82">
        <v>25245</v>
      </c>
    </row>
    <row r="84" spans="1:21" x14ac:dyDescent="0.25">
      <c r="A84" t="s">
        <v>432</v>
      </c>
      <c r="B84" s="81">
        <v>268.8</v>
      </c>
      <c r="C84">
        <v>1300</v>
      </c>
      <c r="D84">
        <v>120</v>
      </c>
      <c r="E84" s="82">
        <v>40</v>
      </c>
      <c r="F84" s="81">
        <v>278.11</v>
      </c>
      <c r="G84">
        <v>5285.19</v>
      </c>
      <c r="H84">
        <v>438.34</v>
      </c>
      <c r="I84">
        <f t="shared" si="0"/>
        <v>41.016194696238074</v>
      </c>
      <c r="J84">
        <v>168.94</v>
      </c>
      <c r="K84">
        <v>39.83</v>
      </c>
      <c r="L84">
        <v>169.16</v>
      </c>
      <c r="M84" s="82">
        <v>52.06</v>
      </c>
      <c r="N84" s="81">
        <v>0.35</v>
      </c>
      <c r="O84">
        <f t="shared" si="2"/>
        <v>0.23584905660377356</v>
      </c>
      <c r="P84">
        <v>4.24</v>
      </c>
      <c r="Q84">
        <v>0.24</v>
      </c>
      <c r="R84" s="82">
        <v>0.69</v>
      </c>
      <c r="S84" s="83">
        <v>700</v>
      </c>
      <c r="T84" s="81" t="s">
        <v>43</v>
      </c>
      <c r="U84" s="82">
        <v>46625</v>
      </c>
    </row>
    <row r="85" spans="1:21" x14ac:dyDescent="0.25">
      <c r="A85" t="s">
        <v>433</v>
      </c>
      <c r="B85" s="81">
        <v>268.8</v>
      </c>
      <c r="C85">
        <v>1300</v>
      </c>
      <c r="D85">
        <v>120</v>
      </c>
      <c r="E85" s="82">
        <v>40</v>
      </c>
      <c r="F85" s="81">
        <v>91.39</v>
      </c>
      <c r="G85">
        <v>6003.43</v>
      </c>
      <c r="H85">
        <v>587.28</v>
      </c>
      <c r="I85">
        <f t="shared" si="0"/>
        <v>43.714426909343722</v>
      </c>
      <c r="J85">
        <v>139</v>
      </c>
      <c r="K85">
        <v>54.99</v>
      </c>
      <c r="L85">
        <v>190.32</v>
      </c>
      <c r="M85" s="82">
        <v>74.5</v>
      </c>
      <c r="N85" s="81">
        <v>0.22</v>
      </c>
      <c r="O85">
        <f t="shared" si="2"/>
        <v>0.39525691699604748</v>
      </c>
      <c r="P85">
        <v>2.5299999999999998</v>
      </c>
      <c r="Q85">
        <v>0.4</v>
      </c>
      <c r="R85" s="82">
        <v>0.65</v>
      </c>
      <c r="S85" s="83">
        <v>700</v>
      </c>
      <c r="T85" s="81" t="s">
        <v>43</v>
      </c>
      <c r="U85" s="82">
        <v>55088</v>
      </c>
    </row>
    <row r="86" spans="1:21" x14ac:dyDescent="0.25">
      <c r="A86" t="s">
        <v>434</v>
      </c>
      <c r="B86" s="81">
        <v>268.8</v>
      </c>
      <c r="C86">
        <v>1300</v>
      </c>
      <c r="D86">
        <v>120</v>
      </c>
      <c r="E86" s="82">
        <v>40</v>
      </c>
      <c r="F86" s="81">
        <v>713.91</v>
      </c>
      <c r="G86">
        <v>7291.6</v>
      </c>
      <c r="H86">
        <v>392.61</v>
      </c>
      <c r="I86">
        <f t="shared" ref="I86:I117" si="3">SQRT(G86/PI())</f>
        <v>48.176637139776872</v>
      </c>
      <c r="J86">
        <v>116.65</v>
      </c>
      <c r="K86">
        <v>79.59</v>
      </c>
      <c r="L86">
        <v>142.30000000000001</v>
      </c>
      <c r="M86" s="82">
        <v>93.17</v>
      </c>
      <c r="N86" s="81">
        <v>0.59</v>
      </c>
      <c r="O86">
        <f t="shared" si="2"/>
        <v>0.68027210884353739</v>
      </c>
      <c r="P86">
        <v>1.47</v>
      </c>
      <c r="Q86">
        <v>0.68</v>
      </c>
      <c r="R86" s="82">
        <v>0.81</v>
      </c>
      <c r="S86" s="83">
        <v>500</v>
      </c>
      <c r="T86" s="81" t="s">
        <v>43</v>
      </c>
      <c r="U86" s="82">
        <v>756468</v>
      </c>
    </row>
    <row r="87" spans="1:21" x14ac:dyDescent="0.25">
      <c r="A87" t="s">
        <v>435</v>
      </c>
      <c r="B87" s="81">
        <v>268.8</v>
      </c>
      <c r="C87">
        <v>1300</v>
      </c>
      <c r="D87">
        <v>120</v>
      </c>
      <c r="E87" s="82">
        <v>40</v>
      </c>
      <c r="F87" s="81">
        <v>158.85</v>
      </c>
      <c r="G87">
        <v>8459.66</v>
      </c>
      <c r="H87">
        <v>540.72</v>
      </c>
      <c r="I87">
        <f t="shared" si="3"/>
        <v>51.892132464888803</v>
      </c>
      <c r="J87">
        <v>160.19999999999999</v>
      </c>
      <c r="K87">
        <v>67.239999999999995</v>
      </c>
      <c r="L87">
        <v>200.4</v>
      </c>
      <c r="M87" s="82">
        <v>83.08</v>
      </c>
      <c r="N87" s="81">
        <v>0.36</v>
      </c>
      <c r="O87">
        <f t="shared" si="2"/>
        <v>0.42016806722689076</v>
      </c>
      <c r="P87">
        <v>2.38</v>
      </c>
      <c r="Q87">
        <v>0.42</v>
      </c>
      <c r="R87" s="82">
        <v>0.81</v>
      </c>
      <c r="S87" s="83">
        <v>600</v>
      </c>
      <c r="T87" s="81" t="s">
        <v>43</v>
      </c>
      <c r="U87" s="82">
        <v>84596</v>
      </c>
    </row>
    <row r="88" spans="1:21" x14ac:dyDescent="0.25">
      <c r="A88" t="s">
        <v>436</v>
      </c>
      <c r="B88" s="81">
        <v>268.8</v>
      </c>
      <c r="C88">
        <v>1300</v>
      </c>
      <c r="D88">
        <v>120</v>
      </c>
      <c r="E88" s="82">
        <v>40</v>
      </c>
      <c r="F88" s="81">
        <v>797.05</v>
      </c>
      <c r="G88">
        <v>3172.26</v>
      </c>
      <c r="H88">
        <v>394.67</v>
      </c>
      <c r="I88">
        <f t="shared" si="3"/>
        <v>31.77674809582302</v>
      </c>
      <c r="J88">
        <v>130.02000000000001</v>
      </c>
      <c r="K88">
        <v>31.07</v>
      </c>
      <c r="L88">
        <v>149.18</v>
      </c>
      <c r="M88" s="82">
        <v>44.22</v>
      </c>
      <c r="N88" s="81">
        <v>0.26</v>
      </c>
      <c r="O88">
        <f t="shared" si="2"/>
        <v>0.2386634844868735</v>
      </c>
      <c r="P88">
        <v>4.1900000000000004</v>
      </c>
      <c r="Q88">
        <v>0.24</v>
      </c>
      <c r="R88" s="82">
        <v>0.61</v>
      </c>
      <c r="S88" s="83">
        <v>600</v>
      </c>
      <c r="T88" s="81" t="s">
        <v>43</v>
      </c>
      <c r="U88" s="82">
        <v>378624</v>
      </c>
    </row>
    <row r="89" spans="1:21" x14ac:dyDescent="0.25">
      <c r="A89" t="s">
        <v>437</v>
      </c>
      <c r="B89" s="81">
        <v>268.8</v>
      </c>
      <c r="C89">
        <v>1300</v>
      </c>
      <c r="D89">
        <v>120</v>
      </c>
      <c r="E89" s="82">
        <v>40</v>
      </c>
      <c r="F89" s="81">
        <v>229.73</v>
      </c>
      <c r="G89">
        <v>3174.59</v>
      </c>
      <c r="H89">
        <v>303.83</v>
      </c>
      <c r="I89">
        <f t="shared" si="3"/>
        <v>31.788415839424903</v>
      </c>
      <c r="J89">
        <v>113.08</v>
      </c>
      <c r="K89">
        <v>35.74</v>
      </c>
      <c r="L89">
        <v>114.68</v>
      </c>
      <c r="M89" s="82">
        <v>45.22</v>
      </c>
      <c r="N89" s="81">
        <v>0.43</v>
      </c>
      <c r="O89">
        <f t="shared" si="2"/>
        <v>0.31645569620253161</v>
      </c>
      <c r="P89">
        <v>3.16</v>
      </c>
      <c r="Q89">
        <v>0.32</v>
      </c>
      <c r="R89" s="82">
        <v>0.73</v>
      </c>
      <c r="S89" s="83">
        <v>500</v>
      </c>
      <c r="T89" s="81" t="s">
        <v>43</v>
      </c>
      <c r="U89" s="82">
        <v>2360167</v>
      </c>
    </row>
    <row r="90" spans="1:21" x14ac:dyDescent="0.25">
      <c r="A90" t="s">
        <v>438</v>
      </c>
      <c r="B90" s="81">
        <v>268.8</v>
      </c>
      <c r="C90">
        <v>1300</v>
      </c>
      <c r="D90">
        <v>120</v>
      </c>
      <c r="E90" s="82">
        <v>40</v>
      </c>
      <c r="F90" s="81">
        <v>764.18</v>
      </c>
      <c r="G90">
        <v>6294.21</v>
      </c>
      <c r="H90">
        <v>343.13</v>
      </c>
      <c r="I90">
        <f t="shared" si="3"/>
        <v>44.76057717140025</v>
      </c>
      <c r="J90">
        <v>95.8</v>
      </c>
      <c r="K90">
        <v>83.65</v>
      </c>
      <c r="L90">
        <v>102.2</v>
      </c>
      <c r="M90" s="82">
        <v>91.89</v>
      </c>
      <c r="N90" s="81">
        <v>0.67</v>
      </c>
      <c r="O90">
        <f t="shared" si="2"/>
        <v>0.86956521739130443</v>
      </c>
      <c r="P90">
        <v>1.1499999999999999</v>
      </c>
      <c r="Q90">
        <v>0.87</v>
      </c>
      <c r="R90" s="82">
        <v>0.89</v>
      </c>
      <c r="S90" s="83">
        <v>700</v>
      </c>
      <c r="T90" s="81" t="s">
        <v>64</v>
      </c>
      <c r="U90" s="82">
        <v>53583</v>
      </c>
    </row>
    <row r="91" spans="1:21" x14ac:dyDescent="0.25">
      <c r="A91" t="s">
        <v>439</v>
      </c>
      <c r="B91" s="81">
        <v>268.8</v>
      </c>
      <c r="C91">
        <v>1300</v>
      </c>
      <c r="D91">
        <v>120</v>
      </c>
      <c r="E91" s="82">
        <v>40</v>
      </c>
      <c r="F91" s="81">
        <v>1101.6199999999999</v>
      </c>
      <c r="G91">
        <v>4094.24</v>
      </c>
      <c r="H91">
        <v>310.11</v>
      </c>
      <c r="I91">
        <f t="shared" si="3"/>
        <v>36.100374906766874</v>
      </c>
      <c r="J91">
        <v>106.35</v>
      </c>
      <c r="K91">
        <v>49.02</v>
      </c>
      <c r="L91">
        <v>103.6</v>
      </c>
      <c r="M91" s="82">
        <v>58.16</v>
      </c>
      <c r="N91" s="81">
        <v>0.54</v>
      </c>
      <c r="O91">
        <f t="shared" si="2"/>
        <v>0.46082949308755761</v>
      </c>
      <c r="P91">
        <v>2.17</v>
      </c>
      <c r="Q91">
        <v>0.46</v>
      </c>
      <c r="R91" s="82">
        <v>0.77</v>
      </c>
      <c r="S91" s="83">
        <v>600</v>
      </c>
      <c r="T91" s="81" t="s">
        <v>43</v>
      </c>
      <c r="U91" s="82">
        <v>295958</v>
      </c>
    </row>
    <row r="92" spans="1:21" x14ac:dyDescent="0.25">
      <c r="A92" t="s">
        <v>440</v>
      </c>
      <c r="B92" s="81">
        <v>268.8</v>
      </c>
      <c r="C92">
        <v>1300</v>
      </c>
      <c r="D92">
        <v>120</v>
      </c>
      <c r="E92" s="82">
        <v>40</v>
      </c>
      <c r="F92" s="81">
        <v>215.18</v>
      </c>
      <c r="G92">
        <v>2089.0300000000002</v>
      </c>
      <c r="H92">
        <v>211.82</v>
      </c>
      <c r="I92">
        <f t="shared" si="3"/>
        <v>25.786797039076497</v>
      </c>
      <c r="J92">
        <v>77.2</v>
      </c>
      <c r="K92">
        <v>34.450000000000003</v>
      </c>
      <c r="L92">
        <v>86.58</v>
      </c>
      <c r="M92" s="82">
        <v>38.99</v>
      </c>
      <c r="N92" s="81">
        <v>0.59</v>
      </c>
      <c r="O92">
        <f t="shared" si="2"/>
        <v>0.4464285714285714</v>
      </c>
      <c r="P92">
        <v>2.2400000000000002</v>
      </c>
      <c r="Q92">
        <v>0.45</v>
      </c>
      <c r="R92" s="82">
        <v>0.84</v>
      </c>
      <c r="S92" s="83">
        <v>500</v>
      </c>
      <c r="T92" s="81" t="s">
        <v>43</v>
      </c>
      <c r="U92" s="82">
        <v>2539563</v>
      </c>
    </row>
    <row r="93" spans="1:21" x14ac:dyDescent="0.25">
      <c r="A93" t="s">
        <v>443</v>
      </c>
      <c r="B93" s="81">
        <v>268.8</v>
      </c>
      <c r="C93">
        <v>1300</v>
      </c>
      <c r="D93">
        <v>120</v>
      </c>
      <c r="E93" s="82">
        <v>40</v>
      </c>
      <c r="F93" s="81">
        <v>1038.26</v>
      </c>
      <c r="G93">
        <v>22259.35</v>
      </c>
      <c r="H93">
        <v>1190.5</v>
      </c>
      <c r="I93">
        <f t="shared" si="3"/>
        <v>84.174646806655275</v>
      </c>
      <c r="J93">
        <v>213.07</v>
      </c>
      <c r="K93">
        <v>133.02000000000001</v>
      </c>
      <c r="L93">
        <v>309.3</v>
      </c>
      <c r="M93" s="82">
        <v>209.8</v>
      </c>
      <c r="N93" s="81">
        <v>0.2</v>
      </c>
      <c r="O93">
        <f t="shared" si="2"/>
        <v>0.625</v>
      </c>
      <c r="P93">
        <v>1.6</v>
      </c>
      <c r="Q93">
        <v>0.62</v>
      </c>
      <c r="R93" s="82">
        <v>0.48</v>
      </c>
      <c r="S93" s="83">
        <v>700</v>
      </c>
      <c r="T93" s="81" t="s">
        <v>43</v>
      </c>
      <c r="U93" s="82">
        <v>28763</v>
      </c>
    </row>
    <row r="94" spans="1:21" x14ac:dyDescent="0.25">
      <c r="A94" t="s">
        <v>444</v>
      </c>
      <c r="B94" s="81">
        <v>268.8</v>
      </c>
      <c r="C94">
        <v>1300</v>
      </c>
      <c r="D94">
        <v>120</v>
      </c>
      <c r="E94" s="82">
        <v>40</v>
      </c>
      <c r="F94" s="81">
        <v>731.84</v>
      </c>
      <c r="G94">
        <v>5544.93</v>
      </c>
      <c r="H94">
        <v>440.15</v>
      </c>
      <c r="I94">
        <f t="shared" si="3"/>
        <v>42.011974926169401</v>
      </c>
      <c r="J94">
        <v>111.1</v>
      </c>
      <c r="K94">
        <v>63.55</v>
      </c>
      <c r="L94">
        <v>168.14</v>
      </c>
      <c r="M94" s="82">
        <v>79.34</v>
      </c>
      <c r="N94" s="81">
        <v>0.36</v>
      </c>
      <c r="O94">
        <f t="shared" si="2"/>
        <v>0.5714285714285714</v>
      </c>
      <c r="P94">
        <v>1.75</v>
      </c>
      <c r="Q94">
        <v>0.56999999999999995</v>
      </c>
      <c r="R94" s="82">
        <v>0.72</v>
      </c>
      <c r="S94" s="83">
        <v>600</v>
      </c>
      <c r="T94" s="81" t="s">
        <v>43</v>
      </c>
      <c r="U94" s="82">
        <v>156863</v>
      </c>
    </row>
    <row r="95" spans="1:21" x14ac:dyDescent="0.25">
      <c r="A95" t="s">
        <v>445</v>
      </c>
      <c r="B95" s="81">
        <v>268.8</v>
      </c>
      <c r="C95">
        <v>1300</v>
      </c>
      <c r="D95">
        <v>120</v>
      </c>
      <c r="E95" s="82">
        <v>40</v>
      </c>
      <c r="F95" s="81">
        <v>70.42</v>
      </c>
      <c r="G95">
        <v>6272.74</v>
      </c>
      <c r="H95">
        <v>501.23</v>
      </c>
      <c r="I95">
        <f t="shared" si="3"/>
        <v>44.684171195855377</v>
      </c>
      <c r="J95">
        <v>138.01</v>
      </c>
      <c r="K95">
        <v>57.87</v>
      </c>
      <c r="L95">
        <v>175.55</v>
      </c>
      <c r="M95" s="82">
        <v>91.26</v>
      </c>
      <c r="N95" s="81">
        <v>0.31</v>
      </c>
      <c r="O95">
        <f t="shared" si="2"/>
        <v>0.42016806722689076</v>
      </c>
      <c r="P95">
        <v>2.38</v>
      </c>
      <c r="Q95">
        <v>0.42</v>
      </c>
      <c r="R95" s="82">
        <v>0.61</v>
      </c>
      <c r="S95" s="83">
        <v>500</v>
      </c>
      <c r="T95" s="81" t="s">
        <v>43</v>
      </c>
      <c r="U95" s="82">
        <v>1036714</v>
      </c>
    </row>
    <row r="96" spans="1:21" x14ac:dyDescent="0.25">
      <c r="A96" t="s">
        <v>447</v>
      </c>
      <c r="B96" s="81">
        <v>268.8</v>
      </c>
      <c r="C96">
        <v>1300</v>
      </c>
      <c r="D96">
        <v>122.88</v>
      </c>
      <c r="E96" s="82">
        <v>40</v>
      </c>
      <c r="F96" s="81">
        <v>1683.75</v>
      </c>
      <c r="G96">
        <v>14651.12</v>
      </c>
      <c r="H96">
        <v>1019.5</v>
      </c>
      <c r="I96">
        <f t="shared" si="3"/>
        <v>68.290528916278419</v>
      </c>
      <c r="J96">
        <v>159.47</v>
      </c>
      <c r="K96">
        <v>116.98</v>
      </c>
      <c r="L96">
        <v>231.51</v>
      </c>
      <c r="M96" s="82">
        <v>173.56</v>
      </c>
      <c r="N96" s="81">
        <v>0.18</v>
      </c>
      <c r="O96">
        <f t="shared" si="2"/>
        <v>0.73529411764705876</v>
      </c>
      <c r="P96">
        <v>1.36</v>
      </c>
      <c r="Q96">
        <v>0.73</v>
      </c>
      <c r="R96" s="82">
        <v>0.55000000000000004</v>
      </c>
      <c r="S96" s="83">
        <v>700</v>
      </c>
      <c r="T96" s="81" t="s">
        <v>43</v>
      </c>
      <c r="U96" s="82">
        <v>35133</v>
      </c>
    </row>
    <row r="97" spans="1:21" x14ac:dyDescent="0.25">
      <c r="A97" t="s">
        <v>448</v>
      </c>
      <c r="B97" s="81">
        <v>268.8</v>
      </c>
      <c r="C97">
        <v>1300</v>
      </c>
      <c r="D97">
        <v>122.88</v>
      </c>
      <c r="E97" s="82">
        <v>40</v>
      </c>
      <c r="F97" s="81">
        <v>9.74</v>
      </c>
      <c r="G97">
        <v>8863.09</v>
      </c>
      <c r="H97">
        <v>586.44000000000005</v>
      </c>
      <c r="I97">
        <f t="shared" si="3"/>
        <v>53.115055955319235</v>
      </c>
      <c r="J97">
        <v>205.79</v>
      </c>
      <c r="K97">
        <v>54.84</v>
      </c>
      <c r="L97">
        <v>213.2</v>
      </c>
      <c r="M97" s="82">
        <v>70.56</v>
      </c>
      <c r="N97" s="81">
        <v>0.32</v>
      </c>
      <c r="O97">
        <f t="shared" si="2"/>
        <v>0.26666666666666666</v>
      </c>
      <c r="P97">
        <v>3.75</v>
      </c>
      <c r="Q97">
        <v>0.27</v>
      </c>
      <c r="R97" s="82">
        <v>0.71</v>
      </c>
      <c r="S97" s="83">
        <v>600</v>
      </c>
      <c r="T97" s="81" t="s">
        <v>43</v>
      </c>
      <c r="U97" s="82">
        <v>26656</v>
      </c>
    </row>
    <row r="98" spans="1:21" x14ac:dyDescent="0.25">
      <c r="A98" t="s">
        <v>449</v>
      </c>
      <c r="B98" s="81">
        <v>268.8</v>
      </c>
      <c r="C98">
        <v>1300</v>
      </c>
      <c r="D98">
        <v>122.88</v>
      </c>
      <c r="E98" s="82">
        <v>40</v>
      </c>
      <c r="F98" s="81">
        <v>441.97</v>
      </c>
      <c r="G98">
        <v>7877.89</v>
      </c>
      <c r="H98">
        <v>403.62</v>
      </c>
      <c r="I98">
        <f t="shared" si="3"/>
        <v>50.076044864470106</v>
      </c>
      <c r="J98">
        <v>145.1</v>
      </c>
      <c r="K98">
        <v>69.13</v>
      </c>
      <c r="L98">
        <v>165.6</v>
      </c>
      <c r="M98" s="82">
        <v>71.849999999999994</v>
      </c>
      <c r="N98" s="81">
        <v>0.61</v>
      </c>
      <c r="O98">
        <f t="shared" si="2"/>
        <v>0.47619047619047616</v>
      </c>
      <c r="P98">
        <v>2.1</v>
      </c>
      <c r="Q98">
        <v>0.48</v>
      </c>
      <c r="R98" s="82">
        <v>0.91</v>
      </c>
      <c r="S98" s="83">
        <v>500</v>
      </c>
      <c r="T98" s="81" t="s">
        <v>43</v>
      </c>
      <c r="U98" s="82">
        <v>533034</v>
      </c>
    </row>
    <row r="99" spans="1:21" x14ac:dyDescent="0.25">
      <c r="A99" t="s">
        <v>450</v>
      </c>
      <c r="B99" s="81">
        <v>268.8</v>
      </c>
      <c r="C99">
        <v>1300</v>
      </c>
      <c r="D99">
        <v>122.88</v>
      </c>
      <c r="E99" s="82">
        <v>40</v>
      </c>
      <c r="F99" s="81">
        <v>9.23</v>
      </c>
      <c r="G99">
        <v>9793.14</v>
      </c>
      <c r="H99">
        <v>703.09</v>
      </c>
      <c r="I99">
        <f t="shared" si="3"/>
        <v>55.832367662332999</v>
      </c>
      <c r="J99">
        <v>165.53</v>
      </c>
      <c r="K99">
        <v>75.33</v>
      </c>
      <c r="L99">
        <v>203.11</v>
      </c>
      <c r="M99" s="82">
        <v>118.24</v>
      </c>
      <c r="N99" s="81">
        <v>0.25</v>
      </c>
      <c r="O99">
        <f t="shared" si="2"/>
        <v>0.45454545454545453</v>
      </c>
      <c r="P99">
        <v>2.2000000000000002</v>
      </c>
      <c r="Q99">
        <v>0.46</v>
      </c>
      <c r="R99" s="82">
        <v>0.55000000000000004</v>
      </c>
      <c r="S99" s="83">
        <v>500</v>
      </c>
      <c r="T99" s="81" t="s">
        <v>43</v>
      </c>
      <c r="U99" s="82">
        <v>262682</v>
      </c>
    </row>
    <row r="100" spans="1:21" x14ac:dyDescent="0.25">
      <c r="A100" t="s">
        <v>451</v>
      </c>
      <c r="B100" s="81">
        <v>268.8</v>
      </c>
      <c r="C100">
        <v>1300</v>
      </c>
      <c r="D100">
        <v>122.88</v>
      </c>
      <c r="E100" s="82">
        <v>40</v>
      </c>
      <c r="F100" s="81">
        <v>1120.9000000000001</v>
      </c>
      <c r="G100">
        <v>7848.38</v>
      </c>
      <c r="H100">
        <v>586.08000000000004</v>
      </c>
      <c r="I100">
        <f t="shared" si="3"/>
        <v>49.982166264850299</v>
      </c>
      <c r="J100">
        <v>160.59</v>
      </c>
      <c r="K100">
        <v>62.23</v>
      </c>
      <c r="L100">
        <v>173.86</v>
      </c>
      <c r="M100" s="82">
        <v>87.36</v>
      </c>
      <c r="N100" s="81">
        <v>0.28999999999999998</v>
      </c>
      <c r="O100">
        <f t="shared" si="2"/>
        <v>0.38759689922480617</v>
      </c>
      <c r="P100">
        <v>2.58</v>
      </c>
      <c r="Q100">
        <v>0.39</v>
      </c>
      <c r="R100" s="82">
        <v>0.68</v>
      </c>
      <c r="S100" s="83">
        <v>600</v>
      </c>
      <c r="T100" s="81" t="s">
        <v>43</v>
      </c>
      <c r="U100" s="82">
        <v>104823</v>
      </c>
    </row>
    <row r="101" spans="1:21" x14ac:dyDescent="0.25">
      <c r="A101" t="s">
        <v>452</v>
      </c>
      <c r="B101" s="81">
        <v>268.8</v>
      </c>
      <c r="C101">
        <v>1300</v>
      </c>
      <c r="D101">
        <v>122.88</v>
      </c>
      <c r="E101" s="82">
        <v>40</v>
      </c>
      <c r="F101" s="81">
        <v>0</v>
      </c>
      <c r="G101">
        <v>4634.3999999999996</v>
      </c>
      <c r="H101">
        <v>498.92</v>
      </c>
      <c r="I101">
        <f t="shared" si="3"/>
        <v>38.408011358701707</v>
      </c>
      <c r="J101">
        <v>129.28</v>
      </c>
      <c r="K101">
        <v>45.64</v>
      </c>
      <c r="L101">
        <v>171.43</v>
      </c>
      <c r="M101" s="82">
        <v>82.31</v>
      </c>
      <c r="N101" s="81">
        <v>0.23</v>
      </c>
      <c r="O101">
        <f t="shared" si="2"/>
        <v>0.35335689045936397</v>
      </c>
      <c r="P101">
        <v>2.83</v>
      </c>
      <c r="Q101">
        <v>0.35</v>
      </c>
      <c r="R101" s="82">
        <v>0.44</v>
      </c>
      <c r="S101" s="83">
        <v>700</v>
      </c>
      <c r="T101" s="81" t="s">
        <v>43</v>
      </c>
      <c r="U101" s="82">
        <v>15036</v>
      </c>
    </row>
    <row r="102" spans="1:21" x14ac:dyDescent="0.25">
      <c r="A102" t="s">
        <v>453</v>
      </c>
      <c r="B102" s="81">
        <v>268.8</v>
      </c>
      <c r="C102">
        <v>1300</v>
      </c>
      <c r="D102">
        <v>122.88</v>
      </c>
      <c r="E102" s="82">
        <v>40</v>
      </c>
      <c r="F102" s="81">
        <v>0</v>
      </c>
      <c r="G102">
        <v>1557.51</v>
      </c>
      <c r="H102">
        <v>180.18</v>
      </c>
      <c r="I102">
        <f t="shared" si="3"/>
        <v>22.265911857144225</v>
      </c>
      <c r="J102">
        <v>69.510000000000005</v>
      </c>
      <c r="K102">
        <v>28.53</v>
      </c>
      <c r="L102">
        <v>74.69</v>
      </c>
      <c r="M102" s="82">
        <v>31.57</v>
      </c>
      <c r="N102" s="81">
        <v>0.6</v>
      </c>
      <c r="O102">
        <f t="shared" si="2"/>
        <v>0.4098360655737705</v>
      </c>
      <c r="P102">
        <v>2.44</v>
      </c>
      <c r="Q102">
        <v>0.41</v>
      </c>
      <c r="R102" s="82">
        <v>0.97</v>
      </c>
      <c r="S102" s="83">
        <v>700</v>
      </c>
      <c r="T102" s="81" t="s">
        <v>43</v>
      </c>
      <c r="U102" s="82">
        <v>23032</v>
      </c>
    </row>
    <row r="103" spans="1:21" x14ac:dyDescent="0.25">
      <c r="A103" t="s">
        <v>454</v>
      </c>
      <c r="B103" s="81">
        <v>268.8</v>
      </c>
      <c r="C103">
        <v>1300</v>
      </c>
      <c r="D103">
        <v>122.88</v>
      </c>
      <c r="E103" s="82">
        <v>40</v>
      </c>
      <c r="F103" s="81">
        <v>0</v>
      </c>
      <c r="G103">
        <v>830.32</v>
      </c>
      <c r="H103">
        <v>169.03</v>
      </c>
      <c r="I103">
        <f t="shared" si="3"/>
        <v>16.257277284223367</v>
      </c>
      <c r="J103">
        <v>42.83</v>
      </c>
      <c r="K103">
        <v>24.69</v>
      </c>
      <c r="L103">
        <v>59.2</v>
      </c>
      <c r="M103" s="82">
        <v>36.99</v>
      </c>
      <c r="N103" s="81">
        <v>0.37</v>
      </c>
      <c r="O103">
        <f t="shared" si="2"/>
        <v>0.5780346820809249</v>
      </c>
      <c r="P103">
        <v>1.73</v>
      </c>
      <c r="Q103">
        <v>0.57999999999999996</v>
      </c>
      <c r="R103" s="82">
        <v>0.65</v>
      </c>
      <c r="S103" s="83">
        <v>600</v>
      </c>
      <c r="T103" s="81" t="s">
        <v>43</v>
      </c>
      <c r="U103" s="82">
        <v>136248</v>
      </c>
    </row>
    <row r="104" spans="1:21" x14ac:dyDescent="0.25">
      <c r="A104" t="s">
        <v>455</v>
      </c>
      <c r="B104" s="81">
        <v>268.8</v>
      </c>
      <c r="C104">
        <v>1300</v>
      </c>
      <c r="D104">
        <v>122.88</v>
      </c>
      <c r="E104" s="82">
        <v>40</v>
      </c>
      <c r="F104" s="81">
        <v>428.2</v>
      </c>
      <c r="G104">
        <v>2516.88</v>
      </c>
      <c r="H104">
        <v>220.19</v>
      </c>
      <c r="I104">
        <f t="shared" si="3"/>
        <v>28.304554162506413</v>
      </c>
      <c r="J104">
        <v>89.42</v>
      </c>
      <c r="K104">
        <v>35.840000000000003</v>
      </c>
      <c r="L104">
        <v>90.52</v>
      </c>
      <c r="M104" s="82">
        <v>38.85</v>
      </c>
      <c r="N104" s="81">
        <v>0.65</v>
      </c>
      <c r="O104">
        <f t="shared" si="2"/>
        <v>0.4</v>
      </c>
      <c r="P104">
        <v>2.5</v>
      </c>
      <c r="Q104">
        <v>0.4</v>
      </c>
      <c r="R104" s="82">
        <v>0.91</v>
      </c>
      <c r="S104" s="83">
        <v>500</v>
      </c>
      <c r="T104" s="81" t="s">
        <v>43</v>
      </c>
      <c r="U104" s="82">
        <v>3330389</v>
      </c>
    </row>
    <row r="105" spans="1:21" x14ac:dyDescent="0.25">
      <c r="A105" t="s">
        <v>456</v>
      </c>
      <c r="B105" s="81">
        <v>268.8</v>
      </c>
      <c r="C105">
        <v>1300</v>
      </c>
      <c r="D105">
        <v>122.88</v>
      </c>
      <c r="E105" s="82">
        <v>40</v>
      </c>
      <c r="F105" s="81">
        <v>0</v>
      </c>
      <c r="G105">
        <v>751.6</v>
      </c>
      <c r="H105">
        <v>115.91</v>
      </c>
      <c r="I105">
        <f t="shared" si="3"/>
        <v>15.46744033302657</v>
      </c>
      <c r="J105">
        <v>42.34</v>
      </c>
      <c r="K105">
        <v>22.6</v>
      </c>
      <c r="L105">
        <v>42.33</v>
      </c>
      <c r="M105" s="82">
        <v>24.75</v>
      </c>
      <c r="N105" s="81">
        <v>0.7</v>
      </c>
      <c r="O105">
        <f t="shared" si="2"/>
        <v>0.53475935828876997</v>
      </c>
      <c r="P105">
        <v>1.87</v>
      </c>
      <c r="Q105">
        <v>0.53</v>
      </c>
      <c r="R105" s="82">
        <v>0.89</v>
      </c>
      <c r="S105" s="83">
        <v>700</v>
      </c>
      <c r="T105" s="81" t="s">
        <v>64</v>
      </c>
      <c r="U105" s="82">
        <v>31695</v>
      </c>
    </row>
    <row r="106" spans="1:21" x14ac:dyDescent="0.25">
      <c r="A106" t="s">
        <v>457</v>
      </c>
      <c r="B106" s="81">
        <v>268.8</v>
      </c>
      <c r="C106">
        <v>1300</v>
      </c>
      <c r="D106">
        <v>122.88</v>
      </c>
      <c r="E106" s="82">
        <v>40</v>
      </c>
      <c r="F106" s="81">
        <v>79.52</v>
      </c>
      <c r="G106">
        <v>4108.43</v>
      </c>
      <c r="H106">
        <v>327.66000000000003</v>
      </c>
      <c r="I106">
        <f t="shared" si="3"/>
        <v>36.162879941924857</v>
      </c>
      <c r="J106">
        <v>97.84</v>
      </c>
      <c r="K106">
        <v>53.47</v>
      </c>
      <c r="L106">
        <v>121.62</v>
      </c>
      <c r="M106" s="82">
        <v>68.599999999999994</v>
      </c>
      <c r="N106" s="81">
        <v>0.48</v>
      </c>
      <c r="O106">
        <f t="shared" si="2"/>
        <v>0.54644808743169393</v>
      </c>
      <c r="P106">
        <v>1.83</v>
      </c>
      <c r="Q106">
        <v>0.55000000000000004</v>
      </c>
      <c r="R106" s="82">
        <v>0.77</v>
      </c>
      <c r="S106" s="83">
        <v>600</v>
      </c>
      <c r="T106" s="81" t="s">
        <v>43</v>
      </c>
      <c r="U106" s="82">
        <v>159482</v>
      </c>
    </row>
    <row r="107" spans="1:21" x14ac:dyDescent="0.25">
      <c r="A107" t="s">
        <v>458</v>
      </c>
      <c r="B107" s="81">
        <v>268.8</v>
      </c>
      <c r="C107">
        <v>1300</v>
      </c>
      <c r="D107">
        <v>122.88</v>
      </c>
      <c r="E107" s="82">
        <v>40</v>
      </c>
      <c r="F107" s="81">
        <v>92.3</v>
      </c>
      <c r="G107">
        <v>1441.53</v>
      </c>
      <c r="H107">
        <v>259.83</v>
      </c>
      <c r="I107">
        <f t="shared" si="3"/>
        <v>21.420860165514359</v>
      </c>
      <c r="J107">
        <v>88.24</v>
      </c>
      <c r="K107">
        <v>20.8</v>
      </c>
      <c r="L107">
        <v>105.81</v>
      </c>
      <c r="M107" s="82">
        <v>32.74</v>
      </c>
      <c r="N107" s="81">
        <v>0.27</v>
      </c>
      <c r="O107">
        <f t="shared" si="2"/>
        <v>0.23584905660377356</v>
      </c>
      <c r="P107">
        <v>4.24</v>
      </c>
      <c r="Q107">
        <v>0.24</v>
      </c>
      <c r="R107" s="82">
        <v>0.56000000000000005</v>
      </c>
      <c r="S107" s="83">
        <v>500</v>
      </c>
      <c r="T107" s="81" t="s">
        <v>43</v>
      </c>
      <c r="U107" s="82">
        <v>3908201</v>
      </c>
    </row>
    <row r="108" spans="1:21" x14ac:dyDescent="0.25">
      <c r="A108" t="s">
        <v>459</v>
      </c>
      <c r="B108" s="81">
        <v>268.8</v>
      </c>
      <c r="C108">
        <v>1300</v>
      </c>
      <c r="D108">
        <v>122.88</v>
      </c>
      <c r="E108" s="82">
        <v>40</v>
      </c>
      <c r="F108" s="81">
        <v>1356.29</v>
      </c>
      <c r="G108">
        <v>2187.63</v>
      </c>
      <c r="H108">
        <v>288.43</v>
      </c>
      <c r="I108">
        <f t="shared" si="3"/>
        <v>26.388335610876371</v>
      </c>
      <c r="J108">
        <v>90.54</v>
      </c>
      <c r="K108">
        <v>30.76</v>
      </c>
      <c r="L108">
        <v>96.63</v>
      </c>
      <c r="M108" s="82">
        <v>47.24</v>
      </c>
      <c r="N108" s="81">
        <v>0.33</v>
      </c>
      <c r="O108">
        <f t="shared" si="2"/>
        <v>0.3401360544217687</v>
      </c>
      <c r="P108">
        <v>2.94</v>
      </c>
      <c r="Q108">
        <v>0.34</v>
      </c>
      <c r="R108" s="82">
        <v>0.61</v>
      </c>
      <c r="S108" s="83">
        <v>700</v>
      </c>
      <c r="T108" s="81" t="s">
        <v>43</v>
      </c>
      <c r="U108" s="82">
        <v>93323</v>
      </c>
    </row>
    <row r="109" spans="1:21" x14ac:dyDescent="0.25">
      <c r="A109" t="s">
        <v>461</v>
      </c>
      <c r="B109" s="81">
        <v>268.8</v>
      </c>
      <c r="C109">
        <v>1300</v>
      </c>
      <c r="D109">
        <v>122.88</v>
      </c>
      <c r="E109" s="82">
        <v>40</v>
      </c>
      <c r="F109" s="81">
        <v>449.53</v>
      </c>
      <c r="G109">
        <v>11842.82</v>
      </c>
      <c r="H109">
        <v>741.43</v>
      </c>
      <c r="I109">
        <f t="shared" si="3"/>
        <v>61.397774278023462</v>
      </c>
      <c r="J109">
        <v>126.98</v>
      </c>
      <c r="K109">
        <v>118.75</v>
      </c>
      <c r="L109">
        <v>190.14</v>
      </c>
      <c r="M109" s="82">
        <v>162.86000000000001</v>
      </c>
      <c r="N109" s="81">
        <v>0.27</v>
      </c>
      <c r="O109">
        <f t="shared" si="2"/>
        <v>0.93457943925233644</v>
      </c>
      <c r="P109">
        <v>1.07</v>
      </c>
      <c r="Q109">
        <v>0.94</v>
      </c>
      <c r="R109" s="82">
        <v>0.6</v>
      </c>
      <c r="S109" s="83">
        <v>500</v>
      </c>
      <c r="T109" s="81" t="s">
        <v>43</v>
      </c>
      <c r="U109" s="82">
        <v>334157</v>
      </c>
    </row>
    <row r="110" spans="1:21" x14ac:dyDescent="0.25">
      <c r="A110" t="s">
        <v>462</v>
      </c>
      <c r="B110" s="81">
        <v>268.8</v>
      </c>
      <c r="C110">
        <v>1300</v>
      </c>
      <c r="D110">
        <v>122.88</v>
      </c>
      <c r="E110" s="82">
        <v>40</v>
      </c>
      <c r="F110" s="81">
        <v>0</v>
      </c>
      <c r="G110">
        <v>14441.58</v>
      </c>
      <c r="H110">
        <v>574.67999999999995</v>
      </c>
      <c r="I110">
        <f t="shared" si="3"/>
        <v>67.800425412486234</v>
      </c>
      <c r="J110">
        <v>185.88</v>
      </c>
      <c r="K110">
        <v>98.92</v>
      </c>
      <c r="L110">
        <v>215.28</v>
      </c>
      <c r="M110" s="82">
        <v>118.37</v>
      </c>
      <c r="N110" s="81">
        <v>0.55000000000000004</v>
      </c>
      <c r="O110">
        <f t="shared" si="2"/>
        <v>0.53191489361702127</v>
      </c>
      <c r="P110">
        <v>1.88</v>
      </c>
      <c r="Q110">
        <v>0.53</v>
      </c>
      <c r="R110" s="82">
        <v>0.82</v>
      </c>
      <c r="S110" s="83">
        <v>600</v>
      </c>
      <c r="T110" s="81" t="s">
        <v>43</v>
      </c>
      <c r="U110" s="82">
        <v>18541</v>
      </c>
    </row>
    <row r="111" spans="1:21" x14ac:dyDescent="0.25">
      <c r="A111" t="s">
        <v>481</v>
      </c>
      <c r="B111" s="81">
        <v>280</v>
      </c>
      <c r="C111">
        <v>1300</v>
      </c>
      <c r="D111">
        <v>120</v>
      </c>
      <c r="E111" s="82">
        <v>40</v>
      </c>
      <c r="F111" s="81">
        <v>194.9</v>
      </c>
      <c r="G111">
        <v>12175.075000000001</v>
      </c>
      <c r="H111">
        <v>888.50400000000002</v>
      </c>
      <c r="I111">
        <f t="shared" si="3"/>
        <v>62.253086168712272</v>
      </c>
      <c r="J111">
        <v>137.9111</v>
      </c>
      <c r="K111">
        <v>112.404</v>
      </c>
      <c r="L111">
        <v>221.85499999999999</v>
      </c>
      <c r="M111" s="82">
        <v>143.30099999999999</v>
      </c>
      <c r="N111" s="81">
        <v>0.19400000000000001</v>
      </c>
      <c r="O111">
        <f>1/1.227</f>
        <v>0.81499592502037488</v>
      </c>
      <c r="P111">
        <f>1/O111</f>
        <v>1.2270000000000001</v>
      </c>
      <c r="Q111">
        <v>0.81499999999999995</v>
      </c>
      <c r="R111" s="82">
        <v>0.56299999999999994</v>
      </c>
      <c r="S111" s="83">
        <v>500</v>
      </c>
      <c r="T111" s="81" t="s">
        <v>43</v>
      </c>
      <c r="U111" s="82">
        <v>245727</v>
      </c>
    </row>
    <row r="112" spans="1:21" x14ac:dyDescent="0.25">
      <c r="A112" t="s">
        <v>483</v>
      </c>
      <c r="B112" s="81">
        <v>280</v>
      </c>
      <c r="C112">
        <v>1300</v>
      </c>
      <c r="D112">
        <v>120</v>
      </c>
      <c r="E112" s="82">
        <v>40</v>
      </c>
      <c r="F112" s="81">
        <v>1299.1043212916843</v>
      </c>
      <c r="G112">
        <v>4443.0360000000001</v>
      </c>
      <c r="H112">
        <v>392.12400000000002</v>
      </c>
      <c r="I112">
        <f t="shared" si="3"/>
        <v>37.606678708315691</v>
      </c>
      <c r="J112">
        <v>99.242999999999995</v>
      </c>
      <c r="K112">
        <v>57.002000000000002</v>
      </c>
      <c r="L112">
        <v>127.30800000000001</v>
      </c>
      <c r="M112" s="82">
        <v>78.415999999999997</v>
      </c>
      <c r="N112" s="81">
        <v>0.36299999999999999</v>
      </c>
      <c r="O112">
        <f>1/1.741</f>
        <v>0.57438253877082135</v>
      </c>
      <c r="P112">
        <f t="shared" ref="P112:P130" si="4">1/O112</f>
        <v>1.7410000000000001</v>
      </c>
      <c r="Q112">
        <v>0.57399999999999995</v>
      </c>
      <c r="R112" s="82">
        <v>0.66200000000000003</v>
      </c>
      <c r="S112" s="83">
        <v>700</v>
      </c>
      <c r="T112" s="81" t="s">
        <v>43</v>
      </c>
      <c r="U112" s="82">
        <v>67850</v>
      </c>
    </row>
    <row r="113" spans="1:21" x14ac:dyDescent="0.25">
      <c r="A113" t="s">
        <v>484</v>
      </c>
      <c r="B113" s="81">
        <v>280</v>
      </c>
      <c r="C113">
        <v>1300</v>
      </c>
      <c r="D113">
        <v>120</v>
      </c>
      <c r="E113" s="82">
        <v>40</v>
      </c>
      <c r="F113" s="81">
        <v>1778.2514156769882</v>
      </c>
      <c r="G113">
        <v>11752.647999999999</v>
      </c>
      <c r="H113">
        <v>802.43</v>
      </c>
      <c r="I113">
        <f t="shared" si="3"/>
        <v>61.163584323011634</v>
      </c>
      <c r="J113">
        <v>146.61000000000001</v>
      </c>
      <c r="K113">
        <v>102.06699999999999</v>
      </c>
      <c r="L113">
        <v>258.60700000000003</v>
      </c>
      <c r="M113" s="82">
        <v>124.128</v>
      </c>
      <c r="N113" s="81">
        <v>0.22900000000000001</v>
      </c>
      <c r="O113">
        <f>1/1.436</f>
        <v>0.69637883008356549</v>
      </c>
      <c r="P113">
        <f t="shared" si="4"/>
        <v>1.4359999999999999</v>
      </c>
      <c r="Q113">
        <v>0.69599999999999995</v>
      </c>
      <c r="R113" s="82">
        <v>0.47599999999999998</v>
      </c>
      <c r="S113" s="83">
        <v>600</v>
      </c>
      <c r="T113" s="81" t="s">
        <v>43</v>
      </c>
      <c r="U113" s="82">
        <v>157246</v>
      </c>
    </row>
    <row r="114" spans="1:21" x14ac:dyDescent="0.25">
      <c r="A114" t="s">
        <v>485</v>
      </c>
      <c r="B114" s="81">
        <v>280</v>
      </c>
      <c r="C114">
        <v>1300</v>
      </c>
      <c r="D114">
        <v>120</v>
      </c>
      <c r="E114" s="82">
        <v>40</v>
      </c>
      <c r="F114" s="81">
        <v>428.91884343046752</v>
      </c>
      <c r="G114">
        <v>7354.8559999999998</v>
      </c>
      <c r="H114">
        <v>542.95299999999997</v>
      </c>
      <c r="I114">
        <f t="shared" si="3"/>
        <v>48.385156569532462</v>
      </c>
      <c r="J114">
        <v>127.351</v>
      </c>
      <c r="K114">
        <v>73.534000000000006</v>
      </c>
      <c r="L114">
        <v>166.83600000000001</v>
      </c>
      <c r="M114" s="82">
        <v>100.833</v>
      </c>
      <c r="N114" s="81">
        <v>0.314</v>
      </c>
      <c r="O114">
        <f>1/1.732</f>
        <v>0.57736720554272514</v>
      </c>
      <c r="P114">
        <f t="shared" si="4"/>
        <v>1.7320000000000002</v>
      </c>
      <c r="Q114">
        <v>0.57699999999999996</v>
      </c>
      <c r="R114" s="82">
        <v>0.66400000000000003</v>
      </c>
      <c r="S114" s="83">
        <v>500</v>
      </c>
      <c r="T114" s="81" t="s">
        <v>43</v>
      </c>
      <c r="U114" s="82">
        <v>347011</v>
      </c>
    </row>
    <row r="115" spans="1:21" x14ac:dyDescent="0.25">
      <c r="A115" t="s">
        <v>486</v>
      </c>
      <c r="B115" s="81">
        <v>280</v>
      </c>
      <c r="C115">
        <v>1300</v>
      </c>
      <c r="D115">
        <v>120</v>
      </c>
      <c r="E115" s="82">
        <v>40</v>
      </c>
      <c r="F115" s="81">
        <v>1519.0868072495475</v>
      </c>
      <c r="G115">
        <v>2069.5349999999999</v>
      </c>
      <c r="H115">
        <v>213.90100000000001</v>
      </c>
      <c r="I115">
        <f t="shared" si="3"/>
        <v>25.666192750452321</v>
      </c>
      <c r="J115">
        <v>62.19</v>
      </c>
      <c r="K115">
        <v>42.37</v>
      </c>
      <c r="L115">
        <v>69.971999999999994</v>
      </c>
      <c r="M115" s="82">
        <v>48.475999999999999</v>
      </c>
      <c r="N115" s="81">
        <v>0.56799999999999995</v>
      </c>
      <c r="O115">
        <f>1/1.468</f>
        <v>0.68119891008174394</v>
      </c>
      <c r="P115">
        <f t="shared" si="4"/>
        <v>1.4679999999999997</v>
      </c>
      <c r="Q115">
        <v>0.68100000000000005</v>
      </c>
      <c r="R115" s="82">
        <v>0.85199999999999998</v>
      </c>
      <c r="S115" s="83">
        <v>600</v>
      </c>
      <c r="T115" s="81" t="s">
        <v>43</v>
      </c>
      <c r="U115" s="82">
        <v>280698</v>
      </c>
    </row>
    <row r="116" spans="1:21" x14ac:dyDescent="0.25">
      <c r="A116" t="s">
        <v>487</v>
      </c>
      <c r="B116" s="81">
        <v>280</v>
      </c>
      <c r="C116">
        <v>1300</v>
      </c>
      <c r="D116">
        <v>120</v>
      </c>
      <c r="E116" s="82">
        <v>40</v>
      </c>
      <c r="F116" s="81">
        <v>394.40742537564859</v>
      </c>
      <c r="G116">
        <v>1125.961</v>
      </c>
      <c r="H116">
        <v>120.367</v>
      </c>
      <c r="I116">
        <f t="shared" si="3"/>
        <v>18.931574624351434</v>
      </c>
      <c r="J116">
        <v>41.32</v>
      </c>
      <c r="K116">
        <v>34.695</v>
      </c>
      <c r="L116">
        <v>41.622999999999998</v>
      </c>
      <c r="M116" s="82">
        <v>34.344000000000001</v>
      </c>
      <c r="N116" s="81">
        <v>0.97699999999999998</v>
      </c>
      <c r="O116">
        <f>1/1.191</f>
        <v>0.83963056255247692</v>
      </c>
      <c r="P116">
        <f t="shared" si="4"/>
        <v>1.1910000000000001</v>
      </c>
      <c r="Q116">
        <v>0.84</v>
      </c>
      <c r="R116" s="82">
        <v>1</v>
      </c>
      <c r="S116" s="83">
        <v>500</v>
      </c>
      <c r="T116" s="81" t="s">
        <v>64</v>
      </c>
      <c r="U116" s="82">
        <v>2427812</v>
      </c>
    </row>
    <row r="117" spans="1:21" x14ac:dyDescent="0.25">
      <c r="A117" t="s">
        <v>488</v>
      </c>
      <c r="B117" s="81">
        <v>280</v>
      </c>
      <c r="C117">
        <v>1300</v>
      </c>
      <c r="D117">
        <v>120</v>
      </c>
      <c r="E117" s="82">
        <v>40</v>
      </c>
      <c r="F117" s="81">
        <v>565.14581989532974</v>
      </c>
      <c r="G117">
        <v>3092.7869999999998</v>
      </c>
      <c r="H117">
        <v>260.517</v>
      </c>
      <c r="I117">
        <f t="shared" si="3"/>
        <v>31.376180104670283</v>
      </c>
      <c r="J117">
        <v>77.691000000000003</v>
      </c>
      <c r="K117">
        <v>50.686</v>
      </c>
      <c r="L117">
        <v>92.974999999999994</v>
      </c>
      <c r="M117" s="82">
        <v>58.93</v>
      </c>
      <c r="N117" s="81">
        <v>0.57299999999999995</v>
      </c>
      <c r="O117">
        <f>1/1.533</f>
        <v>0.65231572080887157</v>
      </c>
      <c r="P117">
        <f t="shared" si="4"/>
        <v>1.5329999999999999</v>
      </c>
      <c r="Q117">
        <v>0.65200000000000002</v>
      </c>
      <c r="R117" s="82">
        <v>0.85499999999999998</v>
      </c>
      <c r="S117" s="83">
        <v>700</v>
      </c>
      <c r="T117" s="81" t="s">
        <v>43</v>
      </c>
      <c r="U117" s="82">
        <v>72511</v>
      </c>
    </row>
    <row r="118" spans="1:21" x14ac:dyDescent="0.25">
      <c r="A118" t="s">
        <v>489</v>
      </c>
      <c r="B118" s="81">
        <v>280</v>
      </c>
      <c r="C118">
        <v>1300</v>
      </c>
      <c r="D118">
        <v>120</v>
      </c>
      <c r="E118" s="82">
        <v>40</v>
      </c>
      <c r="F118" s="81">
        <v>949.25978757308962</v>
      </c>
      <c r="G118">
        <v>2388.15</v>
      </c>
      <c r="H118">
        <v>219.648</v>
      </c>
      <c r="I118">
        <f t="shared" ref="I118:I149" si="5">SQRT(G118/PI())</f>
        <v>27.571212426910424</v>
      </c>
      <c r="J118">
        <v>88.962000000000003</v>
      </c>
      <c r="K118">
        <v>34.179000000000002</v>
      </c>
      <c r="L118">
        <v>98.334999999999994</v>
      </c>
      <c r="M118" s="82">
        <v>37.229999999999997</v>
      </c>
      <c r="N118" s="81">
        <v>0.622</v>
      </c>
      <c r="O118">
        <f>1/2.603</f>
        <v>0.38417210910487898</v>
      </c>
      <c r="P118">
        <f t="shared" si="4"/>
        <v>2.6030000000000002</v>
      </c>
      <c r="Q118">
        <v>0.38400000000000001</v>
      </c>
      <c r="R118" s="82">
        <v>0.97399999999999998</v>
      </c>
      <c r="S118" s="83">
        <v>600</v>
      </c>
      <c r="T118" s="81" t="s">
        <v>43</v>
      </c>
      <c r="U118" s="82">
        <v>443049</v>
      </c>
    </row>
    <row r="119" spans="1:21" x14ac:dyDescent="0.25">
      <c r="A119" t="s">
        <v>490</v>
      </c>
      <c r="B119" s="81">
        <v>280</v>
      </c>
      <c r="C119">
        <v>1300</v>
      </c>
      <c r="D119">
        <v>120</v>
      </c>
      <c r="E119" s="82">
        <v>40</v>
      </c>
      <c r="F119" s="81">
        <v>698.04429624459794</v>
      </c>
      <c r="G119">
        <v>2782.694</v>
      </c>
      <c r="H119">
        <v>307.06700000000001</v>
      </c>
      <c r="I119">
        <f t="shared" si="5"/>
        <v>29.761703755402131</v>
      </c>
      <c r="J119">
        <v>88.753</v>
      </c>
      <c r="K119">
        <v>39.92</v>
      </c>
      <c r="L119">
        <v>115.248</v>
      </c>
      <c r="M119" s="82">
        <v>51.988999999999997</v>
      </c>
      <c r="N119" s="81">
        <v>0.371</v>
      </c>
      <c r="O119">
        <f>1/2.223</f>
        <v>0.44984255510571303</v>
      </c>
      <c r="P119">
        <f t="shared" si="4"/>
        <v>2.2229999999999999</v>
      </c>
      <c r="Q119">
        <v>0.45</v>
      </c>
      <c r="R119" s="82">
        <v>0.72</v>
      </c>
      <c r="S119" s="83">
        <v>700</v>
      </c>
      <c r="T119" s="81" t="s">
        <v>43</v>
      </c>
      <c r="U119" s="82">
        <v>108303</v>
      </c>
    </row>
    <row r="120" spans="1:21" x14ac:dyDescent="0.25">
      <c r="A120" t="s">
        <v>491</v>
      </c>
      <c r="B120" s="81">
        <v>280</v>
      </c>
      <c r="C120">
        <v>1300</v>
      </c>
      <c r="D120">
        <v>120</v>
      </c>
      <c r="E120" s="82">
        <v>40</v>
      </c>
      <c r="F120" s="81">
        <v>1586.1377814293121</v>
      </c>
      <c r="G120">
        <v>3524.6460000000002</v>
      </c>
      <c r="H120">
        <v>349.70400000000001</v>
      </c>
      <c r="I120">
        <f t="shared" si="5"/>
        <v>33.495218570687868</v>
      </c>
      <c r="J120">
        <v>87.313999999999993</v>
      </c>
      <c r="K120">
        <v>51.393000000000001</v>
      </c>
      <c r="L120">
        <v>103.075</v>
      </c>
      <c r="M120" s="82">
        <v>63.63</v>
      </c>
      <c r="N120" s="81">
        <v>0.36199999999999999</v>
      </c>
      <c r="O120">
        <f>1/1.699</f>
        <v>0.58858151854031782</v>
      </c>
      <c r="P120">
        <f t="shared" si="4"/>
        <v>1.6990000000000001</v>
      </c>
      <c r="Q120">
        <v>0.58899999999999997</v>
      </c>
      <c r="R120" s="82">
        <v>0.73099999999999998</v>
      </c>
      <c r="S120" s="83">
        <v>500</v>
      </c>
      <c r="T120" s="81" t="s">
        <v>43</v>
      </c>
      <c r="U120" s="82">
        <v>1270334</v>
      </c>
    </row>
    <row r="121" spans="1:21" x14ac:dyDescent="0.25">
      <c r="A121" t="s">
        <v>492</v>
      </c>
      <c r="B121" s="81">
        <v>280</v>
      </c>
      <c r="C121">
        <v>1300</v>
      </c>
      <c r="D121">
        <v>120</v>
      </c>
      <c r="E121" s="82">
        <v>40</v>
      </c>
      <c r="F121" s="81">
        <v>509.42782921637632</v>
      </c>
      <c r="G121">
        <v>2554.4760000000001</v>
      </c>
      <c r="H121">
        <v>233.72</v>
      </c>
      <c r="I121">
        <f t="shared" si="5"/>
        <v>28.51517078362367</v>
      </c>
      <c r="J121">
        <v>73.938999999999993</v>
      </c>
      <c r="K121">
        <v>43.988999999999997</v>
      </c>
      <c r="L121">
        <v>85.108000000000004</v>
      </c>
      <c r="M121" s="82">
        <v>51.404000000000003</v>
      </c>
      <c r="N121" s="81">
        <v>0.58799999999999997</v>
      </c>
      <c r="O121">
        <f>1/1.681</f>
        <v>0.59488399762046396</v>
      </c>
      <c r="P121">
        <f t="shared" si="4"/>
        <v>1.681</v>
      </c>
      <c r="Q121">
        <v>0.59499999999999997</v>
      </c>
      <c r="R121" s="82">
        <v>0.85299999999999998</v>
      </c>
      <c r="S121" s="83">
        <v>600</v>
      </c>
      <c r="T121" s="81" t="s">
        <v>43</v>
      </c>
      <c r="U121" s="82">
        <v>420382</v>
      </c>
    </row>
    <row r="122" spans="1:21" x14ac:dyDescent="0.25">
      <c r="A122" t="s">
        <v>493</v>
      </c>
      <c r="B122" s="81">
        <v>280</v>
      </c>
      <c r="C122">
        <v>1300</v>
      </c>
      <c r="D122">
        <v>120</v>
      </c>
      <c r="E122" s="82">
        <v>40</v>
      </c>
      <c r="F122" s="81">
        <v>95.693733584335504</v>
      </c>
      <c r="G122">
        <v>954.78899999999999</v>
      </c>
      <c r="H122">
        <v>134.16</v>
      </c>
      <c r="I122">
        <f t="shared" si="5"/>
        <v>17.433266415664487</v>
      </c>
      <c r="J122">
        <v>52.956000000000003</v>
      </c>
      <c r="K122">
        <v>22.956</v>
      </c>
      <c r="L122">
        <v>55.804000000000002</v>
      </c>
      <c r="M122" s="82">
        <v>24.059000000000001</v>
      </c>
      <c r="N122" s="81">
        <v>0.66700000000000004</v>
      </c>
      <c r="O122">
        <f>1/2.307</f>
        <v>0.43346337234503685</v>
      </c>
      <c r="P122">
        <f t="shared" si="4"/>
        <v>2.3069999999999999</v>
      </c>
      <c r="Q122">
        <v>0.433</v>
      </c>
      <c r="R122" s="82">
        <v>0.95099999999999996</v>
      </c>
      <c r="S122" s="83">
        <v>700</v>
      </c>
      <c r="T122" s="81" t="s">
        <v>43</v>
      </c>
      <c r="U122" s="82">
        <v>215659</v>
      </c>
    </row>
    <row r="123" spans="1:21" x14ac:dyDescent="0.25">
      <c r="A123" t="s">
        <v>494</v>
      </c>
      <c r="B123" s="81">
        <v>280</v>
      </c>
      <c r="C123">
        <v>1300</v>
      </c>
      <c r="D123">
        <v>120</v>
      </c>
      <c r="E123" s="82">
        <v>40</v>
      </c>
      <c r="F123" s="81">
        <v>325.0563555103418</v>
      </c>
      <c r="G123">
        <v>1442.174</v>
      </c>
      <c r="H123">
        <v>283.88099999999997</v>
      </c>
      <c r="I123">
        <f t="shared" si="5"/>
        <v>21.425644489658232</v>
      </c>
      <c r="J123">
        <v>61.094999999999999</v>
      </c>
      <c r="K123">
        <v>30.055</v>
      </c>
      <c r="L123">
        <v>100.396</v>
      </c>
      <c r="M123" s="82">
        <v>58.881999999999998</v>
      </c>
      <c r="N123" s="81">
        <v>0.22500000000000001</v>
      </c>
      <c r="O123">
        <f>1/2.033</f>
        <v>0.4918839153959666</v>
      </c>
      <c r="P123">
        <f t="shared" si="4"/>
        <v>2.0329999999999999</v>
      </c>
      <c r="Q123">
        <v>0.49199999999999999</v>
      </c>
      <c r="R123" s="82">
        <v>0.42899999999999999</v>
      </c>
      <c r="S123" s="83">
        <v>700</v>
      </c>
      <c r="T123" s="81" t="s">
        <v>43</v>
      </c>
      <c r="U123" s="82">
        <v>101608</v>
      </c>
    </row>
    <row r="124" spans="1:21" x14ac:dyDescent="0.25">
      <c r="A124" t="s">
        <v>495</v>
      </c>
      <c r="B124" s="81">
        <v>280</v>
      </c>
      <c r="C124">
        <v>1300</v>
      </c>
      <c r="D124">
        <v>120</v>
      </c>
      <c r="E124" s="82">
        <v>40</v>
      </c>
      <c r="F124" s="81">
        <v>1213.2319998614589</v>
      </c>
      <c r="G124">
        <v>2254.2289999999998</v>
      </c>
      <c r="H124">
        <v>241.172</v>
      </c>
      <c r="I124">
        <f t="shared" si="5"/>
        <v>26.787000138541089</v>
      </c>
      <c r="J124">
        <v>91.438000000000002</v>
      </c>
      <c r="K124">
        <v>31.388999999999999</v>
      </c>
      <c r="L124">
        <v>105.151</v>
      </c>
      <c r="M124" s="82">
        <v>34.948</v>
      </c>
      <c r="N124" s="81">
        <v>0.48699999999999999</v>
      </c>
      <c r="O124">
        <f>1/2.913</f>
        <v>0.34328870580157916</v>
      </c>
      <c r="P124">
        <f t="shared" si="4"/>
        <v>2.9129999999999998</v>
      </c>
      <c r="Q124">
        <v>0.34300000000000003</v>
      </c>
      <c r="R124" s="82">
        <v>0.91</v>
      </c>
      <c r="S124" s="83">
        <v>600</v>
      </c>
      <c r="T124" s="81" t="s">
        <v>43</v>
      </c>
      <c r="U124" s="82">
        <v>786035</v>
      </c>
    </row>
    <row r="125" spans="1:21" x14ac:dyDescent="0.25">
      <c r="A125" t="s">
        <v>496</v>
      </c>
      <c r="B125" s="81">
        <v>280</v>
      </c>
      <c r="C125">
        <v>1300</v>
      </c>
      <c r="D125">
        <v>120</v>
      </c>
      <c r="E125" s="82">
        <v>40</v>
      </c>
      <c r="F125" s="81">
        <v>663.44856954395277</v>
      </c>
      <c r="G125">
        <v>4503.6729999999998</v>
      </c>
      <c r="H125">
        <v>358.92399999999998</v>
      </c>
      <c r="I125">
        <f t="shared" si="5"/>
        <v>37.862430456047207</v>
      </c>
      <c r="J125">
        <v>95.286000000000001</v>
      </c>
      <c r="K125">
        <v>60.18</v>
      </c>
      <c r="L125">
        <v>121.319</v>
      </c>
      <c r="M125" s="82">
        <v>81.578000000000003</v>
      </c>
      <c r="N125" s="81">
        <v>0.439</v>
      </c>
      <c r="O125">
        <f>1/1.583</f>
        <v>0.63171193935565384</v>
      </c>
      <c r="P125">
        <f t="shared" si="4"/>
        <v>1.583</v>
      </c>
      <c r="Q125">
        <v>0.63200000000000001</v>
      </c>
      <c r="R125" s="82">
        <v>0.69399999999999995</v>
      </c>
      <c r="S125" s="83">
        <v>500</v>
      </c>
      <c r="T125" s="81" t="s">
        <v>43</v>
      </c>
      <c r="U125" s="82">
        <v>1395519</v>
      </c>
    </row>
    <row r="126" spans="1:21" x14ac:dyDescent="0.25">
      <c r="A126" t="s">
        <v>497</v>
      </c>
      <c r="B126" s="81">
        <v>280</v>
      </c>
      <c r="C126">
        <v>1300</v>
      </c>
      <c r="D126">
        <v>120</v>
      </c>
      <c r="E126" s="82">
        <v>40</v>
      </c>
      <c r="F126" s="81">
        <v>810.96446623922509</v>
      </c>
      <c r="G126">
        <v>1612.3530000000001</v>
      </c>
      <c r="H126">
        <v>274.53500000000003</v>
      </c>
      <c r="I126">
        <f t="shared" si="5"/>
        <v>22.654533760774981</v>
      </c>
      <c r="J126">
        <v>80.194999999999993</v>
      </c>
      <c r="K126">
        <v>25.599</v>
      </c>
      <c r="L126">
        <v>90.218000000000004</v>
      </c>
      <c r="M126" s="82">
        <v>34.618000000000002</v>
      </c>
      <c r="N126" s="81">
        <v>0.26900000000000002</v>
      </c>
      <c r="O126">
        <f>1/3.133</f>
        <v>0.31918289179699966</v>
      </c>
      <c r="P126">
        <f t="shared" si="4"/>
        <v>3.1330000000000005</v>
      </c>
      <c r="Q126">
        <v>0.31900000000000001</v>
      </c>
      <c r="R126" s="82">
        <v>0.67600000000000005</v>
      </c>
      <c r="S126" s="83">
        <v>500</v>
      </c>
      <c r="T126" s="81" t="s">
        <v>43</v>
      </c>
      <c r="U126" s="82">
        <v>3272126</v>
      </c>
    </row>
    <row r="127" spans="1:21" x14ac:dyDescent="0.25">
      <c r="A127" t="s">
        <v>498</v>
      </c>
      <c r="B127" s="81">
        <v>280</v>
      </c>
      <c r="C127">
        <v>1300</v>
      </c>
      <c r="D127">
        <v>120</v>
      </c>
      <c r="E127" s="82">
        <v>40</v>
      </c>
      <c r="F127" s="81">
        <v>363.97617473409088</v>
      </c>
      <c r="G127">
        <v>751.92899999999997</v>
      </c>
      <c r="H127">
        <v>99.128</v>
      </c>
      <c r="I127">
        <f t="shared" si="5"/>
        <v>15.470825265909106</v>
      </c>
      <c r="J127">
        <v>32.134</v>
      </c>
      <c r="K127">
        <v>29.794</v>
      </c>
      <c r="L127">
        <v>33.393000000000001</v>
      </c>
      <c r="M127" s="82">
        <v>29.378</v>
      </c>
      <c r="N127" s="81">
        <v>0.96199999999999997</v>
      </c>
      <c r="O127">
        <f>1/1.079</f>
        <v>0.92678405931417984</v>
      </c>
      <c r="P127">
        <f t="shared" si="4"/>
        <v>1.079</v>
      </c>
      <c r="Q127">
        <v>0.92700000000000005</v>
      </c>
      <c r="R127" s="82">
        <v>0.999</v>
      </c>
      <c r="S127" s="83">
        <v>700</v>
      </c>
      <c r="T127" s="81" t="s">
        <v>64</v>
      </c>
      <c r="U127" s="82">
        <v>85809</v>
      </c>
    </row>
    <row r="128" spans="1:21" x14ac:dyDescent="0.25">
      <c r="A128" t="s">
        <v>499</v>
      </c>
      <c r="B128" s="81">
        <v>280</v>
      </c>
      <c r="C128">
        <v>1300</v>
      </c>
      <c r="D128">
        <v>120</v>
      </c>
      <c r="E128" s="82">
        <v>40</v>
      </c>
      <c r="F128" s="81">
        <v>15.554</v>
      </c>
      <c r="G128">
        <v>2266.6190000000001</v>
      </c>
      <c r="H128">
        <v>283.71800000000002</v>
      </c>
      <c r="I128">
        <f t="shared" si="5"/>
        <v>26.860514438707565</v>
      </c>
      <c r="J128">
        <v>84.849000000000004</v>
      </c>
      <c r="K128">
        <v>34.012999999999998</v>
      </c>
      <c r="L128">
        <v>106.54</v>
      </c>
      <c r="M128" s="82">
        <v>42.32</v>
      </c>
      <c r="N128" s="81">
        <v>0.35399999999999998</v>
      </c>
      <c r="O128">
        <f>1/2.495</f>
        <v>0.40080160320641278</v>
      </c>
      <c r="P128">
        <f t="shared" si="4"/>
        <v>2.4950000000000001</v>
      </c>
      <c r="Q128">
        <v>0.40100000000000002</v>
      </c>
      <c r="R128" s="82">
        <v>0.71599999999999997</v>
      </c>
      <c r="S128" s="83">
        <v>600</v>
      </c>
      <c r="T128" s="81" t="s">
        <v>43</v>
      </c>
      <c r="U128" s="82">
        <v>368647</v>
      </c>
    </row>
    <row r="129" spans="1:21" x14ac:dyDescent="0.25">
      <c r="A129" t="s">
        <v>500</v>
      </c>
      <c r="B129" s="81">
        <v>280</v>
      </c>
      <c r="C129">
        <v>1300</v>
      </c>
      <c r="D129">
        <v>120</v>
      </c>
      <c r="E129" s="82">
        <v>40</v>
      </c>
      <c r="F129" s="81">
        <v>8.0296267506421195</v>
      </c>
      <c r="G129">
        <v>693.48</v>
      </c>
      <c r="H129">
        <v>132.31899999999999</v>
      </c>
      <c r="I129">
        <f t="shared" si="5"/>
        <v>14.857373249357881</v>
      </c>
      <c r="J129">
        <v>47.640999999999998</v>
      </c>
      <c r="K129">
        <v>18.533999999999999</v>
      </c>
      <c r="L129">
        <v>58.414999999999999</v>
      </c>
      <c r="M129" s="82">
        <v>20.29</v>
      </c>
      <c r="N129" s="81">
        <v>0.498</v>
      </c>
      <c r="O129">
        <f>1/2.571</f>
        <v>0.3889537145079735</v>
      </c>
      <c r="P129">
        <f t="shared" si="4"/>
        <v>2.5710000000000002</v>
      </c>
      <c r="Q129">
        <v>0.38900000000000001</v>
      </c>
      <c r="R129" s="82">
        <v>0.93799999999999994</v>
      </c>
      <c r="S129" s="83">
        <v>600</v>
      </c>
      <c r="T129" s="81" t="s">
        <v>43</v>
      </c>
      <c r="U129" s="82">
        <v>164291</v>
      </c>
    </row>
    <row r="130" spans="1:21" x14ac:dyDescent="0.25">
      <c r="A130" t="s">
        <v>501</v>
      </c>
      <c r="B130" s="81">
        <v>280</v>
      </c>
      <c r="C130">
        <v>1300</v>
      </c>
      <c r="D130">
        <v>120</v>
      </c>
      <c r="E130" s="82">
        <v>40</v>
      </c>
      <c r="F130" s="81">
        <v>0</v>
      </c>
      <c r="G130">
        <v>737.25</v>
      </c>
      <c r="H130">
        <v>149.72800000000001</v>
      </c>
      <c r="I130">
        <f t="shared" si="5"/>
        <v>15.319071890587878</v>
      </c>
      <c r="J130">
        <v>62.795999999999999</v>
      </c>
      <c r="K130">
        <v>14.948</v>
      </c>
      <c r="L130">
        <v>64.405000000000001</v>
      </c>
      <c r="M130" s="82">
        <v>19.661999999999999</v>
      </c>
      <c r="N130" s="81">
        <v>0.41299999999999998</v>
      </c>
      <c r="O130">
        <f>1/4.201</f>
        <v>0.23803856224708406</v>
      </c>
      <c r="P130">
        <f t="shared" si="4"/>
        <v>4.2009999999999996</v>
      </c>
      <c r="Q130">
        <v>0.23799999999999999</v>
      </c>
      <c r="R130" s="82">
        <v>0.82499999999999996</v>
      </c>
      <c r="S130" s="83">
        <v>600</v>
      </c>
      <c r="T130" s="81" t="s">
        <v>43</v>
      </c>
      <c r="U130" s="82">
        <v>217484</v>
      </c>
    </row>
    <row r="131" spans="1:21" x14ac:dyDescent="0.25">
      <c r="A131" t="s">
        <v>503</v>
      </c>
      <c r="B131" s="81">
        <v>280</v>
      </c>
      <c r="C131">
        <v>1300</v>
      </c>
      <c r="D131">
        <v>120</v>
      </c>
      <c r="E131" s="82">
        <v>40</v>
      </c>
      <c r="F131" s="81">
        <v>121.381</v>
      </c>
      <c r="G131">
        <v>10761.898999999999</v>
      </c>
      <c r="H131">
        <v>607.38</v>
      </c>
      <c r="I131">
        <f t="shared" si="5"/>
        <v>58.528786471371937</v>
      </c>
      <c r="J131">
        <v>132.62100000000001</v>
      </c>
      <c r="K131">
        <v>103.321</v>
      </c>
      <c r="L131">
        <v>167.04</v>
      </c>
      <c r="M131" s="82">
        <v>114.809</v>
      </c>
      <c r="N131" s="81">
        <v>0.33300000000000002</v>
      </c>
      <c r="O131">
        <f>1/1.383</f>
        <v>0.72306579898770784</v>
      </c>
      <c r="P131">
        <f>1/O131</f>
        <v>1.383</v>
      </c>
      <c r="Q131">
        <v>0.72299999999999998</v>
      </c>
      <c r="R131" s="82">
        <v>0.69799999999999995</v>
      </c>
      <c r="S131" s="83">
        <v>600</v>
      </c>
      <c r="T131" s="81" t="s">
        <v>43</v>
      </c>
      <c r="U131" s="82">
        <v>60400</v>
      </c>
    </row>
    <row r="132" spans="1:21" x14ac:dyDescent="0.25">
      <c r="A132" t="s">
        <v>505</v>
      </c>
      <c r="B132" s="81">
        <v>280</v>
      </c>
      <c r="C132">
        <v>1300</v>
      </c>
      <c r="D132">
        <v>120</v>
      </c>
      <c r="E132" s="82">
        <v>40</v>
      </c>
      <c r="F132" s="81">
        <v>1257.0586535736843</v>
      </c>
      <c r="G132">
        <v>19379.678</v>
      </c>
      <c r="H132">
        <v>1374.329</v>
      </c>
      <c r="I132">
        <f t="shared" si="5"/>
        <v>78.54134642631557</v>
      </c>
      <c r="J132">
        <v>186.709</v>
      </c>
      <c r="K132">
        <v>132.15700000000001</v>
      </c>
      <c r="L132">
        <v>240.982</v>
      </c>
      <c r="M132" s="82">
        <v>156.92599999999999</v>
      </c>
      <c r="N132" s="81">
        <v>0.129</v>
      </c>
      <c r="O132">
        <f>1/1.413</f>
        <v>0.70771408351026188</v>
      </c>
      <c r="P132">
        <f t="shared" ref="P132:P148" si="6">1/O132</f>
        <v>1.413</v>
      </c>
      <c r="Q132">
        <v>0.70799999999999996</v>
      </c>
      <c r="R132" s="82">
        <v>0.65200000000000002</v>
      </c>
      <c r="S132" s="83">
        <v>500</v>
      </c>
      <c r="T132" s="81" t="s">
        <v>43</v>
      </c>
      <c r="U132" s="82">
        <v>149571</v>
      </c>
    </row>
    <row r="133" spans="1:21" x14ac:dyDescent="0.25">
      <c r="A133" t="s">
        <v>507</v>
      </c>
      <c r="B133" s="81">
        <v>280</v>
      </c>
      <c r="C133">
        <v>1300</v>
      </c>
      <c r="D133">
        <v>120</v>
      </c>
      <c r="E133" s="82">
        <v>40</v>
      </c>
      <c r="F133" s="81">
        <v>316.29998136713726</v>
      </c>
      <c r="G133">
        <v>6115.3490000000002</v>
      </c>
      <c r="H133">
        <v>793.10799999999995</v>
      </c>
      <c r="I133">
        <f t="shared" si="5"/>
        <v>44.120018632862774</v>
      </c>
      <c r="J133">
        <v>106.774</v>
      </c>
      <c r="K133">
        <v>72.923000000000002</v>
      </c>
      <c r="L133">
        <v>190.917</v>
      </c>
      <c r="M133" s="82">
        <v>121.49299999999999</v>
      </c>
      <c r="N133" s="81">
        <v>0.122</v>
      </c>
      <c r="O133">
        <f>1/1.464</f>
        <v>0.68306010928961747</v>
      </c>
      <c r="P133">
        <f t="shared" si="6"/>
        <v>1.464</v>
      </c>
      <c r="Q133">
        <v>0.68300000000000005</v>
      </c>
      <c r="R133" s="82">
        <v>0.49299999999999999</v>
      </c>
      <c r="S133" s="83">
        <v>600</v>
      </c>
      <c r="T133" s="81" t="s">
        <v>43</v>
      </c>
      <c r="U133" s="82">
        <v>171842</v>
      </c>
    </row>
    <row r="134" spans="1:21" x14ac:dyDescent="0.25">
      <c r="A134" t="s">
        <v>509</v>
      </c>
      <c r="B134" s="81">
        <v>280</v>
      </c>
      <c r="C134">
        <v>1300</v>
      </c>
      <c r="D134">
        <v>120</v>
      </c>
      <c r="E134" s="82">
        <v>40</v>
      </c>
      <c r="F134" s="81">
        <v>1675.9380209774799</v>
      </c>
      <c r="G134">
        <v>6131.4269999999997</v>
      </c>
      <c r="H134">
        <v>897.96699999999998</v>
      </c>
      <c r="I134">
        <f t="shared" si="5"/>
        <v>44.177979022520041</v>
      </c>
      <c r="J134">
        <v>161.03299999999999</v>
      </c>
      <c r="K134">
        <v>48.478999999999999</v>
      </c>
      <c r="L134">
        <v>231.101</v>
      </c>
      <c r="M134" s="82">
        <v>96.927999999999997</v>
      </c>
      <c r="N134" s="81">
        <v>9.6000000000000002E-2</v>
      </c>
      <c r="O134">
        <f>1/3.322</f>
        <v>0.30102347983142685</v>
      </c>
      <c r="P134">
        <f t="shared" si="6"/>
        <v>3.3220000000000001</v>
      </c>
      <c r="Q134">
        <v>0.30099999999999999</v>
      </c>
      <c r="R134" s="82">
        <v>0.40600000000000003</v>
      </c>
      <c r="S134" s="83">
        <v>700</v>
      </c>
      <c r="T134" s="81" t="s">
        <v>43</v>
      </c>
      <c r="U134" s="82">
        <v>57889</v>
      </c>
    </row>
    <row r="135" spans="1:21" x14ac:dyDescent="0.25">
      <c r="A135" t="s">
        <v>511</v>
      </c>
      <c r="B135" s="81">
        <v>280</v>
      </c>
      <c r="C135">
        <v>1300</v>
      </c>
      <c r="D135">
        <v>120</v>
      </c>
      <c r="E135" s="82">
        <v>40</v>
      </c>
      <c r="F135" s="81">
        <v>192.79179933634492</v>
      </c>
      <c r="G135">
        <v>5296.0209999999997</v>
      </c>
      <c r="H135">
        <v>504.03500000000003</v>
      </c>
      <c r="I135">
        <f t="shared" si="5"/>
        <v>41.058200663655064</v>
      </c>
      <c r="J135">
        <v>114.256</v>
      </c>
      <c r="K135">
        <v>59.017000000000003</v>
      </c>
      <c r="L135">
        <v>163.042</v>
      </c>
      <c r="M135" s="82">
        <v>96.927000000000007</v>
      </c>
      <c r="N135" s="81">
        <v>0.26200000000000001</v>
      </c>
      <c r="O135">
        <f>1/1.936</f>
        <v>0.51652892561983477</v>
      </c>
      <c r="P135">
        <f t="shared" si="6"/>
        <v>1.9359999999999997</v>
      </c>
      <c r="Q135">
        <v>0.51700000000000002</v>
      </c>
      <c r="R135" s="82">
        <v>0.53900000000000003</v>
      </c>
      <c r="S135" s="83">
        <v>600</v>
      </c>
      <c r="T135" s="81" t="s">
        <v>43</v>
      </c>
      <c r="U135" s="82">
        <v>92592</v>
      </c>
    </row>
    <row r="136" spans="1:21" x14ac:dyDescent="0.25">
      <c r="A136" t="s">
        <v>512</v>
      </c>
      <c r="B136" s="81">
        <v>280</v>
      </c>
      <c r="C136">
        <v>1300</v>
      </c>
      <c r="D136">
        <v>120</v>
      </c>
      <c r="E136" s="82">
        <v>40</v>
      </c>
      <c r="F136" s="81">
        <v>107.51331257628092</v>
      </c>
      <c r="G136">
        <v>5946.78</v>
      </c>
      <c r="H136">
        <v>429.935</v>
      </c>
      <c r="I136">
        <f t="shared" si="5"/>
        <v>43.507687423719069</v>
      </c>
      <c r="J136">
        <v>106.437</v>
      </c>
      <c r="K136">
        <v>71.137</v>
      </c>
      <c r="L136">
        <v>151.583</v>
      </c>
      <c r="M136" s="82">
        <v>94.881</v>
      </c>
      <c r="N136" s="81">
        <v>0.40400000000000003</v>
      </c>
      <c r="O136">
        <f>1/1.496</f>
        <v>0.66844919786096257</v>
      </c>
      <c r="P136">
        <f t="shared" si="6"/>
        <v>1.496</v>
      </c>
      <c r="Q136">
        <v>0.66800000000000004</v>
      </c>
      <c r="R136" s="82">
        <v>0.66800000000000004</v>
      </c>
      <c r="S136" s="83">
        <v>600</v>
      </c>
      <c r="T136" s="81" t="s">
        <v>43</v>
      </c>
      <c r="U136" s="82">
        <v>169169</v>
      </c>
    </row>
    <row r="137" spans="1:21" x14ac:dyDescent="0.25">
      <c r="A137" t="s">
        <v>513</v>
      </c>
      <c r="B137" s="81">
        <v>280</v>
      </c>
      <c r="C137">
        <v>1300</v>
      </c>
      <c r="D137">
        <v>120</v>
      </c>
      <c r="E137" s="82">
        <v>40</v>
      </c>
      <c r="F137" s="81">
        <v>285.12399625536023</v>
      </c>
      <c r="G137">
        <v>1705.2470000000001</v>
      </c>
      <c r="H137">
        <v>224.67099999999999</v>
      </c>
      <c r="I137">
        <f t="shared" si="5"/>
        <v>23.298003744639807</v>
      </c>
      <c r="J137">
        <v>79.491</v>
      </c>
      <c r="K137">
        <v>27.314</v>
      </c>
      <c r="L137">
        <v>93.372</v>
      </c>
      <c r="M137" s="82">
        <v>32.131999999999998</v>
      </c>
      <c r="N137" s="81">
        <v>0.42499999999999999</v>
      </c>
      <c r="O137">
        <f>1/2.91</f>
        <v>0.3436426116838488</v>
      </c>
      <c r="P137">
        <f t="shared" si="6"/>
        <v>2.91</v>
      </c>
      <c r="Q137">
        <v>0.34399999999999997</v>
      </c>
      <c r="R137" s="82">
        <v>0.77100000000000002</v>
      </c>
      <c r="S137" s="83">
        <v>700</v>
      </c>
      <c r="T137" s="81" t="s">
        <v>43</v>
      </c>
      <c r="U137" s="82">
        <v>171785</v>
      </c>
    </row>
    <row r="138" spans="1:21" x14ac:dyDescent="0.25">
      <c r="A138" t="s">
        <v>514</v>
      </c>
      <c r="B138" s="81">
        <v>280</v>
      </c>
      <c r="C138">
        <v>1300</v>
      </c>
      <c r="D138">
        <v>120</v>
      </c>
      <c r="E138" s="82">
        <v>40</v>
      </c>
      <c r="F138" s="81">
        <v>95.588866141793631</v>
      </c>
      <c r="G138">
        <v>1018.683</v>
      </c>
      <c r="H138">
        <v>171.60300000000001</v>
      </c>
      <c r="I138">
        <f t="shared" si="5"/>
        <v>18.007133858206377</v>
      </c>
      <c r="J138">
        <v>74.225999999999999</v>
      </c>
      <c r="K138">
        <v>17.474</v>
      </c>
      <c r="L138">
        <v>75.418000000000006</v>
      </c>
      <c r="M138" s="82">
        <v>20.254000000000001</v>
      </c>
      <c r="N138" s="81">
        <v>0.435</v>
      </c>
      <c r="O138">
        <f>1/4.248</f>
        <v>0.23540489642184556</v>
      </c>
      <c r="P138">
        <f t="shared" si="6"/>
        <v>4.2480000000000002</v>
      </c>
      <c r="Q138">
        <v>0.23499999999999999</v>
      </c>
      <c r="R138" s="82">
        <v>0.80800000000000005</v>
      </c>
      <c r="S138" s="83">
        <v>700</v>
      </c>
      <c r="T138" s="81" t="s">
        <v>43</v>
      </c>
      <c r="U138" s="82">
        <v>169848</v>
      </c>
    </row>
    <row r="139" spans="1:21" x14ac:dyDescent="0.25">
      <c r="A139" t="s">
        <v>516</v>
      </c>
      <c r="B139" s="81">
        <v>280</v>
      </c>
      <c r="C139">
        <v>1300</v>
      </c>
      <c r="D139">
        <v>120</v>
      </c>
      <c r="E139" s="82">
        <v>40</v>
      </c>
      <c r="F139" s="81">
        <v>15.305999999999999</v>
      </c>
      <c r="G139">
        <v>8838.3240000000005</v>
      </c>
      <c r="H139">
        <v>500.30799999999999</v>
      </c>
      <c r="I139">
        <f t="shared" si="5"/>
        <v>53.040794738535602</v>
      </c>
      <c r="J139">
        <v>140.19300000000001</v>
      </c>
      <c r="K139">
        <v>80.27</v>
      </c>
      <c r="L139">
        <v>168.65</v>
      </c>
      <c r="M139" s="82">
        <v>86.981999999999999</v>
      </c>
      <c r="N139" s="81">
        <v>0.44400000000000001</v>
      </c>
      <c r="O139">
        <f>1/1.747</f>
        <v>0.5724098454493417</v>
      </c>
      <c r="P139">
        <f t="shared" si="6"/>
        <v>1.7470000000000001</v>
      </c>
      <c r="Q139">
        <v>0.57299999999999995</v>
      </c>
      <c r="R139" s="82">
        <v>0.76900000000000002</v>
      </c>
      <c r="S139" s="83">
        <v>600</v>
      </c>
      <c r="T139" s="81" t="s">
        <v>43</v>
      </c>
      <c r="U139" s="82">
        <v>850319</v>
      </c>
    </row>
    <row r="140" spans="1:21" x14ac:dyDescent="0.25">
      <c r="A140" t="s">
        <v>518</v>
      </c>
      <c r="B140" s="81">
        <v>280</v>
      </c>
      <c r="C140">
        <v>1300</v>
      </c>
      <c r="D140">
        <v>120</v>
      </c>
      <c r="E140" s="82">
        <v>40</v>
      </c>
      <c r="F140" s="81">
        <v>123.001</v>
      </c>
      <c r="G140">
        <v>1264.5999999999999</v>
      </c>
      <c r="H140">
        <v>132.22800000000001</v>
      </c>
      <c r="I140">
        <f t="shared" si="5"/>
        <v>20.063266983919185</v>
      </c>
      <c r="J140">
        <v>44.680999999999997</v>
      </c>
      <c r="K140">
        <v>36.036000000000001</v>
      </c>
      <c r="L140">
        <v>44.284999999999997</v>
      </c>
      <c r="M140" s="82">
        <v>35.423999999999999</v>
      </c>
      <c r="N140" s="81">
        <v>0.90900000000000003</v>
      </c>
      <c r="O140">
        <f>1/1.24</f>
        <v>0.80645161290322587</v>
      </c>
      <c r="P140">
        <f t="shared" si="6"/>
        <v>1.24</v>
      </c>
      <c r="Q140">
        <v>0.80700000000000005</v>
      </c>
      <c r="R140" s="82">
        <v>0.98199999999999998</v>
      </c>
      <c r="S140" s="83">
        <v>700</v>
      </c>
      <c r="T140" s="81" t="s">
        <v>64</v>
      </c>
      <c r="U140" s="82">
        <v>41820</v>
      </c>
    </row>
    <row r="141" spans="1:21" x14ac:dyDescent="0.25">
      <c r="A141" t="s">
        <v>519</v>
      </c>
      <c r="B141" s="81">
        <v>280</v>
      </c>
      <c r="C141">
        <v>1300</v>
      </c>
      <c r="D141">
        <v>120</v>
      </c>
      <c r="E141" s="82">
        <v>40</v>
      </c>
      <c r="F141" s="81">
        <v>279.09899999999999</v>
      </c>
      <c r="G141">
        <v>1700.787</v>
      </c>
      <c r="H141">
        <v>261.80399999999997</v>
      </c>
      <c r="I141">
        <f t="shared" si="5"/>
        <v>23.267516334857721</v>
      </c>
      <c r="J141">
        <v>55.765999999999998</v>
      </c>
      <c r="K141">
        <v>38.832000000000001</v>
      </c>
      <c r="L141">
        <v>77.816000000000003</v>
      </c>
      <c r="M141" s="82">
        <v>56.381</v>
      </c>
      <c r="N141" s="81">
        <v>0.312</v>
      </c>
      <c r="O141">
        <f>1/1.436</f>
        <v>0.69637883008356549</v>
      </c>
      <c r="P141">
        <f t="shared" si="6"/>
        <v>1.4359999999999999</v>
      </c>
      <c r="Q141">
        <v>0.69599999999999995</v>
      </c>
      <c r="R141" s="82">
        <v>0.60499999999999998</v>
      </c>
      <c r="S141" s="83">
        <v>500</v>
      </c>
      <c r="T141" s="81" t="s">
        <v>43</v>
      </c>
      <c r="U141" s="82">
        <v>4032138</v>
      </c>
    </row>
    <row r="142" spans="1:21" x14ac:dyDescent="0.25">
      <c r="A142" t="s">
        <v>520</v>
      </c>
      <c r="B142" s="81">
        <v>280</v>
      </c>
      <c r="C142">
        <v>1300</v>
      </c>
      <c r="D142">
        <v>120</v>
      </c>
      <c r="E142" s="82">
        <v>40</v>
      </c>
      <c r="F142" s="81">
        <v>398.32</v>
      </c>
      <c r="G142">
        <v>1079.556</v>
      </c>
      <c r="H142">
        <v>174.86699999999999</v>
      </c>
      <c r="I142">
        <f t="shared" si="5"/>
        <v>18.53735006652861</v>
      </c>
      <c r="J142">
        <v>70.899000000000001</v>
      </c>
      <c r="K142">
        <v>19.387</v>
      </c>
      <c r="L142">
        <v>72.692999999999998</v>
      </c>
      <c r="M142" s="82">
        <v>24.036999999999999</v>
      </c>
      <c r="N142" s="81">
        <v>0.44400000000000001</v>
      </c>
      <c r="O142">
        <f>1/3.657</f>
        <v>0.27344818156959255</v>
      </c>
      <c r="P142">
        <f t="shared" si="6"/>
        <v>3.657</v>
      </c>
      <c r="Q142">
        <v>0.27300000000000002</v>
      </c>
      <c r="R142" s="82">
        <v>0.73</v>
      </c>
      <c r="S142" s="83">
        <v>600</v>
      </c>
      <c r="T142" s="81" t="s">
        <v>43</v>
      </c>
      <c r="U142" s="82">
        <v>1439677</v>
      </c>
    </row>
    <row r="143" spans="1:21" x14ac:dyDescent="0.25">
      <c r="A143" t="s">
        <v>521</v>
      </c>
      <c r="B143" s="81">
        <v>280</v>
      </c>
      <c r="C143">
        <v>1300</v>
      </c>
      <c r="D143">
        <v>120</v>
      </c>
      <c r="E143" s="82">
        <v>40</v>
      </c>
      <c r="F143" s="81">
        <v>568.57899999999995</v>
      </c>
      <c r="G143">
        <v>512.19200000000001</v>
      </c>
      <c r="H143">
        <v>80.224999999999994</v>
      </c>
      <c r="I143">
        <f t="shared" si="5"/>
        <v>12.768546402165288</v>
      </c>
      <c r="J143">
        <v>25.777000000000001</v>
      </c>
      <c r="K143">
        <v>25.3</v>
      </c>
      <c r="L143">
        <v>25.774000000000001</v>
      </c>
      <c r="M143" s="82">
        <v>25.297999999999998</v>
      </c>
      <c r="N143" s="81">
        <v>1</v>
      </c>
      <c r="O143">
        <f>1/1.019</f>
        <v>0.9813542688910698</v>
      </c>
      <c r="P143">
        <f t="shared" si="6"/>
        <v>1.0189999999999999</v>
      </c>
      <c r="Q143">
        <v>0.98199999999999998</v>
      </c>
      <c r="R143" s="82">
        <v>0.999</v>
      </c>
      <c r="S143" s="83">
        <v>700</v>
      </c>
      <c r="T143" s="81" t="s">
        <v>522</v>
      </c>
      <c r="U143" s="82">
        <v>160788</v>
      </c>
    </row>
    <row r="144" spans="1:21" x14ac:dyDescent="0.25">
      <c r="A144" t="s">
        <v>524</v>
      </c>
      <c r="B144" s="81">
        <v>280</v>
      </c>
      <c r="C144">
        <v>1300</v>
      </c>
      <c r="D144">
        <v>120</v>
      </c>
      <c r="E144" s="82">
        <v>40</v>
      </c>
      <c r="F144" s="81">
        <v>909.96199999999999</v>
      </c>
      <c r="G144">
        <v>404.512</v>
      </c>
      <c r="H144">
        <v>74.941999999999993</v>
      </c>
      <c r="I144">
        <f t="shared" si="5"/>
        <v>11.347253794640249</v>
      </c>
      <c r="J144">
        <v>24.283999999999999</v>
      </c>
      <c r="K144">
        <v>21.209</v>
      </c>
      <c r="L144">
        <v>25.645</v>
      </c>
      <c r="M144" s="82">
        <v>21.538</v>
      </c>
      <c r="N144" s="81">
        <v>0.90500000000000003</v>
      </c>
      <c r="O144">
        <f>1/1.145</f>
        <v>0.8733624454148472</v>
      </c>
      <c r="P144">
        <f t="shared" si="6"/>
        <v>1.145</v>
      </c>
      <c r="Q144">
        <v>0.873</v>
      </c>
      <c r="R144" s="82">
        <v>0.96799999999999997</v>
      </c>
      <c r="S144" s="83">
        <v>600</v>
      </c>
      <c r="T144" s="81" t="s">
        <v>522</v>
      </c>
      <c r="U144" s="82">
        <v>472076</v>
      </c>
    </row>
    <row r="145" spans="1:21" x14ac:dyDescent="0.25">
      <c r="A145" t="s">
        <v>525</v>
      </c>
      <c r="B145" s="81">
        <v>280</v>
      </c>
      <c r="C145">
        <v>1300</v>
      </c>
      <c r="D145">
        <v>120</v>
      </c>
      <c r="E145" s="82">
        <v>40</v>
      </c>
      <c r="F145" s="81">
        <v>1293.2270000000001</v>
      </c>
      <c r="G145">
        <v>526.23</v>
      </c>
      <c r="H145">
        <v>83.177999999999997</v>
      </c>
      <c r="I145">
        <f t="shared" si="5"/>
        <v>12.942341805349455</v>
      </c>
      <c r="J145">
        <v>29.51</v>
      </c>
      <c r="K145">
        <v>22.704999999999998</v>
      </c>
      <c r="L145">
        <v>30.161000000000001</v>
      </c>
      <c r="M145" s="82">
        <v>22.977</v>
      </c>
      <c r="N145" s="81">
        <v>0.95599999999999996</v>
      </c>
      <c r="O145">
        <f>1/1.3</f>
        <v>0.76923076923076916</v>
      </c>
      <c r="P145">
        <f t="shared" si="6"/>
        <v>1.3</v>
      </c>
      <c r="Q145">
        <v>0.76900000000000002</v>
      </c>
      <c r="R145" s="82">
        <v>0.999</v>
      </c>
      <c r="S145" s="83">
        <v>700</v>
      </c>
      <c r="T145" s="81" t="s">
        <v>522</v>
      </c>
      <c r="U145" s="82">
        <v>130336</v>
      </c>
    </row>
    <row r="146" spans="1:21" x14ac:dyDescent="0.25">
      <c r="A146" t="s">
        <v>526</v>
      </c>
      <c r="B146" s="81">
        <v>280</v>
      </c>
      <c r="C146">
        <v>1300</v>
      </c>
      <c r="D146">
        <v>120</v>
      </c>
      <c r="E146" s="82">
        <v>40</v>
      </c>
      <c r="F146" s="81">
        <v>30.007999999999999</v>
      </c>
      <c r="G146">
        <v>1012.18</v>
      </c>
      <c r="H146">
        <v>146.9</v>
      </c>
      <c r="I146">
        <f t="shared" si="5"/>
        <v>17.949565470994255</v>
      </c>
      <c r="J146">
        <v>37.890999999999998</v>
      </c>
      <c r="K146">
        <v>34.012</v>
      </c>
      <c r="L146">
        <v>50.777999999999999</v>
      </c>
      <c r="M146" s="82">
        <v>39.360999999999997</v>
      </c>
      <c r="N146" s="81">
        <v>0.58899999999999997</v>
      </c>
      <c r="O146">
        <f>1/1.114</f>
        <v>0.89766606822262107</v>
      </c>
      <c r="P146">
        <f t="shared" si="6"/>
        <v>1.1140000000000001</v>
      </c>
      <c r="Q146">
        <v>0.89800000000000002</v>
      </c>
      <c r="R146" s="82">
        <v>0.86299999999999999</v>
      </c>
      <c r="S146" s="83">
        <v>600</v>
      </c>
      <c r="T146" s="81" t="s">
        <v>43</v>
      </c>
      <c r="U146" s="82">
        <v>952097</v>
      </c>
    </row>
    <row r="147" spans="1:21" x14ac:dyDescent="0.25">
      <c r="A147" t="s">
        <v>527</v>
      </c>
      <c r="B147" s="81">
        <v>280</v>
      </c>
      <c r="C147">
        <v>1300</v>
      </c>
      <c r="D147">
        <v>120</v>
      </c>
      <c r="E147" s="82">
        <v>40</v>
      </c>
      <c r="F147" s="81">
        <v>347.25700000000001</v>
      </c>
      <c r="G147">
        <v>2704.8020000000001</v>
      </c>
      <c r="H147">
        <v>256.98099999999999</v>
      </c>
      <c r="I147">
        <f t="shared" si="5"/>
        <v>29.342208791597294</v>
      </c>
      <c r="J147">
        <v>85.882999999999996</v>
      </c>
      <c r="K147">
        <v>40.098999999999997</v>
      </c>
      <c r="L147">
        <v>87.96</v>
      </c>
      <c r="M147" s="82">
        <v>48.314</v>
      </c>
      <c r="N147" s="81">
        <v>0.51500000000000001</v>
      </c>
      <c r="O147">
        <f>1/2.142</f>
        <v>0.46685340802987862</v>
      </c>
      <c r="P147">
        <f t="shared" si="6"/>
        <v>2.1419999999999999</v>
      </c>
      <c r="Q147">
        <v>0.46700000000000003</v>
      </c>
      <c r="R147" s="82">
        <v>0.83099999999999996</v>
      </c>
      <c r="S147" s="83">
        <v>500</v>
      </c>
      <c r="T147" s="81" t="s">
        <v>43</v>
      </c>
      <c r="U147" s="82">
        <v>2058041</v>
      </c>
    </row>
    <row r="148" spans="1:21" x14ac:dyDescent="0.25">
      <c r="A148" t="s">
        <v>528</v>
      </c>
      <c r="B148" s="81">
        <v>280</v>
      </c>
      <c r="C148">
        <v>1300</v>
      </c>
      <c r="D148">
        <v>120</v>
      </c>
      <c r="E148" s="82">
        <v>40</v>
      </c>
      <c r="F148" s="81">
        <v>19.600000000000001</v>
      </c>
      <c r="G148">
        <v>5858.21</v>
      </c>
      <c r="H148">
        <v>532.90700000000004</v>
      </c>
      <c r="I148">
        <f t="shared" si="5"/>
        <v>43.182475129857302</v>
      </c>
      <c r="J148">
        <v>156.30500000000001</v>
      </c>
      <c r="K148">
        <v>47.72</v>
      </c>
      <c r="L148">
        <v>189.017</v>
      </c>
      <c r="M148" s="82">
        <v>60.860999999999997</v>
      </c>
      <c r="N148" s="81">
        <v>0.25900000000000001</v>
      </c>
      <c r="O148">
        <f>1/3.275</f>
        <v>0.30534351145038169</v>
      </c>
      <c r="P148">
        <f t="shared" si="6"/>
        <v>3.2749999999999999</v>
      </c>
      <c r="Q148">
        <v>0.30499999999999999</v>
      </c>
      <c r="R148" s="82">
        <v>0.69599999999999995</v>
      </c>
      <c r="S148" s="83">
        <v>700</v>
      </c>
      <c r="T148" s="81" t="s">
        <v>43</v>
      </c>
      <c r="U148" s="82">
        <v>31989</v>
      </c>
    </row>
    <row r="149" spans="1:21" x14ac:dyDescent="0.25">
      <c r="A149" t="s">
        <v>530</v>
      </c>
      <c r="B149" s="81">
        <v>280</v>
      </c>
      <c r="C149">
        <v>1300</v>
      </c>
      <c r="D149">
        <v>120</v>
      </c>
      <c r="E149" s="82">
        <v>40</v>
      </c>
      <c r="F149" s="81">
        <v>319.53399999999999</v>
      </c>
      <c r="G149">
        <v>19317.82</v>
      </c>
      <c r="H149">
        <v>981.721</v>
      </c>
      <c r="I149">
        <f t="shared" si="5"/>
        <v>78.415898168158193</v>
      </c>
      <c r="J149">
        <v>181.11600000000001</v>
      </c>
      <c r="K149">
        <v>135.803</v>
      </c>
      <c r="L149">
        <v>245.88399999999999</v>
      </c>
      <c r="M149" s="82">
        <v>169.066</v>
      </c>
      <c r="N149" s="81">
        <v>0.252</v>
      </c>
      <c r="O149">
        <f>1/1.334</f>
        <v>0.7496251874062968</v>
      </c>
      <c r="P149">
        <f>1/O149</f>
        <v>1.3340000000000001</v>
      </c>
      <c r="Q149">
        <v>0.75</v>
      </c>
      <c r="R149" s="82">
        <v>0.63500000000000001</v>
      </c>
      <c r="S149" s="83">
        <v>500</v>
      </c>
      <c r="T149" s="81" t="s">
        <v>43</v>
      </c>
      <c r="U149" s="82">
        <v>121492</v>
      </c>
    </row>
    <row r="150" spans="1:21" x14ac:dyDescent="0.25">
      <c r="A150" t="s">
        <v>531</v>
      </c>
      <c r="B150" s="81">
        <v>280</v>
      </c>
      <c r="C150">
        <v>1300</v>
      </c>
      <c r="D150">
        <v>120</v>
      </c>
      <c r="E150" s="82">
        <v>40</v>
      </c>
      <c r="F150" s="81">
        <v>167.61199999999999</v>
      </c>
      <c r="G150">
        <v>13694.822</v>
      </c>
      <c r="H150">
        <v>718.36</v>
      </c>
      <c r="I150">
        <f t="shared" ref="I150:I169" si="7">SQRT(G150/PI())</f>
        <v>66.024217012602833</v>
      </c>
      <c r="J150">
        <v>162.59100000000001</v>
      </c>
      <c r="K150">
        <v>107.244</v>
      </c>
      <c r="L150">
        <v>188.22200000000001</v>
      </c>
      <c r="M150" s="82">
        <v>122.649</v>
      </c>
      <c r="N150" s="81">
        <v>0.33300000000000002</v>
      </c>
      <c r="O150">
        <f>1/1.516</f>
        <v>0.65963060686015829</v>
      </c>
      <c r="P150">
        <f t="shared" ref="P150:P169" si="8">1/O150</f>
        <v>1.516</v>
      </c>
      <c r="Q150">
        <v>0.66</v>
      </c>
      <c r="R150" s="82">
        <v>0.74</v>
      </c>
      <c r="S150" s="83">
        <v>600</v>
      </c>
      <c r="T150" s="81" t="s">
        <v>43</v>
      </c>
      <c r="U150" s="82">
        <v>77903</v>
      </c>
    </row>
    <row r="151" spans="1:21" x14ac:dyDescent="0.25">
      <c r="A151" t="s">
        <v>532</v>
      </c>
      <c r="B151" s="81">
        <v>280</v>
      </c>
      <c r="C151">
        <v>1300</v>
      </c>
      <c r="D151">
        <v>120</v>
      </c>
      <c r="E151" s="82">
        <v>40</v>
      </c>
      <c r="F151" s="81">
        <v>1639.17</v>
      </c>
      <c r="G151">
        <v>3047.4720000000002</v>
      </c>
      <c r="H151">
        <v>330.65100000000001</v>
      </c>
      <c r="I151">
        <f t="shared" si="7"/>
        <v>31.145472631961923</v>
      </c>
      <c r="J151">
        <v>118.514</v>
      </c>
      <c r="K151">
        <v>32.74</v>
      </c>
      <c r="L151">
        <v>130.27799999999999</v>
      </c>
      <c r="M151" s="82">
        <v>39.155000000000001</v>
      </c>
      <c r="N151" s="81">
        <v>0.35</v>
      </c>
      <c r="O151">
        <f>1/3.62</f>
        <v>0.27624309392265195</v>
      </c>
      <c r="P151">
        <f t="shared" si="8"/>
        <v>3.6199999999999997</v>
      </c>
      <c r="Q151">
        <v>0.27600000000000002</v>
      </c>
      <c r="R151" s="82">
        <v>0.75700000000000001</v>
      </c>
      <c r="S151" s="83">
        <v>500</v>
      </c>
      <c r="T151" s="81" t="s">
        <v>43</v>
      </c>
      <c r="U151" s="82">
        <v>1968826</v>
      </c>
    </row>
    <row r="152" spans="1:21" x14ac:dyDescent="0.25">
      <c r="A152" t="s">
        <v>534</v>
      </c>
      <c r="B152" s="81">
        <v>280</v>
      </c>
      <c r="C152">
        <v>1300</v>
      </c>
      <c r="D152">
        <v>120</v>
      </c>
      <c r="E152" s="82">
        <v>40</v>
      </c>
      <c r="F152" s="81">
        <v>302.01400000000001</v>
      </c>
      <c r="G152">
        <v>22234.323</v>
      </c>
      <c r="H152">
        <v>838.59799999999996</v>
      </c>
      <c r="I152">
        <f t="shared" si="7"/>
        <v>84.127313183672044</v>
      </c>
      <c r="J152">
        <v>191.476</v>
      </c>
      <c r="K152">
        <v>147.85</v>
      </c>
      <c r="L152">
        <v>252.01499999999999</v>
      </c>
      <c r="M152" s="82">
        <v>173.49600000000001</v>
      </c>
      <c r="N152" s="81">
        <v>0.39700000000000002</v>
      </c>
      <c r="O152">
        <f>1/1.295</f>
        <v>0.77220077220077221</v>
      </c>
      <c r="P152">
        <f t="shared" si="8"/>
        <v>1.2949999999999999</v>
      </c>
      <c r="Q152">
        <v>0.77200000000000002</v>
      </c>
      <c r="R152" s="82">
        <v>0.71699999999999997</v>
      </c>
      <c r="S152" s="83">
        <v>700</v>
      </c>
      <c r="T152" s="81" t="s">
        <v>43</v>
      </c>
      <c r="U152" s="82">
        <v>29804</v>
      </c>
    </row>
    <row r="153" spans="1:21" x14ac:dyDescent="0.25">
      <c r="A153" t="s">
        <v>535</v>
      </c>
      <c r="B153" s="81">
        <v>280</v>
      </c>
      <c r="C153">
        <v>1300</v>
      </c>
      <c r="D153">
        <v>120</v>
      </c>
      <c r="E153" s="82">
        <v>40</v>
      </c>
      <c r="F153" s="81">
        <v>1066.258</v>
      </c>
      <c r="G153">
        <v>12333.941000000001</v>
      </c>
      <c r="H153">
        <v>580.11699999999996</v>
      </c>
      <c r="I153">
        <f t="shared" si="7"/>
        <v>62.657923329037885</v>
      </c>
      <c r="J153">
        <v>156.40700000000001</v>
      </c>
      <c r="K153">
        <v>100.405</v>
      </c>
      <c r="L153">
        <v>199.185</v>
      </c>
      <c r="M153" s="82">
        <v>118.27800000000001</v>
      </c>
      <c r="N153" s="81">
        <v>0.46100000000000002</v>
      </c>
      <c r="O153">
        <f>1/1.558</f>
        <v>0.64184852374839541</v>
      </c>
      <c r="P153">
        <f t="shared" si="8"/>
        <v>1.5579999999999998</v>
      </c>
      <c r="Q153">
        <v>0.64200000000000002</v>
      </c>
      <c r="R153" s="82">
        <v>0.73399999999999999</v>
      </c>
      <c r="S153" s="83">
        <v>600</v>
      </c>
      <c r="T153" s="81" t="s">
        <v>43</v>
      </c>
      <c r="U153" s="82">
        <v>75645</v>
      </c>
    </row>
    <row r="154" spans="1:21" x14ac:dyDescent="0.25">
      <c r="A154" t="s">
        <v>536</v>
      </c>
      <c r="B154" s="81">
        <v>280</v>
      </c>
      <c r="C154">
        <v>1300</v>
      </c>
      <c r="D154">
        <v>120</v>
      </c>
      <c r="E154" s="82">
        <v>40</v>
      </c>
      <c r="F154" s="81">
        <v>1050.7819999999999</v>
      </c>
      <c r="G154">
        <v>18395.534</v>
      </c>
      <c r="H154">
        <v>775.20100000000002</v>
      </c>
      <c r="I154">
        <f t="shared" si="7"/>
        <v>76.521110380273839</v>
      </c>
      <c r="J154">
        <v>198.673</v>
      </c>
      <c r="K154">
        <v>117.892</v>
      </c>
      <c r="L154">
        <v>250.208</v>
      </c>
      <c r="M154" s="82">
        <v>127.60299999999999</v>
      </c>
      <c r="N154" s="81">
        <v>0.38500000000000001</v>
      </c>
      <c r="O154">
        <f>1/1.685</f>
        <v>0.59347181008902072</v>
      </c>
      <c r="P154">
        <f t="shared" si="8"/>
        <v>1.6850000000000001</v>
      </c>
      <c r="Q154">
        <v>0.59299999999999997</v>
      </c>
      <c r="R154" s="82">
        <v>0.74099999999999999</v>
      </c>
      <c r="S154" s="83">
        <v>500</v>
      </c>
      <c r="T154" s="81" t="s">
        <v>43</v>
      </c>
      <c r="U154" s="82">
        <v>148753</v>
      </c>
    </row>
    <row r="155" spans="1:21" x14ac:dyDescent="0.25">
      <c r="A155" t="s">
        <v>537</v>
      </c>
      <c r="B155" s="81">
        <v>280</v>
      </c>
      <c r="C155">
        <v>1300</v>
      </c>
      <c r="D155">
        <v>120</v>
      </c>
      <c r="E155" s="82">
        <v>40</v>
      </c>
      <c r="F155" s="81">
        <v>51.85</v>
      </c>
      <c r="G155">
        <v>7180.9</v>
      </c>
      <c r="H155">
        <v>629.59900000000005</v>
      </c>
      <c r="I155">
        <f t="shared" si="7"/>
        <v>47.809533167530326</v>
      </c>
      <c r="J155">
        <v>133.77000000000001</v>
      </c>
      <c r="K155">
        <v>68.347999999999999</v>
      </c>
      <c r="L155">
        <v>185.15100000000001</v>
      </c>
      <c r="M155" s="82">
        <v>116.277</v>
      </c>
      <c r="N155" s="81">
        <v>0.22800000000000001</v>
      </c>
      <c r="O155">
        <f>1/1.957</f>
        <v>0.51098620337250888</v>
      </c>
      <c r="P155">
        <f t="shared" si="8"/>
        <v>1.9570000000000003</v>
      </c>
      <c r="Q155">
        <v>0.51100000000000001</v>
      </c>
      <c r="R155" s="82">
        <v>0.51600000000000001</v>
      </c>
      <c r="S155" s="83">
        <v>600</v>
      </c>
      <c r="T155" s="81" t="s">
        <v>43</v>
      </c>
      <c r="U155" s="82">
        <v>132724</v>
      </c>
    </row>
    <row r="156" spans="1:21" x14ac:dyDescent="0.25">
      <c r="A156" t="s">
        <v>538</v>
      </c>
      <c r="B156" s="81">
        <v>280</v>
      </c>
      <c r="C156">
        <v>1300</v>
      </c>
      <c r="D156">
        <v>120</v>
      </c>
      <c r="E156" s="82">
        <v>40</v>
      </c>
      <c r="F156" s="81">
        <v>416.86</v>
      </c>
      <c r="G156">
        <v>4086.67</v>
      </c>
      <c r="H156">
        <v>341.98399999999998</v>
      </c>
      <c r="I156">
        <f t="shared" si="7"/>
        <v>36.066985770517505</v>
      </c>
      <c r="J156">
        <v>89.695999999999998</v>
      </c>
      <c r="K156">
        <v>58.011000000000003</v>
      </c>
      <c r="L156">
        <v>100.947</v>
      </c>
      <c r="M156" s="82">
        <v>73.19</v>
      </c>
      <c r="N156" s="81">
        <v>0.439</v>
      </c>
      <c r="O156">
        <f>1/1.546</f>
        <v>0.64683053040103489</v>
      </c>
      <c r="P156">
        <f t="shared" si="8"/>
        <v>1.546</v>
      </c>
      <c r="Q156">
        <v>0.64700000000000002</v>
      </c>
      <c r="R156" s="82">
        <v>0.78600000000000003</v>
      </c>
      <c r="S156" s="83">
        <v>700</v>
      </c>
      <c r="T156" s="81" t="s">
        <v>43</v>
      </c>
      <c r="U156" s="82">
        <v>63477</v>
      </c>
    </row>
    <row r="157" spans="1:21" x14ac:dyDescent="0.25">
      <c r="A157" t="s">
        <v>539</v>
      </c>
      <c r="B157" s="81">
        <v>280</v>
      </c>
      <c r="C157">
        <v>1300</v>
      </c>
      <c r="D157">
        <v>120</v>
      </c>
      <c r="E157" s="82">
        <v>40</v>
      </c>
      <c r="F157" s="81">
        <v>8.5</v>
      </c>
      <c r="G157">
        <v>5542.2719999999999</v>
      </c>
      <c r="H157">
        <v>549.16800000000001</v>
      </c>
      <c r="I157">
        <f t="shared" si="7"/>
        <v>42.001904355869506</v>
      </c>
      <c r="J157">
        <v>109.001</v>
      </c>
      <c r="K157">
        <v>64.739000000000004</v>
      </c>
      <c r="L157">
        <v>152.91399999999999</v>
      </c>
      <c r="M157" s="82">
        <v>95.457999999999998</v>
      </c>
      <c r="N157" s="81">
        <v>0.23100000000000001</v>
      </c>
      <c r="O157">
        <f>1/1.684</f>
        <v>0.59382422802850354</v>
      </c>
      <c r="P157">
        <f t="shared" si="8"/>
        <v>1.6840000000000002</v>
      </c>
      <c r="Q157">
        <v>0.59399999999999997</v>
      </c>
      <c r="R157" s="82">
        <v>0.61399999999999999</v>
      </c>
      <c r="S157" s="83">
        <v>600</v>
      </c>
      <c r="T157" s="81" t="s">
        <v>43</v>
      </c>
      <c r="U157" s="82">
        <v>40182</v>
      </c>
    </row>
    <row r="158" spans="1:21" x14ac:dyDescent="0.25">
      <c r="A158" t="s">
        <v>540</v>
      </c>
      <c r="B158" s="81">
        <v>280</v>
      </c>
      <c r="C158">
        <v>1300</v>
      </c>
      <c r="D158">
        <v>120</v>
      </c>
      <c r="E158" s="82">
        <v>40</v>
      </c>
      <c r="F158" s="81">
        <v>64.978999999999999</v>
      </c>
      <c r="G158">
        <v>7173.4219999999996</v>
      </c>
      <c r="H158">
        <v>398.50900000000001</v>
      </c>
      <c r="I158">
        <f t="shared" si="7"/>
        <v>47.784632889332741</v>
      </c>
      <c r="J158">
        <v>139.09800000000001</v>
      </c>
      <c r="K158">
        <v>65.662000000000006</v>
      </c>
      <c r="L158">
        <v>169.22300000000001</v>
      </c>
      <c r="M158" s="82">
        <v>71.953000000000003</v>
      </c>
      <c r="N158" s="81">
        <v>0.56799999999999995</v>
      </c>
      <c r="O158">
        <f>1/2.118</f>
        <v>0.47214353163361666</v>
      </c>
      <c r="P158">
        <f t="shared" si="8"/>
        <v>2.1179999999999999</v>
      </c>
      <c r="Q158">
        <v>0.47199999999999998</v>
      </c>
      <c r="R158" s="82">
        <v>0.89700000000000002</v>
      </c>
      <c r="S158" s="83">
        <v>500</v>
      </c>
      <c r="T158" s="81" t="s">
        <v>43</v>
      </c>
      <c r="U158" s="82">
        <v>673318</v>
      </c>
    </row>
    <row r="159" spans="1:21" x14ac:dyDescent="0.25">
      <c r="A159" t="s">
        <v>541</v>
      </c>
      <c r="B159" s="81">
        <v>280</v>
      </c>
      <c r="C159">
        <v>1300</v>
      </c>
      <c r="D159">
        <v>120</v>
      </c>
      <c r="E159" s="82">
        <v>40</v>
      </c>
      <c r="F159" s="81">
        <v>448.279</v>
      </c>
      <c r="G159">
        <v>2027.692</v>
      </c>
      <c r="H159">
        <v>283.32100000000003</v>
      </c>
      <c r="I159">
        <f t="shared" si="7"/>
        <v>25.405401192183188</v>
      </c>
      <c r="J159">
        <v>63.901000000000003</v>
      </c>
      <c r="K159">
        <v>40.402000000000001</v>
      </c>
      <c r="L159">
        <v>103.64</v>
      </c>
      <c r="M159" s="82">
        <v>61.218000000000004</v>
      </c>
      <c r="N159" s="81">
        <v>0.317</v>
      </c>
      <c r="O159">
        <f>1/1.582</f>
        <v>0.63211125158027814</v>
      </c>
      <c r="P159">
        <f t="shared" si="8"/>
        <v>1.5820000000000001</v>
      </c>
      <c r="Q159">
        <v>0.63200000000000001</v>
      </c>
      <c r="R159" s="82">
        <v>0.63300000000000001</v>
      </c>
      <c r="S159" s="83">
        <v>700</v>
      </c>
      <c r="T159" s="81" t="s">
        <v>43</v>
      </c>
      <c r="U159" s="82">
        <v>106802</v>
      </c>
    </row>
    <row r="160" spans="1:21" x14ac:dyDescent="0.25">
      <c r="A160" t="s">
        <v>542</v>
      </c>
      <c r="B160" s="81">
        <v>280</v>
      </c>
      <c r="C160">
        <v>1300</v>
      </c>
      <c r="D160">
        <v>120</v>
      </c>
      <c r="E160" s="82">
        <v>40</v>
      </c>
      <c r="F160" s="81">
        <v>773.26700000000005</v>
      </c>
      <c r="G160">
        <v>3999.0129999999999</v>
      </c>
      <c r="H160">
        <v>386.024</v>
      </c>
      <c r="I160">
        <f t="shared" si="7"/>
        <v>35.678079725196802</v>
      </c>
      <c r="J160">
        <v>105.42100000000001</v>
      </c>
      <c r="K160">
        <v>48.298999999999999</v>
      </c>
      <c r="L160">
        <v>118.491</v>
      </c>
      <c r="M160" s="82">
        <v>57.02</v>
      </c>
      <c r="N160" s="81">
        <v>0.33700000000000002</v>
      </c>
      <c r="O160">
        <f>1/2.183</f>
        <v>0.45808520384791573</v>
      </c>
      <c r="P160">
        <f t="shared" si="8"/>
        <v>2.1829999999999998</v>
      </c>
      <c r="Q160">
        <v>0.45800000000000002</v>
      </c>
      <c r="R160" s="82">
        <v>0.68300000000000005</v>
      </c>
      <c r="S160" s="83">
        <v>500</v>
      </c>
      <c r="T160" s="81" t="s">
        <v>43</v>
      </c>
      <c r="U160" s="82">
        <v>1883639</v>
      </c>
    </row>
    <row r="161" spans="1:21" x14ac:dyDescent="0.25">
      <c r="A161" t="s">
        <v>543</v>
      </c>
      <c r="B161" s="81">
        <v>280</v>
      </c>
      <c r="C161">
        <v>1300</v>
      </c>
      <c r="D161">
        <v>120</v>
      </c>
      <c r="E161" s="82">
        <v>40</v>
      </c>
      <c r="F161" s="81">
        <v>847.822</v>
      </c>
      <c r="G161">
        <v>1237.5889999999999</v>
      </c>
      <c r="H161">
        <v>145.01300000000001</v>
      </c>
      <c r="I161">
        <f t="shared" si="7"/>
        <v>19.847841538371654</v>
      </c>
      <c r="J161">
        <v>46.616</v>
      </c>
      <c r="K161">
        <v>33.802999999999997</v>
      </c>
      <c r="L161">
        <v>50.945</v>
      </c>
      <c r="M161" s="82">
        <v>35.826000000000001</v>
      </c>
      <c r="N161" s="81">
        <v>0.74</v>
      </c>
      <c r="O161">
        <f>1/1.379</f>
        <v>0.72516316171138506</v>
      </c>
      <c r="P161">
        <f t="shared" si="8"/>
        <v>1.379</v>
      </c>
      <c r="Q161">
        <v>0.72499999999999998</v>
      </c>
      <c r="R161" s="82">
        <v>0.94199999999999995</v>
      </c>
      <c r="S161" s="83">
        <v>600</v>
      </c>
      <c r="T161" s="81" t="s">
        <v>64</v>
      </c>
      <c r="U161" s="82">
        <v>53451</v>
      </c>
    </row>
    <row r="162" spans="1:21" x14ac:dyDescent="0.25">
      <c r="A162" t="s">
        <v>544</v>
      </c>
      <c r="B162" s="81">
        <v>280</v>
      </c>
      <c r="C162">
        <v>1300</v>
      </c>
      <c r="D162">
        <v>120</v>
      </c>
      <c r="E162" s="82">
        <v>40</v>
      </c>
      <c r="F162" s="81">
        <v>498.06299999999999</v>
      </c>
      <c r="G162">
        <v>1382.479</v>
      </c>
      <c r="H162">
        <v>180.82599999999999</v>
      </c>
      <c r="I162">
        <f t="shared" si="7"/>
        <v>20.977529243013361</v>
      </c>
      <c r="J162">
        <v>74.007000000000005</v>
      </c>
      <c r="K162">
        <v>23.785</v>
      </c>
      <c r="L162">
        <v>83.974000000000004</v>
      </c>
      <c r="M162" s="82">
        <v>26.117999999999999</v>
      </c>
      <c r="N162" s="81">
        <v>0.53100000000000003</v>
      </c>
      <c r="O162">
        <f>1/3.112</f>
        <v>0.32133676092544988</v>
      </c>
      <c r="P162">
        <f t="shared" si="8"/>
        <v>3.1120000000000001</v>
      </c>
      <c r="Q162">
        <v>0.32100000000000001</v>
      </c>
      <c r="R162" s="82">
        <v>0.95699999999999996</v>
      </c>
      <c r="S162" s="83">
        <v>700</v>
      </c>
      <c r="T162" s="81" t="s">
        <v>64</v>
      </c>
      <c r="U162" s="82">
        <v>187756</v>
      </c>
    </row>
    <row r="163" spans="1:21" x14ac:dyDescent="0.25">
      <c r="A163" t="s">
        <v>545</v>
      </c>
      <c r="B163" s="81">
        <v>280</v>
      </c>
      <c r="C163">
        <v>1300</v>
      </c>
      <c r="D163">
        <v>120</v>
      </c>
      <c r="E163" s="82">
        <v>40</v>
      </c>
      <c r="F163" s="81">
        <v>1395.84</v>
      </c>
      <c r="G163">
        <v>1111.933</v>
      </c>
      <c r="H163">
        <v>118.21899999999999</v>
      </c>
      <c r="I163">
        <f t="shared" si="7"/>
        <v>18.813273683067521</v>
      </c>
      <c r="J163">
        <v>38.21</v>
      </c>
      <c r="K163">
        <v>37.052</v>
      </c>
      <c r="L163">
        <v>38.204999999999998</v>
      </c>
      <c r="M163" s="82">
        <v>72.114999999999995</v>
      </c>
      <c r="N163" s="81">
        <v>1</v>
      </c>
      <c r="O163">
        <f>1/1.031</f>
        <v>0.96993210475266745</v>
      </c>
      <c r="P163">
        <f t="shared" si="8"/>
        <v>1.0309999999999999</v>
      </c>
      <c r="Q163">
        <v>0.97</v>
      </c>
      <c r="R163" s="82">
        <v>1.002</v>
      </c>
      <c r="S163" s="83">
        <v>600</v>
      </c>
      <c r="T163" s="81" t="s">
        <v>64</v>
      </c>
      <c r="U163" s="82">
        <v>653822</v>
      </c>
    </row>
    <row r="164" spans="1:21" x14ac:dyDescent="0.25">
      <c r="A164" t="s">
        <v>547</v>
      </c>
      <c r="B164" s="81">
        <v>280</v>
      </c>
      <c r="C164">
        <v>1300</v>
      </c>
      <c r="D164">
        <v>120</v>
      </c>
      <c r="E164" s="82">
        <v>40</v>
      </c>
      <c r="F164" s="81">
        <v>1.8</v>
      </c>
      <c r="G164">
        <v>834.71299999999997</v>
      </c>
      <c r="H164">
        <v>152.89400000000001</v>
      </c>
      <c r="I164">
        <f t="shared" si="7"/>
        <v>16.300226993086032</v>
      </c>
      <c r="J164">
        <v>66.998000000000005</v>
      </c>
      <c r="K164">
        <v>15.863</v>
      </c>
      <c r="L164">
        <v>65.111000000000004</v>
      </c>
      <c r="M164" s="82">
        <v>18.867000000000001</v>
      </c>
      <c r="N164" s="81">
        <v>0.44900000000000001</v>
      </c>
      <c r="O164">
        <f>1/4.224</f>
        <v>0.23674242424242423</v>
      </c>
      <c r="P164">
        <f t="shared" si="8"/>
        <v>4.2240000000000002</v>
      </c>
      <c r="Q164">
        <v>0.23699999999999999</v>
      </c>
      <c r="R164" s="82">
        <v>0.87</v>
      </c>
      <c r="S164" s="83">
        <v>700</v>
      </c>
      <c r="T164" s="81" t="s">
        <v>43</v>
      </c>
      <c r="U164" s="82">
        <v>75325</v>
      </c>
    </row>
    <row r="165" spans="1:21" x14ac:dyDescent="0.25">
      <c r="A165" t="s">
        <v>548</v>
      </c>
      <c r="B165" s="81">
        <v>280</v>
      </c>
      <c r="C165">
        <v>1300</v>
      </c>
      <c r="D165">
        <v>120</v>
      </c>
      <c r="E165" s="82">
        <v>40</v>
      </c>
      <c r="F165" s="81">
        <v>648.87300000000005</v>
      </c>
      <c r="G165">
        <v>2435.7829999999999</v>
      </c>
      <c r="H165">
        <v>269.32499999999999</v>
      </c>
      <c r="I165">
        <f t="shared" si="7"/>
        <v>27.844816564280183</v>
      </c>
      <c r="J165">
        <v>110.40900000000001</v>
      </c>
      <c r="K165">
        <v>28.088999999999999</v>
      </c>
      <c r="L165">
        <v>125.75700000000001</v>
      </c>
      <c r="M165" s="82">
        <v>32.524000000000001</v>
      </c>
      <c r="N165" s="81">
        <v>0.42199999999999999</v>
      </c>
      <c r="O165">
        <f>1/3.931</f>
        <v>0.25438819638768762</v>
      </c>
      <c r="P165">
        <f t="shared" si="8"/>
        <v>3.931</v>
      </c>
      <c r="Q165">
        <v>0.254</v>
      </c>
      <c r="R165" s="82">
        <v>0.89700000000000002</v>
      </c>
      <c r="S165" s="83">
        <v>500</v>
      </c>
      <c r="T165" s="81" t="s">
        <v>43</v>
      </c>
      <c r="U165" s="82">
        <v>2900679</v>
      </c>
    </row>
    <row r="166" spans="1:21" x14ac:dyDescent="0.25">
      <c r="A166" t="s">
        <v>549</v>
      </c>
      <c r="B166" s="81">
        <v>280</v>
      </c>
      <c r="C166">
        <v>1300</v>
      </c>
      <c r="D166">
        <v>120</v>
      </c>
      <c r="E166" s="82">
        <v>40</v>
      </c>
      <c r="F166" s="81">
        <v>679.78899999999999</v>
      </c>
      <c r="G166">
        <v>1712.02</v>
      </c>
      <c r="H166">
        <v>150.06100000000001</v>
      </c>
      <c r="I166">
        <f t="shared" si="7"/>
        <v>23.344226081504036</v>
      </c>
      <c r="J166">
        <v>53.226999999999997</v>
      </c>
      <c r="K166">
        <v>40.953000000000003</v>
      </c>
      <c r="L166">
        <v>54.720999999999997</v>
      </c>
      <c r="M166" s="82">
        <v>40.664000000000001</v>
      </c>
      <c r="N166" s="81">
        <v>0.95499999999999996</v>
      </c>
      <c r="O166">
        <f>1/1.3</f>
        <v>0.76923076923076916</v>
      </c>
      <c r="P166">
        <f t="shared" si="8"/>
        <v>1.3</v>
      </c>
      <c r="Q166">
        <v>0.76900000000000002</v>
      </c>
      <c r="R166" s="82">
        <v>1</v>
      </c>
      <c r="S166" s="83">
        <v>600</v>
      </c>
      <c r="T166" s="81" t="s">
        <v>64</v>
      </c>
      <c r="U166" s="82">
        <v>75342</v>
      </c>
    </row>
    <row r="167" spans="1:21" x14ac:dyDescent="0.25">
      <c r="A167" t="s">
        <v>550</v>
      </c>
      <c r="B167" s="81">
        <v>280</v>
      </c>
      <c r="C167">
        <v>1300</v>
      </c>
      <c r="D167">
        <v>120</v>
      </c>
      <c r="E167" s="82">
        <v>40</v>
      </c>
      <c r="F167" s="81">
        <v>966.13099999999997</v>
      </c>
      <c r="G167">
        <v>1186.779</v>
      </c>
      <c r="H167">
        <v>125.66800000000001</v>
      </c>
      <c r="I167">
        <f t="shared" si="7"/>
        <v>19.436138721858129</v>
      </c>
      <c r="J167">
        <v>44.54</v>
      </c>
      <c r="K167">
        <v>33.926000000000002</v>
      </c>
      <c r="L167">
        <v>44.572000000000003</v>
      </c>
      <c r="M167" s="82">
        <v>33.792000000000002</v>
      </c>
      <c r="N167" s="81">
        <v>0.94399999999999995</v>
      </c>
      <c r="O167">
        <f>1/1.313</f>
        <v>0.76161462300076166</v>
      </c>
      <c r="P167">
        <f t="shared" si="8"/>
        <v>1.3129999999999999</v>
      </c>
      <c r="Q167">
        <v>0.76200000000000001</v>
      </c>
      <c r="R167" s="82">
        <v>0.998</v>
      </c>
      <c r="S167" s="83">
        <v>700</v>
      </c>
      <c r="T167" s="81" t="s">
        <v>64</v>
      </c>
      <c r="U167" s="82">
        <v>234308</v>
      </c>
    </row>
    <row r="168" spans="1:21" x14ac:dyDescent="0.25">
      <c r="A168" t="s">
        <v>551</v>
      </c>
      <c r="B168" s="81">
        <v>280</v>
      </c>
      <c r="C168">
        <v>1300</v>
      </c>
      <c r="D168">
        <v>120</v>
      </c>
      <c r="E168" s="82">
        <v>40</v>
      </c>
      <c r="F168" s="81">
        <v>291.75799999999998</v>
      </c>
      <c r="G168">
        <v>3355.7759999999998</v>
      </c>
      <c r="H168">
        <v>344.11</v>
      </c>
      <c r="I168">
        <f t="shared" si="7"/>
        <v>32.682972273315293</v>
      </c>
      <c r="J168">
        <v>71.921999999999997</v>
      </c>
      <c r="K168">
        <v>59.408000000000001</v>
      </c>
      <c r="L168">
        <v>107.176</v>
      </c>
      <c r="M168" s="82">
        <v>77.284000000000006</v>
      </c>
      <c r="N168" s="81">
        <v>0.35599999999999998</v>
      </c>
      <c r="O168">
        <f>1/1.211</f>
        <v>0.82576383154417832</v>
      </c>
      <c r="P168">
        <f t="shared" si="8"/>
        <v>1.2110000000000001</v>
      </c>
      <c r="Q168">
        <v>0.82599999999999996</v>
      </c>
      <c r="R168" s="82">
        <v>0.58499999999999996</v>
      </c>
      <c r="S168" s="83">
        <v>600</v>
      </c>
      <c r="T168" s="81" t="s">
        <v>43</v>
      </c>
      <c r="U168" s="82">
        <v>284141</v>
      </c>
    </row>
    <row r="169" spans="1:21" x14ac:dyDescent="0.25">
      <c r="A169" t="s">
        <v>552</v>
      </c>
      <c r="B169" s="81">
        <v>280</v>
      </c>
      <c r="C169">
        <v>1300</v>
      </c>
      <c r="D169">
        <v>120</v>
      </c>
      <c r="E169" s="82">
        <v>40</v>
      </c>
      <c r="F169" s="81">
        <v>659.41800000000001</v>
      </c>
      <c r="G169">
        <v>1745.5250000000001</v>
      </c>
      <c r="H169">
        <v>152.62700000000001</v>
      </c>
      <c r="I169">
        <f t="shared" si="7"/>
        <v>23.571547765918158</v>
      </c>
      <c r="J169">
        <v>54.048000000000002</v>
      </c>
      <c r="K169">
        <v>41.12</v>
      </c>
      <c r="L169">
        <v>55.734999999999999</v>
      </c>
      <c r="M169" s="82">
        <v>40.75</v>
      </c>
      <c r="N169" s="81">
        <v>0.94199999999999995</v>
      </c>
      <c r="O169">
        <f>1/1.314</f>
        <v>0.76103500761035003</v>
      </c>
      <c r="P169">
        <f t="shared" si="8"/>
        <v>1.3140000000000001</v>
      </c>
      <c r="Q169">
        <v>0.76100000000000001</v>
      </c>
      <c r="R169" s="82">
        <v>0.997</v>
      </c>
      <c r="S169" s="83">
        <v>700</v>
      </c>
      <c r="T169" s="81" t="s">
        <v>64</v>
      </c>
      <c r="U169" s="82">
        <v>53159</v>
      </c>
    </row>
  </sheetData>
  <autoFilter ref="A1:U169" xr:uid="{764AEC8E-6EEC-44E5-A555-065030ED0885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F8E0-8D8D-4E61-A54C-C009DF80113C}">
  <dimension ref="A2:BB424"/>
  <sheetViews>
    <sheetView topLeftCell="I1" zoomScale="85" zoomScaleNormal="85" workbookViewId="0">
      <pane ySplit="4" topLeftCell="A5" activePane="bottomLeft" state="frozen"/>
      <selection pane="bottomLeft" activeCell="L25" sqref="L25"/>
    </sheetView>
  </sheetViews>
  <sheetFormatPr defaultColWidth="13.28515625" defaultRowHeight="15" x14ac:dyDescent="0.25"/>
  <cols>
    <col min="1" max="8" width="14.7109375" customWidth="1"/>
    <col min="9" max="9" width="14.7109375" style="28" customWidth="1"/>
    <col min="10" max="12" width="14.7109375" customWidth="1"/>
    <col min="13" max="13" width="14.7109375" style="3" customWidth="1"/>
    <col min="14" max="17" width="14.7109375" customWidth="1"/>
    <col min="18" max="18" width="14.7109375" style="28" customWidth="1"/>
    <col min="19" max="19" width="14.7109375" customWidth="1"/>
    <col min="20" max="20" width="14.7109375" style="29" customWidth="1"/>
    <col min="21" max="21" width="14.7109375" customWidth="1"/>
    <col min="22" max="22" width="14.7109375" style="29" customWidth="1"/>
    <col min="23" max="23" width="14.7109375" style="30" customWidth="1"/>
    <col min="24" max="24" width="14.7109375" customWidth="1"/>
    <col min="25" max="26" width="14.7109375" style="3" customWidth="1"/>
    <col min="27" max="31" width="14.7109375" customWidth="1"/>
    <col min="32" max="32" width="14.7109375" style="30" customWidth="1"/>
    <col min="33" max="51" width="14.7109375" customWidth="1"/>
  </cols>
  <sheetData>
    <row r="2" spans="1:54" ht="14.25" customHeight="1" x14ac:dyDescent="0.25">
      <c r="N2">
        <v>0</v>
      </c>
      <c r="R2" s="28">
        <v>2307.2399999999998</v>
      </c>
    </row>
    <row r="3" spans="1:54" ht="14.25" customHeight="1" x14ac:dyDescent="0.25">
      <c r="A3" s="1"/>
      <c r="B3" s="1"/>
      <c r="C3" s="1"/>
      <c r="D3" s="1"/>
      <c r="E3" s="1"/>
      <c r="F3" s="1"/>
      <c r="G3" s="1"/>
      <c r="H3" s="1"/>
      <c r="I3" s="31"/>
      <c r="J3" s="1"/>
      <c r="K3" s="1"/>
      <c r="L3" s="1"/>
      <c r="M3" s="32" t="s">
        <v>0</v>
      </c>
      <c r="N3" s="33"/>
      <c r="O3" s="33"/>
      <c r="P3" s="33"/>
      <c r="Q3" s="33"/>
      <c r="R3" s="34"/>
      <c r="S3" s="33"/>
      <c r="T3" s="35"/>
      <c r="U3" s="33"/>
      <c r="V3" s="35"/>
      <c r="W3" s="36"/>
      <c r="X3" s="33"/>
      <c r="Y3" s="32"/>
      <c r="Z3" s="32"/>
      <c r="AA3" s="37" t="s">
        <v>1</v>
      </c>
      <c r="AB3" s="37"/>
      <c r="AC3" s="37"/>
      <c r="AD3" s="37"/>
      <c r="AE3" s="37"/>
      <c r="AF3" s="38"/>
      <c r="AG3" s="37"/>
      <c r="AH3" s="37"/>
      <c r="AI3" s="37"/>
      <c r="AJ3" s="37"/>
      <c r="AK3" s="37"/>
      <c r="AL3" s="37"/>
      <c r="AM3" s="37"/>
      <c r="AN3" s="68"/>
      <c r="AO3" s="1"/>
      <c r="AP3" s="1"/>
      <c r="AQ3" s="1"/>
      <c r="AR3" s="1"/>
      <c r="AS3" s="1"/>
      <c r="AT3" s="1"/>
      <c r="AU3" s="1"/>
      <c r="AV3" s="1"/>
      <c r="AW3" s="1"/>
      <c r="AX3" s="63"/>
      <c r="AY3" s="27"/>
    </row>
    <row r="4" spans="1:54" ht="14.25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31" t="s">
        <v>10</v>
      </c>
      <c r="J4" s="1" t="s">
        <v>11</v>
      </c>
      <c r="K4" s="1" t="s">
        <v>12</v>
      </c>
      <c r="L4" s="1" t="s">
        <v>13</v>
      </c>
      <c r="M4" s="32" t="s">
        <v>14</v>
      </c>
      <c r="N4" s="33" t="s">
        <v>15</v>
      </c>
      <c r="O4" s="33" t="s">
        <v>16</v>
      </c>
      <c r="P4" s="33" t="s">
        <v>17</v>
      </c>
      <c r="Q4" s="33" t="s">
        <v>18</v>
      </c>
      <c r="R4" s="34" t="s">
        <v>19</v>
      </c>
      <c r="S4" s="33" t="s">
        <v>20</v>
      </c>
      <c r="T4" s="35" t="s">
        <v>21</v>
      </c>
      <c r="U4" s="33" t="s">
        <v>22</v>
      </c>
      <c r="V4" s="35" t="s">
        <v>23</v>
      </c>
      <c r="W4" s="36" t="s">
        <v>24</v>
      </c>
      <c r="X4" s="33" t="s">
        <v>25</v>
      </c>
      <c r="Y4" s="32" t="s">
        <v>26</v>
      </c>
      <c r="Z4" s="32" t="s">
        <v>27</v>
      </c>
      <c r="AA4" s="37" t="s">
        <v>14</v>
      </c>
      <c r="AB4" s="37" t="s">
        <v>15</v>
      </c>
      <c r="AC4" s="37" t="s">
        <v>16</v>
      </c>
      <c r="AD4" s="37" t="s">
        <v>17</v>
      </c>
      <c r="AE4" s="37" t="s">
        <v>18</v>
      </c>
      <c r="AF4" s="38" t="s">
        <v>21</v>
      </c>
      <c r="AG4" s="37" t="s">
        <v>22</v>
      </c>
      <c r="AH4" s="37" t="s">
        <v>23</v>
      </c>
      <c r="AI4" s="37" t="s">
        <v>24</v>
      </c>
      <c r="AJ4" s="37" t="s">
        <v>25</v>
      </c>
      <c r="AK4" s="37" t="s">
        <v>26</v>
      </c>
      <c r="AL4" s="37" t="s">
        <v>27</v>
      </c>
      <c r="AM4" s="37" t="s">
        <v>28</v>
      </c>
      <c r="AN4" s="68" t="s">
        <v>29</v>
      </c>
      <c r="AO4" s="1" t="s">
        <v>30</v>
      </c>
      <c r="AP4" s="1" t="s">
        <v>31</v>
      </c>
      <c r="AQ4" s="1" t="s">
        <v>32</v>
      </c>
      <c r="AR4" s="1" t="s">
        <v>33</v>
      </c>
      <c r="AS4" s="1" t="s">
        <v>34</v>
      </c>
      <c r="AT4" s="1" t="s">
        <v>35</v>
      </c>
      <c r="AU4" s="1" t="s">
        <v>32</v>
      </c>
      <c r="AV4" s="1" t="s">
        <v>36</v>
      </c>
      <c r="AW4" s="1" t="s">
        <v>37</v>
      </c>
      <c r="AX4" s="63" t="s">
        <v>38</v>
      </c>
      <c r="AY4" s="27" t="s">
        <v>39</v>
      </c>
    </row>
    <row r="5" spans="1:54" x14ac:dyDescent="0.25">
      <c r="A5" t="s">
        <v>40</v>
      </c>
      <c r="B5" t="s">
        <v>41</v>
      </c>
      <c r="C5">
        <v>1182</v>
      </c>
      <c r="D5">
        <v>450</v>
      </c>
      <c r="E5">
        <v>6</v>
      </c>
      <c r="G5" t="s">
        <v>42</v>
      </c>
      <c r="H5">
        <v>4305823</v>
      </c>
      <c r="I5" s="28">
        <f t="shared" ref="I5:I17" si="0">H5*2</f>
        <v>8611646</v>
      </c>
      <c r="J5" t="b">
        <v>0</v>
      </c>
      <c r="K5" t="s">
        <v>43</v>
      </c>
      <c r="L5" t="s">
        <v>44</v>
      </c>
      <c r="M5" s="3">
        <v>112.878</v>
      </c>
      <c r="N5">
        <v>57.825000000000003</v>
      </c>
      <c r="O5">
        <v>204.74299999999999</v>
      </c>
      <c r="P5">
        <v>106.36799999999999</v>
      </c>
      <c r="Q5">
        <v>5126.4579999999996</v>
      </c>
      <c r="R5" s="28">
        <v>291.47242768686169</v>
      </c>
      <c r="S5">
        <f t="shared" ref="S5:S29" si="1">SQRT(Q5/PI())</f>
        <v>40.395572313138274</v>
      </c>
      <c r="T5" s="29">
        <f t="shared" ref="T5:T29" si="2">SQRT(Q5)</f>
        <v>71.599287705954168</v>
      </c>
      <c r="U5">
        <v>903.68399999999997</v>
      </c>
      <c r="V5" s="29">
        <v>0.79</v>
      </c>
      <c r="W5" s="30">
        <f>1/1.952</f>
        <v>0.51229508196721307</v>
      </c>
      <c r="X5">
        <f t="shared" ref="X5:X25" si="3">1/W5</f>
        <v>1.9520000000000002</v>
      </c>
      <c r="Y5" s="3">
        <v>0.51200000000000001</v>
      </c>
      <c r="Z5" s="3">
        <v>0.35399999999999998</v>
      </c>
      <c r="AA5">
        <v>202.02799999999999</v>
      </c>
      <c r="AB5">
        <v>148.30699999999999</v>
      </c>
      <c r="AC5">
        <v>224.50700000000001</v>
      </c>
      <c r="AD5">
        <v>156.60400000000001</v>
      </c>
      <c r="AE5">
        <v>23532.249</v>
      </c>
      <c r="AF5" s="30">
        <f t="shared" ref="AF5:AF25" si="4">SQRT(AE5)</f>
        <v>153.40224574627322</v>
      </c>
      <c r="AG5">
        <v>602.798</v>
      </c>
      <c r="AH5">
        <v>0.81399999999999995</v>
      </c>
      <c r="AI5">
        <f>1/1.362</f>
        <v>0.73421439060205573</v>
      </c>
      <c r="AJ5">
        <f t="shared" ref="AJ5:AJ17" si="5">1/AI5</f>
        <v>1.3620000000000001</v>
      </c>
      <c r="AK5">
        <v>0.73399999999999999</v>
      </c>
      <c r="AL5">
        <v>0.995</v>
      </c>
      <c r="AM5">
        <v>0.5</v>
      </c>
      <c r="AO5">
        <v>213.42099999999999</v>
      </c>
      <c r="AQ5">
        <v>176.25899999999999</v>
      </c>
      <c r="AR5">
        <f t="shared" ref="AR5:AR25" si="6">AO5/AQ5</f>
        <v>1.2108374607821446</v>
      </c>
    </row>
    <row r="6" spans="1:54" x14ac:dyDescent="0.25">
      <c r="B6" t="s">
        <v>45</v>
      </c>
      <c r="C6">
        <v>1182</v>
      </c>
      <c r="D6">
        <v>450</v>
      </c>
      <c r="E6">
        <v>6</v>
      </c>
      <c r="F6" t="s">
        <v>46</v>
      </c>
      <c r="G6" t="s">
        <v>47</v>
      </c>
      <c r="H6">
        <v>1985701</v>
      </c>
      <c r="I6" s="28">
        <f t="shared" si="0"/>
        <v>3971402</v>
      </c>
      <c r="J6" t="b">
        <v>0</v>
      </c>
      <c r="K6" t="s">
        <v>43</v>
      </c>
      <c r="M6" s="3">
        <v>107.931</v>
      </c>
      <c r="N6">
        <v>93.89</v>
      </c>
      <c r="O6">
        <v>188.63900000000001</v>
      </c>
      <c r="P6">
        <v>149.084</v>
      </c>
      <c r="Q6">
        <v>7917.63</v>
      </c>
      <c r="R6" s="28">
        <v>1457.2928097674476</v>
      </c>
      <c r="S6">
        <f t="shared" si="1"/>
        <v>50.202190232552276</v>
      </c>
      <c r="T6" s="29">
        <f t="shared" si="2"/>
        <v>88.981065401578562</v>
      </c>
      <c r="U6">
        <v>883.25</v>
      </c>
      <c r="V6" s="29">
        <v>0.128</v>
      </c>
      <c r="W6" s="30">
        <f>1/1.144</f>
        <v>0.87412587412587417</v>
      </c>
      <c r="X6">
        <f t="shared" si="3"/>
        <v>1.1439999999999999</v>
      </c>
      <c r="Y6" s="3">
        <v>0.874</v>
      </c>
      <c r="Z6" s="3">
        <v>0.43099999999999999</v>
      </c>
      <c r="AA6">
        <v>157.71299999999999</v>
      </c>
      <c r="AB6">
        <v>144.66300000000001</v>
      </c>
      <c r="AC6">
        <v>187.321</v>
      </c>
      <c r="AD6">
        <v>147.07499999999999</v>
      </c>
      <c r="AE6">
        <v>17918.963</v>
      </c>
      <c r="AF6" s="30">
        <f t="shared" si="4"/>
        <v>133.8617309017032</v>
      </c>
      <c r="AG6">
        <v>532.822</v>
      </c>
      <c r="AH6">
        <v>0.79300000000000004</v>
      </c>
      <c r="AI6">
        <f>1/1.09</f>
        <v>0.9174311926605504</v>
      </c>
      <c r="AJ6">
        <f t="shared" si="5"/>
        <v>1.0900000000000001</v>
      </c>
      <c r="AK6">
        <v>0.91700000000000004</v>
      </c>
      <c r="AL6">
        <v>1</v>
      </c>
      <c r="AM6">
        <v>0.5</v>
      </c>
      <c r="AN6">
        <v>0.73405219014032463</v>
      </c>
      <c r="AO6">
        <v>183.822</v>
      </c>
      <c r="AQ6">
        <v>159.33199999999999</v>
      </c>
      <c r="AR6">
        <f t="shared" si="6"/>
        <v>1.1537042150980343</v>
      </c>
    </row>
    <row r="7" spans="1:54" x14ac:dyDescent="0.25">
      <c r="B7" t="s">
        <v>48</v>
      </c>
      <c r="C7">
        <v>1182</v>
      </c>
      <c r="D7">
        <v>500</v>
      </c>
      <c r="E7">
        <v>5</v>
      </c>
      <c r="F7" t="s">
        <v>49</v>
      </c>
      <c r="G7" t="s">
        <v>42</v>
      </c>
      <c r="H7">
        <v>1629807</v>
      </c>
      <c r="I7" s="28">
        <f t="shared" si="0"/>
        <v>3259614</v>
      </c>
      <c r="J7" t="b">
        <v>0</v>
      </c>
      <c r="K7" t="s">
        <v>43</v>
      </c>
      <c r="M7" s="3">
        <v>82.388999999999996</v>
      </c>
      <c r="N7">
        <v>64.683000000000007</v>
      </c>
      <c r="O7">
        <v>115.417</v>
      </c>
      <c r="P7">
        <v>76.313000000000002</v>
      </c>
      <c r="Q7">
        <v>4185.509</v>
      </c>
      <c r="R7" s="28">
        <v>472.46646721743321</v>
      </c>
      <c r="S7">
        <f t="shared" si="1"/>
        <v>36.500532782566772</v>
      </c>
      <c r="T7" s="29">
        <f t="shared" si="2"/>
        <v>64.6955098905635</v>
      </c>
      <c r="U7">
        <v>359.012</v>
      </c>
      <c r="V7" s="29">
        <v>0.40799999999999997</v>
      </c>
      <c r="W7" s="30">
        <f>1/1.274</f>
        <v>0.78492935635792782</v>
      </c>
      <c r="X7">
        <f t="shared" si="3"/>
        <v>1.274</v>
      </c>
      <c r="Y7" s="3">
        <v>0.78500000000000003</v>
      </c>
      <c r="Z7" s="3">
        <v>0.68899999999999995</v>
      </c>
      <c r="AA7">
        <v>99.692999999999998</v>
      </c>
      <c r="AB7">
        <v>77.427999999999997</v>
      </c>
      <c r="AC7">
        <v>112.164</v>
      </c>
      <c r="AD7">
        <v>76.793999999999997</v>
      </c>
      <c r="AE7">
        <v>6062.509</v>
      </c>
      <c r="AF7" s="30">
        <f t="shared" si="4"/>
        <v>77.86211530648265</v>
      </c>
      <c r="AG7">
        <v>306.15899999999999</v>
      </c>
      <c r="AH7">
        <v>0.81299999999999994</v>
      </c>
      <c r="AI7">
        <f>1/1.288</f>
        <v>0.77639751552795033</v>
      </c>
      <c r="AJ7">
        <f t="shared" si="5"/>
        <v>1.288</v>
      </c>
      <c r="AK7">
        <v>0.77700000000000002</v>
      </c>
      <c r="AL7">
        <v>1</v>
      </c>
      <c r="AM7">
        <v>0.5</v>
      </c>
      <c r="AN7">
        <v>0.78818868624600968</v>
      </c>
      <c r="AO7">
        <v>88.992999999999995</v>
      </c>
      <c r="AQ7">
        <v>111.01300000000001</v>
      </c>
      <c r="AR7">
        <f t="shared" si="6"/>
        <v>0.8016448524046732</v>
      </c>
    </row>
    <row r="8" spans="1:54" x14ac:dyDescent="0.25">
      <c r="B8" t="s">
        <v>50</v>
      </c>
      <c r="C8">
        <v>1182</v>
      </c>
      <c r="D8">
        <v>500</v>
      </c>
      <c r="E8">
        <v>5</v>
      </c>
      <c r="G8" t="s">
        <v>47</v>
      </c>
      <c r="H8">
        <v>1544620</v>
      </c>
      <c r="I8" s="28">
        <f t="shared" si="0"/>
        <v>3089240</v>
      </c>
      <c r="J8" t="b">
        <v>0</v>
      </c>
      <c r="K8" t="s">
        <v>43</v>
      </c>
      <c r="M8" s="3">
        <v>71.605999999999995</v>
      </c>
      <c r="N8">
        <v>44.634999999999998</v>
      </c>
      <c r="O8">
        <v>83.313999999999993</v>
      </c>
      <c r="P8">
        <v>51.826999999999998</v>
      </c>
      <c r="Q8">
        <v>2510.2220000000002</v>
      </c>
      <c r="R8" s="28">
        <v>213.09990819493368</v>
      </c>
      <c r="S8">
        <f t="shared" si="1"/>
        <v>28.267091805066318</v>
      </c>
      <c r="T8" s="29">
        <f t="shared" si="2"/>
        <v>50.102115723789552</v>
      </c>
      <c r="U8">
        <v>279.90100000000001</v>
      </c>
      <c r="V8" s="29">
        <v>0.40300000000000002</v>
      </c>
      <c r="W8" s="30">
        <f>1/1.604</f>
        <v>0.6234413965087281</v>
      </c>
      <c r="X8">
        <f t="shared" si="3"/>
        <v>1.6040000000000003</v>
      </c>
      <c r="Y8" s="3">
        <v>0.623</v>
      </c>
      <c r="Z8" s="3">
        <v>0.79500000000000004</v>
      </c>
      <c r="AA8">
        <v>80.135000000000005</v>
      </c>
      <c r="AB8">
        <v>48.968000000000004</v>
      </c>
      <c r="AC8">
        <v>83.251000000000005</v>
      </c>
      <c r="AD8">
        <v>51.988</v>
      </c>
      <c r="AE8">
        <v>3081.9479999999999</v>
      </c>
      <c r="AF8" s="30">
        <f t="shared" si="4"/>
        <v>55.515295189704247</v>
      </c>
      <c r="AG8">
        <v>223.19800000000001</v>
      </c>
      <c r="AH8">
        <v>0.77700000000000002</v>
      </c>
      <c r="AI8">
        <f>1/1.636</f>
        <v>0.61124694376528121</v>
      </c>
      <c r="AJ8">
        <f t="shared" si="5"/>
        <v>1.6359999999999999</v>
      </c>
      <c r="AK8">
        <v>0.61099999999999999</v>
      </c>
      <c r="AL8">
        <v>0.98199999999999998</v>
      </c>
      <c r="AM8">
        <v>0.5</v>
      </c>
      <c r="AN8">
        <v>0.77158093280046125</v>
      </c>
      <c r="AO8">
        <v>70.974000000000004</v>
      </c>
      <c r="AQ8">
        <v>79.191000000000003</v>
      </c>
      <c r="AR8">
        <f t="shared" si="6"/>
        <v>0.8962382088873736</v>
      </c>
    </row>
    <row r="9" spans="1:54" x14ac:dyDescent="0.25">
      <c r="B9" t="s">
        <v>51</v>
      </c>
      <c r="C9">
        <v>1182</v>
      </c>
      <c r="D9">
        <v>450</v>
      </c>
      <c r="E9">
        <v>6</v>
      </c>
      <c r="F9" t="s">
        <v>46</v>
      </c>
      <c r="G9" t="s">
        <v>47</v>
      </c>
      <c r="H9">
        <v>2890164</v>
      </c>
      <c r="I9" s="28">
        <f t="shared" si="0"/>
        <v>5780328</v>
      </c>
      <c r="J9" t="b">
        <v>0</v>
      </c>
      <c r="K9" t="s">
        <v>43</v>
      </c>
      <c r="M9" s="3">
        <v>107.068</v>
      </c>
      <c r="N9">
        <v>46.939</v>
      </c>
      <c r="O9">
        <v>147.77199999999999</v>
      </c>
      <c r="P9">
        <v>61.249000000000002</v>
      </c>
      <c r="Q9">
        <v>3947.125</v>
      </c>
      <c r="R9" s="28">
        <v>171.32814115156475</v>
      </c>
      <c r="S9">
        <f t="shared" si="1"/>
        <v>35.445858848435236</v>
      </c>
      <c r="T9" s="29">
        <f t="shared" si="2"/>
        <v>62.826149014562397</v>
      </c>
      <c r="U9">
        <v>451.82499999999999</v>
      </c>
      <c r="V9" s="29">
        <v>0.24299999999999999</v>
      </c>
      <c r="W9" s="30">
        <f>1/2.281</f>
        <v>0.43840420868040331</v>
      </c>
      <c r="X9">
        <f t="shared" si="3"/>
        <v>2.2810000000000001</v>
      </c>
      <c r="Y9" s="3">
        <v>0.438</v>
      </c>
      <c r="Z9" s="3">
        <v>0.59299999999999997</v>
      </c>
      <c r="AA9">
        <v>130.35400000000001</v>
      </c>
      <c r="AB9">
        <v>65.361999999999995</v>
      </c>
      <c r="AC9">
        <v>151.36500000000001</v>
      </c>
      <c r="AD9">
        <v>63.706000000000003</v>
      </c>
      <c r="AE9">
        <v>6691.7569999999996</v>
      </c>
      <c r="AF9" s="30">
        <f t="shared" si="4"/>
        <v>81.803160085659286</v>
      </c>
      <c r="AG9">
        <v>351.036</v>
      </c>
      <c r="AH9">
        <v>0.68200000000000005</v>
      </c>
      <c r="AI9">
        <f>1/1.994</f>
        <v>0.50150451354062187</v>
      </c>
      <c r="AJ9">
        <f t="shared" si="5"/>
        <v>1.994</v>
      </c>
      <c r="AK9">
        <v>0.501</v>
      </c>
      <c r="AL9">
        <v>0.99299999999999999</v>
      </c>
      <c r="AM9">
        <v>0.5</v>
      </c>
      <c r="AN9">
        <v>0.619907010695261</v>
      </c>
      <c r="AO9">
        <v>86</v>
      </c>
      <c r="AQ9">
        <v>131.81399999999999</v>
      </c>
      <c r="AR9">
        <f t="shared" si="6"/>
        <v>0.65243449102523254</v>
      </c>
    </row>
    <row r="10" spans="1:54" x14ac:dyDescent="0.25">
      <c r="B10" t="s">
        <v>52</v>
      </c>
      <c r="C10">
        <v>1182</v>
      </c>
      <c r="D10">
        <v>500</v>
      </c>
      <c r="E10">
        <v>5</v>
      </c>
      <c r="G10" t="s">
        <v>42</v>
      </c>
      <c r="H10">
        <v>2136507</v>
      </c>
      <c r="I10" s="28">
        <f t="shared" si="0"/>
        <v>4273014</v>
      </c>
      <c r="J10" t="b">
        <v>0</v>
      </c>
      <c r="K10" t="s">
        <v>43</v>
      </c>
      <c r="M10" s="3">
        <v>73.980999999999995</v>
      </c>
      <c r="N10">
        <v>45.405999999999999</v>
      </c>
      <c r="O10">
        <v>82.590999999999994</v>
      </c>
      <c r="P10">
        <v>53.54</v>
      </c>
      <c r="Q10">
        <v>2638.2730000000001</v>
      </c>
      <c r="R10" s="28">
        <v>834.46689755786474</v>
      </c>
      <c r="S10">
        <f t="shared" si="1"/>
        <v>28.979102442135229</v>
      </c>
      <c r="T10" s="29">
        <f t="shared" si="2"/>
        <v>51.364121719348034</v>
      </c>
      <c r="U10">
        <v>281.82499999999999</v>
      </c>
      <c r="V10" s="29">
        <v>0.41699999999999998</v>
      </c>
      <c r="W10" s="30">
        <f>1/1.629</f>
        <v>0.61387354205033762</v>
      </c>
      <c r="X10">
        <f t="shared" si="3"/>
        <v>1.629</v>
      </c>
      <c r="Y10" s="3">
        <v>0.61399999999999999</v>
      </c>
      <c r="Z10" s="3">
        <v>0.78</v>
      </c>
      <c r="AA10">
        <v>80.986000000000004</v>
      </c>
      <c r="AB10">
        <v>53.201000000000001</v>
      </c>
      <c r="AC10">
        <v>83.161000000000001</v>
      </c>
      <c r="AD10">
        <v>53.423999999999999</v>
      </c>
      <c r="AE10">
        <v>3383.9059999999999</v>
      </c>
      <c r="AF10" s="30">
        <f t="shared" si="4"/>
        <v>58.171350336742229</v>
      </c>
      <c r="AG10">
        <v>225.363</v>
      </c>
      <c r="AH10">
        <v>0.83699999999999997</v>
      </c>
      <c r="AI10">
        <f>1/1.522</f>
        <v>0.65703022339027595</v>
      </c>
      <c r="AJ10">
        <f t="shared" si="5"/>
        <v>1.522</v>
      </c>
      <c r="AK10">
        <v>0.65700000000000003</v>
      </c>
      <c r="AL10">
        <v>0.996</v>
      </c>
      <c r="AM10">
        <v>0.5</v>
      </c>
      <c r="AN10">
        <v>0.69886978585868453</v>
      </c>
      <c r="AO10">
        <v>70.558000000000007</v>
      </c>
      <c r="AQ10">
        <v>72.822999999999993</v>
      </c>
      <c r="AR10">
        <f t="shared" si="6"/>
        <v>0.96889718907488043</v>
      </c>
    </row>
    <row r="11" spans="1:54" x14ac:dyDescent="0.25">
      <c r="B11" t="s">
        <v>53</v>
      </c>
      <c r="C11">
        <v>1182</v>
      </c>
      <c r="D11">
        <v>600</v>
      </c>
      <c r="E11">
        <v>4</v>
      </c>
      <c r="G11" t="s">
        <v>47</v>
      </c>
      <c r="H11">
        <v>33689</v>
      </c>
      <c r="I11">
        <f t="shared" si="0"/>
        <v>67378</v>
      </c>
      <c r="J11" t="b">
        <v>0</v>
      </c>
      <c r="K11" t="s">
        <v>43</v>
      </c>
      <c r="M11">
        <v>144.78100000000001</v>
      </c>
      <c r="N11">
        <v>46.851999999999997</v>
      </c>
      <c r="O11">
        <v>155.53899999999999</v>
      </c>
      <c r="P11">
        <v>63.472999999999999</v>
      </c>
      <c r="Q11">
        <v>5327.2830000000004</v>
      </c>
      <c r="R11">
        <v>214.46279595962491</v>
      </c>
      <c r="S11">
        <f t="shared" si="1"/>
        <v>41.179204040375076</v>
      </c>
      <c r="T11">
        <f t="shared" si="2"/>
        <v>72.988238778586791</v>
      </c>
      <c r="U11">
        <v>401.67099999999999</v>
      </c>
      <c r="V11">
        <v>0.41499999999999998</v>
      </c>
      <c r="W11">
        <f>1/3.09</f>
        <v>0.3236245954692557</v>
      </c>
      <c r="X11">
        <f t="shared" si="3"/>
        <v>3.0899999999999994</v>
      </c>
      <c r="Y11">
        <v>0.32400000000000001</v>
      </c>
      <c r="Z11">
        <v>0.78</v>
      </c>
      <c r="AA11">
        <v>154.26499999999999</v>
      </c>
      <c r="AB11">
        <v>101.21599999999999</v>
      </c>
      <c r="AC11">
        <v>178.01499999999999</v>
      </c>
      <c r="AD11">
        <v>101.586</v>
      </c>
      <c r="AE11">
        <v>12286</v>
      </c>
      <c r="AF11">
        <f t="shared" si="4"/>
        <v>110.84223021935277</v>
      </c>
      <c r="AG11">
        <v>453.03199999999998</v>
      </c>
      <c r="AH11">
        <v>0.752</v>
      </c>
      <c r="AI11">
        <f>1/1.522</f>
        <v>0.65703022339027595</v>
      </c>
      <c r="AJ11">
        <f t="shared" si="5"/>
        <v>1.522</v>
      </c>
      <c r="AK11">
        <v>0.65700000000000003</v>
      </c>
      <c r="AL11">
        <v>1</v>
      </c>
      <c r="AM11">
        <v>0.65</v>
      </c>
      <c r="AN11">
        <v>0</v>
      </c>
      <c r="AO11">
        <v>99.781999999999996</v>
      </c>
      <c r="AQ11">
        <v>132.13800000000001</v>
      </c>
      <c r="AR11">
        <f t="shared" si="6"/>
        <v>0.75513478333257644</v>
      </c>
    </row>
    <row r="12" spans="1:54" x14ac:dyDescent="0.25">
      <c r="B12" t="s">
        <v>54</v>
      </c>
      <c r="C12">
        <v>1182</v>
      </c>
      <c r="D12">
        <v>450</v>
      </c>
      <c r="E12">
        <v>6</v>
      </c>
      <c r="G12" t="s">
        <v>42</v>
      </c>
      <c r="H12">
        <v>3616919</v>
      </c>
      <c r="I12" s="28">
        <f t="shared" si="0"/>
        <v>7233838</v>
      </c>
      <c r="J12" t="s">
        <v>55</v>
      </c>
      <c r="K12" t="s">
        <v>43</v>
      </c>
      <c r="M12" s="3">
        <v>113.19199999999999</v>
      </c>
      <c r="N12">
        <v>50.366</v>
      </c>
      <c r="O12">
        <v>153.047</v>
      </c>
      <c r="P12">
        <v>75.114999999999995</v>
      </c>
      <c r="Q12">
        <v>4477.5339999999997</v>
      </c>
      <c r="R12" s="28">
        <v>81.915604871689894</v>
      </c>
      <c r="S12">
        <f t="shared" si="1"/>
        <v>37.752395128310113</v>
      </c>
      <c r="T12" s="29">
        <f t="shared" si="2"/>
        <v>66.914378126079896</v>
      </c>
      <c r="U12">
        <v>549.053</v>
      </c>
      <c r="V12" s="29">
        <v>0.187</v>
      </c>
      <c r="W12" s="30">
        <f>1/2.247</f>
        <v>0.44503782821539833</v>
      </c>
      <c r="X12">
        <f t="shared" si="3"/>
        <v>2.2469999999999999</v>
      </c>
      <c r="Y12" s="3">
        <v>0.44500000000000001</v>
      </c>
      <c r="Z12" s="3">
        <v>0.48899999999999999</v>
      </c>
      <c r="AA12">
        <v>216.03100000000001</v>
      </c>
      <c r="AB12">
        <v>99.415999999999997</v>
      </c>
      <c r="AC12">
        <v>212.14599999999999</v>
      </c>
      <c r="AD12">
        <v>93.596000000000004</v>
      </c>
      <c r="AE12">
        <v>16867.978999999999</v>
      </c>
      <c r="AF12" s="30">
        <f t="shared" si="4"/>
        <v>129.87678391460113</v>
      </c>
      <c r="AG12">
        <v>542.86099999999999</v>
      </c>
      <c r="AH12">
        <v>0.71899999999999997</v>
      </c>
      <c r="AI12">
        <f>1/2.173</f>
        <v>0.46019328117809477</v>
      </c>
      <c r="AJ12">
        <f t="shared" si="5"/>
        <v>2.173</v>
      </c>
      <c r="AK12">
        <v>0.46</v>
      </c>
      <c r="AL12">
        <v>0.999</v>
      </c>
      <c r="AM12">
        <v>0.65</v>
      </c>
      <c r="AN12">
        <v>0.63355692530405239</v>
      </c>
      <c r="AO12">
        <v>95.337000000000003</v>
      </c>
      <c r="AQ12">
        <v>141.56</v>
      </c>
      <c r="AR12">
        <f t="shared" si="6"/>
        <v>0.67347414523876803</v>
      </c>
    </row>
    <row r="13" spans="1:54" x14ac:dyDescent="0.25">
      <c r="B13" t="s">
        <v>56</v>
      </c>
      <c r="C13">
        <v>1182</v>
      </c>
      <c r="D13">
        <v>450</v>
      </c>
      <c r="E13">
        <v>6</v>
      </c>
      <c r="G13" t="s">
        <v>47</v>
      </c>
      <c r="H13">
        <v>2057094</v>
      </c>
      <c r="I13" s="28">
        <f t="shared" si="0"/>
        <v>4114188</v>
      </c>
      <c r="J13" t="s">
        <v>55</v>
      </c>
      <c r="K13" t="s">
        <v>43</v>
      </c>
      <c r="M13" s="3">
        <v>73.635999999999996</v>
      </c>
      <c r="N13">
        <v>21.106999999999999</v>
      </c>
      <c r="O13">
        <v>76.075999999999993</v>
      </c>
      <c r="P13">
        <v>22.609000000000002</v>
      </c>
      <c r="Q13">
        <v>1220.722</v>
      </c>
      <c r="R13" s="28">
        <v>7.5839999999999996</v>
      </c>
      <c r="S13">
        <f t="shared" si="1"/>
        <v>19.712125224897729</v>
      </c>
      <c r="T13" s="29">
        <f t="shared" si="2"/>
        <v>34.938832264401739</v>
      </c>
      <c r="U13">
        <v>179.864</v>
      </c>
      <c r="V13" s="29">
        <v>0.47399999999999998</v>
      </c>
      <c r="W13" s="30">
        <f>1/3.489</f>
        <v>0.28661507595299512</v>
      </c>
      <c r="X13">
        <f t="shared" si="3"/>
        <v>3.4889999999999999</v>
      </c>
      <c r="Y13" s="3">
        <v>0.28699999999999998</v>
      </c>
      <c r="Z13" s="3">
        <v>0.87</v>
      </c>
      <c r="AA13">
        <v>83.882999999999996</v>
      </c>
      <c r="AB13">
        <v>24.177</v>
      </c>
      <c r="AC13">
        <v>78.677999999999997</v>
      </c>
      <c r="AD13">
        <v>23.72</v>
      </c>
      <c r="AE13">
        <v>1592.8030000000001</v>
      </c>
      <c r="AF13" s="30">
        <f t="shared" si="4"/>
        <v>39.909936106187892</v>
      </c>
      <c r="AG13">
        <v>186.501</v>
      </c>
      <c r="AH13">
        <v>0.57499999999999996</v>
      </c>
      <c r="AI13">
        <f>1/3.47</f>
        <v>0.28818443804034583</v>
      </c>
      <c r="AJ13">
        <f t="shared" si="5"/>
        <v>3.4699999999999998</v>
      </c>
      <c r="AK13">
        <v>0.28799999999999998</v>
      </c>
      <c r="AL13">
        <v>0.97</v>
      </c>
      <c r="AM13">
        <v>0.65</v>
      </c>
      <c r="AN13">
        <v>0.5413245670306398</v>
      </c>
      <c r="AO13">
        <v>27.556000000000001</v>
      </c>
      <c r="AQ13">
        <v>76.039000000000001</v>
      </c>
      <c r="AR13">
        <f t="shared" si="6"/>
        <v>0.36239298254842911</v>
      </c>
      <c r="AX13">
        <v>38</v>
      </c>
      <c r="AY13">
        <f>T13/AX13</f>
        <v>0.91944295432636158</v>
      </c>
    </row>
    <row r="14" spans="1:54" x14ac:dyDescent="0.25">
      <c r="B14" t="s">
        <v>57</v>
      </c>
      <c r="C14">
        <v>1182</v>
      </c>
      <c r="D14">
        <v>500</v>
      </c>
      <c r="E14">
        <v>5</v>
      </c>
      <c r="F14" t="s">
        <v>49</v>
      </c>
      <c r="G14" t="s">
        <v>47</v>
      </c>
      <c r="H14">
        <v>862116</v>
      </c>
      <c r="I14" s="28">
        <f t="shared" si="0"/>
        <v>1724232</v>
      </c>
      <c r="J14" t="s">
        <v>55</v>
      </c>
      <c r="K14" t="s">
        <v>43</v>
      </c>
      <c r="M14" s="3">
        <v>83.203000000000003</v>
      </c>
      <c r="N14">
        <v>30.262</v>
      </c>
      <c r="O14">
        <v>115.071</v>
      </c>
      <c r="P14">
        <v>39.795000000000002</v>
      </c>
      <c r="Q14">
        <v>1977.528</v>
      </c>
      <c r="R14" s="28">
        <v>2.7</v>
      </c>
      <c r="S14">
        <f t="shared" si="1"/>
        <v>25.089175207751634</v>
      </c>
      <c r="T14" s="29">
        <f t="shared" si="2"/>
        <v>44.469405213022583</v>
      </c>
      <c r="U14">
        <v>367.935</v>
      </c>
      <c r="V14" s="29">
        <v>0.21299999999999999</v>
      </c>
      <c r="W14" s="30">
        <f>1/2.784</f>
        <v>0.35919540229885061</v>
      </c>
      <c r="X14">
        <f t="shared" si="3"/>
        <v>2.7839999999999998</v>
      </c>
      <c r="Y14" s="3">
        <v>0.36399999999999999</v>
      </c>
      <c r="Z14" s="3">
        <v>0.64900000000000002</v>
      </c>
      <c r="AA14">
        <v>100.181</v>
      </c>
      <c r="AB14">
        <v>61.707000000000001</v>
      </c>
      <c r="AC14">
        <v>122.50700000000001</v>
      </c>
      <c r="AD14">
        <v>72.665000000000006</v>
      </c>
      <c r="AE14">
        <v>4855.1949999999997</v>
      </c>
      <c r="AF14" s="30">
        <f t="shared" si="4"/>
        <v>69.679229329836872</v>
      </c>
      <c r="AG14">
        <v>305.10599999999999</v>
      </c>
      <c r="AH14">
        <v>0.65500000000000003</v>
      </c>
      <c r="AI14">
        <f>1/1.623</f>
        <v>0.61614294516327783</v>
      </c>
      <c r="AJ14">
        <f t="shared" si="5"/>
        <v>1.6230000000000002</v>
      </c>
      <c r="AK14">
        <v>0.61599999999999999</v>
      </c>
      <c r="AL14">
        <v>0.99399999999999999</v>
      </c>
      <c r="AM14">
        <v>0.65</v>
      </c>
      <c r="AN14">
        <v>0.57650479333940507</v>
      </c>
      <c r="AO14">
        <v>93.259</v>
      </c>
      <c r="AP14">
        <v>0</v>
      </c>
      <c r="AQ14">
        <v>81.125</v>
      </c>
      <c r="AR14">
        <f t="shared" si="6"/>
        <v>1.1495716486902927</v>
      </c>
      <c r="AX14">
        <v>18.759999999999998</v>
      </c>
      <c r="AY14">
        <f>T14/AX14</f>
        <v>2.3704373780928885</v>
      </c>
    </row>
    <row r="15" spans="1:54" x14ac:dyDescent="0.25">
      <c r="B15" t="s">
        <v>58</v>
      </c>
      <c r="C15">
        <v>1182</v>
      </c>
      <c r="D15">
        <v>600</v>
      </c>
      <c r="E15">
        <v>4</v>
      </c>
      <c r="F15" t="s">
        <v>49</v>
      </c>
      <c r="G15" t="s">
        <v>42</v>
      </c>
      <c r="H15">
        <v>59051</v>
      </c>
      <c r="I15" s="28">
        <f t="shared" si="0"/>
        <v>118102</v>
      </c>
      <c r="J15" t="s">
        <v>55</v>
      </c>
      <c r="K15" t="s">
        <v>43</v>
      </c>
      <c r="M15" s="3">
        <v>43.43</v>
      </c>
      <c r="N15">
        <v>19.748999999999999</v>
      </c>
      <c r="Q15">
        <v>673.61800000000005</v>
      </c>
      <c r="R15" s="28">
        <v>0</v>
      </c>
      <c r="S15">
        <f t="shared" si="1"/>
        <v>14.643062142576351</v>
      </c>
      <c r="T15" s="29">
        <f t="shared" si="2"/>
        <v>25.954151883658231</v>
      </c>
      <c r="U15">
        <v>140.76</v>
      </c>
      <c r="V15" s="29">
        <v>0.42699999999999999</v>
      </c>
      <c r="W15" s="30">
        <f>1/2.199</f>
        <v>0.45475216007276037</v>
      </c>
      <c r="X15">
        <f t="shared" si="3"/>
        <v>2.1989999999999998</v>
      </c>
      <c r="Y15" s="3">
        <v>0.45500000000000002</v>
      </c>
      <c r="Z15" s="3">
        <v>0.75600000000000001</v>
      </c>
      <c r="AA15">
        <v>43.698</v>
      </c>
      <c r="AB15">
        <v>22.759</v>
      </c>
      <c r="AE15">
        <v>781.11599999999999</v>
      </c>
      <c r="AF15" s="30">
        <f t="shared" si="4"/>
        <v>27.948452551080532</v>
      </c>
      <c r="AG15">
        <v>126.117</v>
      </c>
      <c r="AH15">
        <v>0.61699999999999999</v>
      </c>
      <c r="AI15">
        <f>1/1.92</f>
        <v>0.52083333333333337</v>
      </c>
      <c r="AJ15">
        <f t="shared" si="5"/>
        <v>1.92</v>
      </c>
      <c r="AK15">
        <v>0.52100000000000002</v>
      </c>
      <c r="AL15">
        <v>0.98699999999999999</v>
      </c>
      <c r="AM15">
        <v>0.65</v>
      </c>
      <c r="AN15">
        <v>0.62499568404334371</v>
      </c>
      <c r="AO15">
        <v>33.959000000000003</v>
      </c>
      <c r="AQ15">
        <v>39.805999999999997</v>
      </c>
      <c r="AR15">
        <f>AO15/AQ15</f>
        <v>0.85311259609104173</v>
      </c>
    </row>
    <row r="16" spans="1:54" x14ac:dyDescent="0.25">
      <c r="B16" t="s">
        <v>59</v>
      </c>
      <c r="C16">
        <v>1182</v>
      </c>
      <c r="D16">
        <v>600</v>
      </c>
      <c r="E16">
        <v>4</v>
      </c>
      <c r="G16" t="s">
        <v>47</v>
      </c>
      <c r="H16">
        <v>30900</v>
      </c>
      <c r="I16" s="28">
        <f t="shared" si="0"/>
        <v>61800</v>
      </c>
      <c r="J16" t="s">
        <v>55</v>
      </c>
      <c r="K16" t="s">
        <v>43</v>
      </c>
      <c r="L16" t="s">
        <v>60</v>
      </c>
      <c r="M16" s="3">
        <v>70.201999999999998</v>
      </c>
      <c r="N16">
        <v>46.686999999999998</v>
      </c>
      <c r="O16">
        <v>79.968000000000004</v>
      </c>
      <c r="P16">
        <v>52.259</v>
      </c>
      <c r="Q16">
        <v>2574.1509999999998</v>
      </c>
      <c r="R16" s="28">
        <v>0</v>
      </c>
      <c r="S16">
        <f t="shared" si="1"/>
        <v>28.624774441554834</v>
      </c>
      <c r="T16" s="29">
        <f t="shared" si="2"/>
        <v>50.736091690235661</v>
      </c>
      <c r="U16">
        <v>229.809</v>
      </c>
      <c r="V16" s="29">
        <v>0.61299999999999999</v>
      </c>
      <c r="W16" s="30">
        <f>1/1.504</f>
        <v>0.66489361702127658</v>
      </c>
      <c r="X16">
        <f t="shared" si="3"/>
        <v>1.504</v>
      </c>
      <c r="Y16" s="3">
        <v>0.66500000000000004</v>
      </c>
      <c r="Z16" s="3">
        <v>0.86199999999999999</v>
      </c>
      <c r="AA16">
        <v>77.548000000000002</v>
      </c>
      <c r="AB16">
        <v>65.257000000000005</v>
      </c>
      <c r="AC16">
        <v>86.150999999999996</v>
      </c>
      <c r="AD16">
        <v>64.965999999999994</v>
      </c>
      <c r="AE16">
        <v>3974.5709999999999</v>
      </c>
      <c r="AF16" s="30">
        <f t="shared" si="4"/>
        <v>63.044198781489797</v>
      </c>
      <c r="AG16">
        <v>242.18100000000001</v>
      </c>
      <c r="AH16">
        <v>0.85199999999999998</v>
      </c>
      <c r="AI16">
        <f>1/1.188</f>
        <v>0.84175084175084181</v>
      </c>
      <c r="AJ16">
        <f t="shared" si="5"/>
        <v>1.1879999999999999</v>
      </c>
      <c r="AK16">
        <v>0.84199999999999997</v>
      </c>
      <c r="AL16">
        <v>1</v>
      </c>
      <c r="AM16">
        <v>0.65</v>
      </c>
      <c r="AN16">
        <v>0.79047176646928941</v>
      </c>
      <c r="AO16">
        <v>74.254000000000005</v>
      </c>
      <c r="AQ16">
        <v>66.085999999999999</v>
      </c>
      <c r="AR16">
        <f t="shared" si="6"/>
        <v>1.1235965257391884</v>
      </c>
      <c r="BB16" s="2"/>
    </row>
    <row r="17" spans="1:51" x14ac:dyDescent="0.25">
      <c r="B17" t="s">
        <v>61</v>
      </c>
      <c r="C17">
        <v>1182</v>
      </c>
      <c r="D17">
        <v>600</v>
      </c>
      <c r="E17">
        <v>4</v>
      </c>
      <c r="G17" t="s">
        <v>47</v>
      </c>
      <c r="H17">
        <v>24908</v>
      </c>
      <c r="I17" s="28">
        <f t="shared" si="0"/>
        <v>49816</v>
      </c>
      <c r="J17" t="s">
        <v>55</v>
      </c>
      <c r="K17" t="s">
        <v>43</v>
      </c>
      <c r="M17" s="3">
        <v>73.391999999999996</v>
      </c>
      <c r="N17">
        <v>53.963999999999999</v>
      </c>
      <c r="O17">
        <v>80.405000000000001</v>
      </c>
      <c r="P17">
        <v>58.194000000000003</v>
      </c>
      <c r="Q17">
        <v>3110.6</v>
      </c>
      <c r="R17" s="28">
        <v>0</v>
      </c>
      <c r="S17">
        <f t="shared" si="1"/>
        <v>31.466406403707737</v>
      </c>
      <c r="T17" s="29">
        <f t="shared" si="2"/>
        <v>55.772753204409767</v>
      </c>
      <c r="U17">
        <v>237.59399999999999</v>
      </c>
      <c r="V17" s="29">
        <v>0.69199999999999995</v>
      </c>
      <c r="W17" s="30">
        <f>1/1.36</f>
        <v>0.73529411764705876</v>
      </c>
      <c r="X17">
        <f t="shared" si="3"/>
        <v>1.36</v>
      </c>
      <c r="Y17" s="3">
        <v>0.73499999999999999</v>
      </c>
      <c r="Z17" s="3">
        <v>0.90800000000000003</v>
      </c>
      <c r="AA17">
        <v>79.727000000000004</v>
      </c>
      <c r="AB17">
        <v>60.756999999999998</v>
      </c>
      <c r="AC17">
        <v>85.786000000000001</v>
      </c>
      <c r="AD17">
        <v>65.260000000000005</v>
      </c>
      <c r="AE17">
        <v>3804.4160000000002</v>
      </c>
      <c r="AF17" s="30">
        <f t="shared" si="4"/>
        <v>61.679948119303731</v>
      </c>
      <c r="AG17">
        <v>243.22300000000001</v>
      </c>
      <c r="AH17">
        <v>0.80800000000000005</v>
      </c>
      <c r="AI17">
        <f>1/1.312</f>
        <v>0.76219512195121952</v>
      </c>
      <c r="AJ17">
        <f t="shared" si="5"/>
        <v>1.3120000000000001</v>
      </c>
      <c r="AK17">
        <v>0.76200000000000001</v>
      </c>
      <c r="AL17">
        <v>1</v>
      </c>
      <c r="AM17">
        <v>0.65</v>
      </c>
      <c r="AN17">
        <v>0.67263351647044556</v>
      </c>
      <c r="AO17">
        <v>69.481999999999999</v>
      </c>
      <c r="AQ17">
        <v>68.09</v>
      </c>
      <c r="AR17">
        <f t="shared" si="6"/>
        <v>1.0204435306212365</v>
      </c>
    </row>
    <row r="18" spans="1:51" s="6" customFormat="1" x14ac:dyDescent="0.25">
      <c r="A18" s="6" t="s">
        <v>62</v>
      </c>
      <c r="B18" s="6" t="s">
        <v>63</v>
      </c>
      <c r="C18" s="6">
        <v>1225</v>
      </c>
      <c r="D18" s="6">
        <v>450</v>
      </c>
      <c r="E18" s="6">
        <v>6</v>
      </c>
      <c r="F18" s="6" t="s">
        <v>46</v>
      </c>
      <c r="G18" s="6" t="s">
        <v>47</v>
      </c>
      <c r="H18" s="6">
        <v>3386100</v>
      </c>
      <c r="I18" s="39">
        <f>H18*2</f>
        <v>6772200</v>
      </c>
      <c r="J18" s="6" t="b">
        <v>0</v>
      </c>
      <c r="K18" s="6" t="s">
        <v>64</v>
      </c>
      <c r="M18" s="15">
        <v>67.191000000000003</v>
      </c>
      <c r="N18" s="6">
        <v>57.838999999999999</v>
      </c>
      <c r="O18" s="6">
        <v>72.509</v>
      </c>
      <c r="P18" s="6">
        <v>59.948999999999998</v>
      </c>
      <c r="Q18" s="6">
        <v>3052.26</v>
      </c>
      <c r="R18" s="39">
        <v>126.70407004814837</v>
      </c>
      <c r="S18" s="6">
        <f t="shared" si="1"/>
        <v>31.169929951851625</v>
      </c>
      <c r="T18" s="40">
        <f t="shared" si="2"/>
        <v>55.247262375614596</v>
      </c>
      <c r="U18" s="6">
        <v>213.58699999999999</v>
      </c>
      <c r="V18" s="40">
        <v>0.84099999999999997</v>
      </c>
      <c r="W18" s="41">
        <f>1/1.162</f>
        <v>0.86058519793459554</v>
      </c>
      <c r="X18" s="6">
        <f t="shared" si="3"/>
        <v>1.1619999999999999</v>
      </c>
      <c r="Y18" s="15">
        <v>0.86099999999999999</v>
      </c>
      <c r="Z18" s="15">
        <v>0.97899999999999998</v>
      </c>
      <c r="AA18" s="6">
        <f t="shared" ref="AA18:AE25" si="7">M18</f>
        <v>67.191000000000003</v>
      </c>
      <c r="AB18" s="6">
        <f t="shared" si="7"/>
        <v>57.838999999999999</v>
      </c>
      <c r="AC18" s="6">
        <f t="shared" si="7"/>
        <v>72.509</v>
      </c>
      <c r="AD18" s="6">
        <f t="shared" si="7"/>
        <v>59.948999999999998</v>
      </c>
      <c r="AE18" s="6">
        <f t="shared" si="7"/>
        <v>3052.26</v>
      </c>
      <c r="AF18" s="41">
        <f t="shared" si="4"/>
        <v>55.247262375614596</v>
      </c>
      <c r="AG18" s="6">
        <f t="shared" ref="AG18:AL25" si="8">U18</f>
        <v>213.58699999999999</v>
      </c>
      <c r="AH18" s="6">
        <f t="shared" si="8"/>
        <v>0.84099999999999997</v>
      </c>
      <c r="AI18" s="6">
        <f t="shared" si="8"/>
        <v>0.86058519793459554</v>
      </c>
      <c r="AJ18" s="6">
        <f t="shared" si="8"/>
        <v>1.1619999999999999</v>
      </c>
      <c r="AK18" s="6">
        <f t="shared" si="8"/>
        <v>0.86099999999999999</v>
      </c>
      <c r="AL18" s="6">
        <f t="shared" si="8"/>
        <v>0.97899999999999998</v>
      </c>
      <c r="AM18" s="6">
        <v>0.5</v>
      </c>
      <c r="AN18" s="6">
        <v>0.90184874773090096</v>
      </c>
      <c r="AO18" s="6">
        <v>62.006</v>
      </c>
      <c r="AQ18" s="6">
        <v>68.787999999999997</v>
      </c>
      <c r="AR18" s="6">
        <f t="shared" si="6"/>
        <v>0.90140722218991687</v>
      </c>
      <c r="AY18"/>
    </row>
    <row r="19" spans="1:51" x14ac:dyDescent="0.25">
      <c r="B19" t="s">
        <v>65</v>
      </c>
      <c r="C19">
        <v>1225</v>
      </c>
      <c r="D19">
        <v>450</v>
      </c>
      <c r="E19">
        <v>6</v>
      </c>
      <c r="F19" t="s">
        <v>46</v>
      </c>
      <c r="G19" t="s">
        <v>42</v>
      </c>
      <c r="H19">
        <v>1909199</v>
      </c>
      <c r="I19" s="28">
        <f>H19*2</f>
        <v>3818398</v>
      </c>
      <c r="J19" t="b">
        <v>0</v>
      </c>
      <c r="K19" t="s">
        <v>64</v>
      </c>
      <c r="M19" s="3">
        <v>82.938000000000002</v>
      </c>
      <c r="N19">
        <v>65.914000000000001</v>
      </c>
      <c r="O19">
        <v>84.421000000000006</v>
      </c>
      <c r="P19">
        <v>65.760000000000005</v>
      </c>
      <c r="Q19">
        <v>4239.5929999999998</v>
      </c>
      <c r="R19" s="28">
        <v>102.79939921145163</v>
      </c>
      <c r="S19">
        <f t="shared" si="1"/>
        <v>36.735600788548368</v>
      </c>
      <c r="T19" s="29">
        <f t="shared" si="2"/>
        <v>65.112157082990265</v>
      </c>
      <c r="U19">
        <v>242.18299999999999</v>
      </c>
      <c r="V19" s="29">
        <v>0.92</v>
      </c>
      <c r="W19" s="30">
        <f>1/1.258</f>
        <v>0.79491255961844198</v>
      </c>
      <c r="X19">
        <f t="shared" si="3"/>
        <v>1.258</v>
      </c>
      <c r="Y19" s="3">
        <v>0.79500000000000004</v>
      </c>
      <c r="Z19" s="3">
        <v>0.98899999999999999</v>
      </c>
      <c r="AA19">
        <f t="shared" si="7"/>
        <v>82.938000000000002</v>
      </c>
      <c r="AB19">
        <f t="shared" si="7"/>
        <v>65.914000000000001</v>
      </c>
      <c r="AC19">
        <f t="shared" si="7"/>
        <v>84.421000000000006</v>
      </c>
      <c r="AD19">
        <f t="shared" si="7"/>
        <v>65.760000000000005</v>
      </c>
      <c r="AE19">
        <f t="shared" si="7"/>
        <v>4239.5929999999998</v>
      </c>
      <c r="AF19" s="30">
        <f t="shared" si="4"/>
        <v>65.112157082990265</v>
      </c>
      <c r="AG19">
        <f t="shared" si="8"/>
        <v>242.18299999999999</v>
      </c>
      <c r="AH19">
        <f t="shared" si="8"/>
        <v>0.92</v>
      </c>
      <c r="AI19">
        <f t="shared" si="8"/>
        <v>0.79491255961844198</v>
      </c>
      <c r="AJ19">
        <f t="shared" si="8"/>
        <v>1.258</v>
      </c>
      <c r="AK19">
        <f t="shared" si="8"/>
        <v>0.79500000000000004</v>
      </c>
      <c r="AL19">
        <f t="shared" si="8"/>
        <v>0.98899999999999999</v>
      </c>
      <c r="AM19">
        <v>0.5</v>
      </c>
      <c r="AN19">
        <v>0.89587310207809534</v>
      </c>
      <c r="AO19">
        <v>83.161000000000001</v>
      </c>
      <c r="AQ19">
        <v>66.489000000000004</v>
      </c>
      <c r="AR19">
        <f t="shared" si="6"/>
        <v>1.2507482440704476</v>
      </c>
    </row>
    <row r="20" spans="1:51" x14ac:dyDescent="0.25">
      <c r="B20" s="1"/>
      <c r="C20">
        <v>1225</v>
      </c>
      <c r="D20">
        <v>500</v>
      </c>
      <c r="E20">
        <v>5</v>
      </c>
      <c r="G20" t="s">
        <v>47</v>
      </c>
      <c r="H20">
        <v>1490267</v>
      </c>
      <c r="J20" t="b">
        <v>0</v>
      </c>
      <c r="K20" t="s">
        <v>64</v>
      </c>
      <c r="M20" s="3">
        <v>61.944000000000003</v>
      </c>
      <c r="N20">
        <v>60.036000000000001</v>
      </c>
      <c r="O20">
        <v>63.76</v>
      </c>
      <c r="P20">
        <v>60.021999999999998</v>
      </c>
      <c r="Q20">
        <v>2920.8020000000001</v>
      </c>
      <c r="R20" s="28">
        <v>455.09968726693802</v>
      </c>
      <c r="S20">
        <f t="shared" si="1"/>
        <v>30.491312733061989</v>
      </c>
      <c r="T20" s="29">
        <f t="shared" si="2"/>
        <v>54.044444672880118</v>
      </c>
      <c r="U20">
        <v>200.876</v>
      </c>
      <c r="V20" s="29">
        <v>0.91</v>
      </c>
      <c r="W20" s="30">
        <f>1/1.032</f>
        <v>0.96899224806201545</v>
      </c>
      <c r="X20">
        <f t="shared" si="3"/>
        <v>1.032</v>
      </c>
      <c r="Y20" s="3">
        <v>0.96899999999999997</v>
      </c>
      <c r="Z20" s="3">
        <v>0.99199999999999999</v>
      </c>
      <c r="AA20">
        <f t="shared" si="7"/>
        <v>61.944000000000003</v>
      </c>
      <c r="AB20">
        <f t="shared" si="7"/>
        <v>60.036000000000001</v>
      </c>
      <c r="AC20">
        <f t="shared" si="7"/>
        <v>63.76</v>
      </c>
      <c r="AD20">
        <f t="shared" si="7"/>
        <v>60.021999999999998</v>
      </c>
      <c r="AE20">
        <f t="shared" si="7"/>
        <v>2920.8020000000001</v>
      </c>
      <c r="AF20" s="30">
        <f t="shared" si="4"/>
        <v>54.044444672880118</v>
      </c>
      <c r="AG20">
        <f t="shared" si="8"/>
        <v>200.876</v>
      </c>
      <c r="AH20">
        <f t="shared" si="8"/>
        <v>0.91</v>
      </c>
      <c r="AI20">
        <f t="shared" si="8"/>
        <v>0.96899224806201545</v>
      </c>
      <c r="AJ20">
        <f t="shared" si="8"/>
        <v>1.032</v>
      </c>
      <c r="AK20">
        <f t="shared" si="8"/>
        <v>0.96899999999999997</v>
      </c>
      <c r="AL20">
        <f t="shared" si="8"/>
        <v>0.99199999999999999</v>
      </c>
      <c r="AM20">
        <v>0.5</v>
      </c>
      <c r="AN20">
        <v>0</v>
      </c>
      <c r="AO20">
        <v>61.246000000000002</v>
      </c>
      <c r="AQ20">
        <v>64.058999999999997</v>
      </c>
      <c r="AR20">
        <f t="shared" si="6"/>
        <v>0.95608735696779534</v>
      </c>
    </row>
    <row r="21" spans="1:51" x14ac:dyDescent="0.25">
      <c r="B21" t="s">
        <v>66</v>
      </c>
      <c r="C21">
        <v>1225</v>
      </c>
      <c r="D21">
        <v>500</v>
      </c>
      <c r="E21">
        <v>5</v>
      </c>
      <c r="F21" t="s">
        <v>49</v>
      </c>
      <c r="G21" t="s">
        <v>47</v>
      </c>
      <c r="H21">
        <v>1080624</v>
      </c>
      <c r="I21" s="28">
        <f t="shared" ref="I21:I29" si="9">H21*2</f>
        <v>2161248</v>
      </c>
      <c r="J21" t="b">
        <v>0</v>
      </c>
      <c r="K21" t="s">
        <v>64</v>
      </c>
      <c r="M21" s="3">
        <v>81.713999999999999</v>
      </c>
      <c r="N21" s="3">
        <v>63.387999999999998</v>
      </c>
      <c r="O21" s="3">
        <v>82.731999999999999</v>
      </c>
      <c r="P21" s="3">
        <v>61.386000000000003</v>
      </c>
      <c r="Q21" s="3">
        <v>4068.1210000000001</v>
      </c>
      <c r="R21" s="28">
        <v>338.0099596013581</v>
      </c>
      <c r="S21">
        <f t="shared" si="1"/>
        <v>35.985040398641885</v>
      </c>
      <c r="T21" s="29">
        <f t="shared" si="2"/>
        <v>63.781823429563381</v>
      </c>
      <c r="U21" s="3">
        <v>241.32599999999999</v>
      </c>
      <c r="V21" s="29">
        <v>0.878</v>
      </c>
      <c r="W21" s="30">
        <f>1/1.289</f>
        <v>0.77579519006982156</v>
      </c>
      <c r="X21">
        <f t="shared" si="3"/>
        <v>1.2889999999999999</v>
      </c>
      <c r="Y21" s="3">
        <v>0.77600000000000002</v>
      </c>
      <c r="Z21" s="3">
        <v>0.98399999999999999</v>
      </c>
      <c r="AA21">
        <f t="shared" si="7"/>
        <v>81.713999999999999</v>
      </c>
      <c r="AB21">
        <f t="shared" si="7"/>
        <v>63.387999999999998</v>
      </c>
      <c r="AC21">
        <f t="shared" si="7"/>
        <v>82.731999999999999</v>
      </c>
      <c r="AD21">
        <f t="shared" si="7"/>
        <v>61.386000000000003</v>
      </c>
      <c r="AE21">
        <f t="shared" si="7"/>
        <v>4068.1210000000001</v>
      </c>
      <c r="AF21" s="30">
        <f t="shared" si="4"/>
        <v>63.781823429563381</v>
      </c>
      <c r="AG21">
        <f t="shared" si="8"/>
        <v>241.32599999999999</v>
      </c>
      <c r="AH21">
        <f t="shared" si="8"/>
        <v>0.878</v>
      </c>
      <c r="AI21">
        <f t="shared" si="8"/>
        <v>0.77579519006982156</v>
      </c>
      <c r="AJ21">
        <f t="shared" si="8"/>
        <v>1.2889999999999999</v>
      </c>
      <c r="AK21">
        <f t="shared" si="8"/>
        <v>0.77600000000000002</v>
      </c>
      <c r="AL21">
        <f t="shared" si="8"/>
        <v>0.98399999999999999</v>
      </c>
      <c r="AM21">
        <v>0.5</v>
      </c>
      <c r="AN21">
        <v>0.84301677506906736</v>
      </c>
      <c r="AO21" s="4">
        <v>75.313999999999993</v>
      </c>
      <c r="AP21" s="4"/>
      <c r="AQ21" s="4">
        <v>76.180999999999997</v>
      </c>
      <c r="AR21">
        <f t="shared" si="6"/>
        <v>0.98861920951418325</v>
      </c>
    </row>
    <row r="22" spans="1:51" x14ac:dyDescent="0.25">
      <c r="B22" t="s">
        <v>67</v>
      </c>
      <c r="C22">
        <v>1225</v>
      </c>
      <c r="D22">
        <v>500</v>
      </c>
      <c r="E22">
        <v>5</v>
      </c>
      <c r="F22" t="s">
        <v>49</v>
      </c>
      <c r="G22" t="s">
        <v>47</v>
      </c>
      <c r="H22">
        <v>1060428</v>
      </c>
      <c r="I22" s="28">
        <f t="shared" si="9"/>
        <v>2120856</v>
      </c>
      <c r="J22" t="b">
        <v>0</v>
      </c>
      <c r="K22" t="s">
        <v>64</v>
      </c>
      <c r="M22" s="3">
        <v>62.122</v>
      </c>
      <c r="N22">
        <v>42.009</v>
      </c>
      <c r="O22">
        <v>64.603999999999999</v>
      </c>
      <c r="P22">
        <v>42.305</v>
      </c>
      <c r="Q22">
        <v>2049.6379999999999</v>
      </c>
      <c r="R22" s="28">
        <v>153.23148566609049</v>
      </c>
      <c r="S22">
        <f t="shared" si="1"/>
        <v>25.542514333909502</v>
      </c>
      <c r="T22" s="29">
        <f t="shared" si="2"/>
        <v>45.272927892947237</v>
      </c>
      <c r="U22">
        <v>173.83500000000001</v>
      </c>
      <c r="V22" s="29">
        <v>0.85199999999999998</v>
      </c>
      <c r="W22" s="30">
        <f>1/1.479</f>
        <v>0.67613252197430695</v>
      </c>
      <c r="X22">
        <f t="shared" si="3"/>
        <v>1.4790000000000001</v>
      </c>
      <c r="Y22" s="3">
        <v>0.67600000000000005</v>
      </c>
      <c r="Z22" s="3">
        <v>0.98899999999999999</v>
      </c>
      <c r="AA22">
        <f t="shared" si="7"/>
        <v>62.122</v>
      </c>
      <c r="AB22">
        <f t="shared" si="7"/>
        <v>42.009</v>
      </c>
      <c r="AC22">
        <f t="shared" si="7"/>
        <v>64.603999999999999</v>
      </c>
      <c r="AD22">
        <f t="shared" si="7"/>
        <v>42.305</v>
      </c>
      <c r="AE22">
        <f t="shared" si="7"/>
        <v>2049.6379999999999</v>
      </c>
      <c r="AF22" s="30">
        <f t="shared" si="4"/>
        <v>45.272927892947237</v>
      </c>
      <c r="AG22">
        <f t="shared" si="8"/>
        <v>173.83500000000001</v>
      </c>
      <c r="AH22">
        <f t="shared" si="8"/>
        <v>0.85199999999999998</v>
      </c>
      <c r="AI22">
        <f t="shared" si="8"/>
        <v>0.67613252197430695</v>
      </c>
      <c r="AJ22">
        <f t="shared" si="8"/>
        <v>1.4790000000000001</v>
      </c>
      <c r="AK22">
        <f t="shared" si="8"/>
        <v>0.67600000000000005</v>
      </c>
      <c r="AL22">
        <f t="shared" si="8"/>
        <v>0.98899999999999999</v>
      </c>
      <c r="AM22">
        <v>0.5</v>
      </c>
      <c r="AN22">
        <v>0.82925457885794518</v>
      </c>
      <c r="AO22">
        <v>46.680999999999997</v>
      </c>
      <c r="AQ22">
        <v>64.688999999999993</v>
      </c>
      <c r="AR22">
        <f t="shared" si="6"/>
        <v>0.72162191408121945</v>
      </c>
    </row>
    <row r="23" spans="1:51" x14ac:dyDescent="0.25">
      <c r="B23" t="s">
        <v>68</v>
      </c>
      <c r="C23">
        <v>1225</v>
      </c>
      <c r="D23">
        <v>500</v>
      </c>
      <c r="E23">
        <v>5</v>
      </c>
      <c r="G23" t="s">
        <v>42</v>
      </c>
      <c r="H23">
        <v>738546</v>
      </c>
      <c r="I23" s="28">
        <f t="shared" si="9"/>
        <v>1477092</v>
      </c>
      <c r="J23" t="b">
        <v>0</v>
      </c>
      <c r="K23" t="s">
        <v>64</v>
      </c>
      <c r="M23" s="3">
        <v>71.680000000000007</v>
      </c>
      <c r="N23">
        <v>56.398000000000003</v>
      </c>
      <c r="O23">
        <v>75.858000000000004</v>
      </c>
      <c r="P23">
        <v>55.966000000000001</v>
      </c>
      <c r="Q23">
        <v>3175.0619999999999</v>
      </c>
      <c r="R23" s="28">
        <v>83.263221087766993</v>
      </c>
      <c r="S23">
        <f t="shared" si="1"/>
        <v>31.790778912233005</v>
      </c>
      <c r="T23" s="29">
        <f t="shared" si="2"/>
        <v>56.347688506273265</v>
      </c>
      <c r="U23">
        <v>215.78100000000001</v>
      </c>
      <c r="V23" s="29">
        <v>0.85699999999999998</v>
      </c>
      <c r="W23" s="30">
        <f>1/1.271</f>
        <v>0.78678206136900086</v>
      </c>
      <c r="X23">
        <f t="shared" si="3"/>
        <v>1.2709999999999999</v>
      </c>
      <c r="Y23" s="3">
        <v>0.78700000000000003</v>
      </c>
      <c r="Z23" s="3">
        <v>0.98299999999999998</v>
      </c>
      <c r="AA23">
        <f t="shared" si="7"/>
        <v>71.680000000000007</v>
      </c>
      <c r="AB23">
        <f t="shared" si="7"/>
        <v>56.398000000000003</v>
      </c>
      <c r="AC23">
        <f t="shared" si="7"/>
        <v>75.858000000000004</v>
      </c>
      <c r="AD23">
        <f t="shared" si="7"/>
        <v>55.966000000000001</v>
      </c>
      <c r="AE23">
        <f t="shared" si="7"/>
        <v>3175.0619999999999</v>
      </c>
      <c r="AF23" s="30">
        <f t="shared" si="4"/>
        <v>56.347688506273265</v>
      </c>
      <c r="AG23">
        <f t="shared" si="8"/>
        <v>215.78100000000001</v>
      </c>
      <c r="AH23">
        <f t="shared" si="8"/>
        <v>0.85699999999999998</v>
      </c>
      <c r="AI23">
        <f t="shared" si="8"/>
        <v>0.78678206136900086</v>
      </c>
      <c r="AJ23">
        <f t="shared" si="8"/>
        <v>1.2709999999999999</v>
      </c>
      <c r="AK23">
        <f t="shared" si="8"/>
        <v>0.78700000000000003</v>
      </c>
      <c r="AL23">
        <f t="shared" si="8"/>
        <v>0.98299999999999998</v>
      </c>
      <c r="AM23">
        <v>0.5</v>
      </c>
      <c r="AN23">
        <v>0.87315281926132338</v>
      </c>
      <c r="AO23">
        <v>66.408000000000001</v>
      </c>
      <c r="AQ23">
        <v>71.259</v>
      </c>
      <c r="AR23">
        <f t="shared" si="6"/>
        <v>0.93192438849829495</v>
      </c>
    </row>
    <row r="24" spans="1:51" x14ac:dyDescent="0.25">
      <c r="B24" t="s">
        <v>69</v>
      </c>
      <c r="C24">
        <v>1225</v>
      </c>
      <c r="D24">
        <v>500</v>
      </c>
      <c r="E24">
        <v>5</v>
      </c>
      <c r="F24" t="s">
        <v>46</v>
      </c>
      <c r="G24" t="s">
        <v>47</v>
      </c>
      <c r="H24">
        <v>148393</v>
      </c>
      <c r="I24" s="28">
        <f t="shared" si="9"/>
        <v>296786</v>
      </c>
      <c r="J24" t="b">
        <v>0</v>
      </c>
      <c r="K24" t="s">
        <v>64</v>
      </c>
      <c r="M24" s="3">
        <v>89.906999999999996</v>
      </c>
      <c r="N24">
        <v>64.429000000000002</v>
      </c>
      <c r="O24">
        <v>88.247</v>
      </c>
      <c r="P24">
        <v>64.361999999999995</v>
      </c>
      <c r="Q24">
        <v>4549.4889999999996</v>
      </c>
      <c r="R24" s="28">
        <v>924.10646905052681</v>
      </c>
      <c r="S24">
        <f t="shared" si="1"/>
        <v>38.054530949473119</v>
      </c>
      <c r="T24" s="29">
        <f t="shared" si="2"/>
        <v>67.449899925796771</v>
      </c>
      <c r="U24">
        <v>256.08499999999998</v>
      </c>
      <c r="V24" s="29">
        <v>0.872</v>
      </c>
      <c r="W24" s="30">
        <f>1/1.395</f>
        <v>0.71684587813620071</v>
      </c>
      <c r="X24">
        <f t="shared" si="3"/>
        <v>1.395</v>
      </c>
      <c r="Y24" s="3">
        <v>0.71699999999999997</v>
      </c>
      <c r="Z24" s="3">
        <v>0.98899999999999999</v>
      </c>
      <c r="AA24">
        <f t="shared" si="7"/>
        <v>89.906999999999996</v>
      </c>
      <c r="AB24">
        <f t="shared" si="7"/>
        <v>64.429000000000002</v>
      </c>
      <c r="AC24">
        <f t="shared" si="7"/>
        <v>88.247</v>
      </c>
      <c r="AD24">
        <f t="shared" si="7"/>
        <v>64.361999999999995</v>
      </c>
      <c r="AE24">
        <f t="shared" si="7"/>
        <v>4549.4889999999996</v>
      </c>
      <c r="AF24" s="30">
        <f t="shared" si="4"/>
        <v>67.449899925796771</v>
      </c>
      <c r="AG24">
        <f t="shared" si="8"/>
        <v>256.08499999999998</v>
      </c>
      <c r="AH24">
        <f t="shared" si="8"/>
        <v>0.872</v>
      </c>
      <c r="AI24">
        <f t="shared" si="8"/>
        <v>0.71684587813620071</v>
      </c>
      <c r="AJ24">
        <f t="shared" si="8"/>
        <v>1.395</v>
      </c>
      <c r="AK24">
        <f t="shared" si="8"/>
        <v>0.71699999999999997</v>
      </c>
      <c r="AL24">
        <f t="shared" si="8"/>
        <v>0.98899999999999999</v>
      </c>
      <c r="AM24">
        <v>0.5</v>
      </c>
      <c r="AN24">
        <v>0.84780374625976418</v>
      </c>
      <c r="AO24">
        <v>79.183000000000007</v>
      </c>
      <c r="AQ24">
        <v>88.108000000000004</v>
      </c>
      <c r="AR24">
        <f t="shared" si="6"/>
        <v>0.89870386344032327</v>
      </c>
    </row>
    <row r="25" spans="1:51" x14ac:dyDescent="0.25">
      <c r="B25" t="s">
        <v>70</v>
      </c>
      <c r="C25">
        <v>1225</v>
      </c>
      <c r="D25">
        <v>600</v>
      </c>
      <c r="E25">
        <v>4</v>
      </c>
      <c r="G25" t="s">
        <v>42</v>
      </c>
      <c r="H25">
        <v>146688</v>
      </c>
      <c r="I25" s="28">
        <f t="shared" si="9"/>
        <v>293376</v>
      </c>
      <c r="J25" t="b">
        <v>0</v>
      </c>
      <c r="K25" t="s">
        <v>64</v>
      </c>
      <c r="M25" s="3">
        <v>82.971999999999994</v>
      </c>
      <c r="N25">
        <v>75.349999999999994</v>
      </c>
      <c r="O25">
        <v>84.899000000000001</v>
      </c>
      <c r="P25">
        <v>72.900000000000006</v>
      </c>
      <c r="Q25">
        <v>4910.2389999999996</v>
      </c>
      <c r="R25" s="28">
        <v>167.21948827637794</v>
      </c>
      <c r="S25">
        <f t="shared" si="1"/>
        <v>39.53451172362206</v>
      </c>
      <c r="T25" s="29">
        <f t="shared" si="2"/>
        <v>70.073097548203194</v>
      </c>
      <c r="U25">
        <v>260.01600000000002</v>
      </c>
      <c r="V25" s="29">
        <v>0.91300000000000003</v>
      </c>
      <c r="W25" s="30">
        <f>1/1.101</f>
        <v>0.90826521344232514</v>
      </c>
      <c r="X25">
        <f t="shared" si="3"/>
        <v>1.101</v>
      </c>
      <c r="Y25" s="3">
        <v>0.90800000000000003</v>
      </c>
      <c r="Z25" s="3">
        <v>0.98899999999999999</v>
      </c>
      <c r="AA25">
        <f t="shared" si="7"/>
        <v>82.971999999999994</v>
      </c>
      <c r="AB25">
        <f t="shared" si="7"/>
        <v>75.349999999999994</v>
      </c>
      <c r="AC25">
        <f t="shared" si="7"/>
        <v>84.899000000000001</v>
      </c>
      <c r="AD25">
        <f t="shared" si="7"/>
        <v>72.900000000000006</v>
      </c>
      <c r="AE25">
        <f t="shared" si="7"/>
        <v>4910.2389999999996</v>
      </c>
      <c r="AF25" s="30">
        <f t="shared" si="4"/>
        <v>70.073097548203194</v>
      </c>
      <c r="AG25">
        <f t="shared" si="8"/>
        <v>260.01600000000002</v>
      </c>
      <c r="AH25">
        <f t="shared" si="8"/>
        <v>0.91300000000000003</v>
      </c>
      <c r="AI25">
        <f t="shared" si="8"/>
        <v>0.90826521344232514</v>
      </c>
      <c r="AJ25">
        <f t="shared" si="8"/>
        <v>1.101</v>
      </c>
      <c r="AK25">
        <f t="shared" si="8"/>
        <v>0.90800000000000003</v>
      </c>
      <c r="AL25">
        <f t="shared" si="8"/>
        <v>0.98899999999999999</v>
      </c>
      <c r="AM25">
        <v>0.5</v>
      </c>
      <c r="AN25">
        <v>0.91607582681455613</v>
      </c>
      <c r="AO25">
        <v>72.89</v>
      </c>
      <c r="AQ25">
        <v>82.891999999999996</v>
      </c>
      <c r="AR25">
        <f t="shared" si="6"/>
        <v>0.8793369685856296</v>
      </c>
    </row>
    <row r="26" spans="1:51" ht="13.5" customHeight="1" x14ac:dyDescent="0.25">
      <c r="B26" t="s">
        <v>71</v>
      </c>
      <c r="C26">
        <v>1225</v>
      </c>
      <c r="D26">
        <v>450</v>
      </c>
      <c r="E26">
        <v>6</v>
      </c>
      <c r="G26" t="s">
        <v>42</v>
      </c>
      <c r="H26">
        <v>2924979</v>
      </c>
      <c r="I26">
        <f>H26*2</f>
        <v>5849958</v>
      </c>
      <c r="J26" t="b">
        <v>0</v>
      </c>
      <c r="K26" t="s">
        <v>64</v>
      </c>
      <c r="M26">
        <v>67.8</v>
      </c>
      <c r="N26">
        <v>63.35</v>
      </c>
      <c r="O26">
        <v>69.400000000000006</v>
      </c>
      <c r="P26">
        <v>63.46</v>
      </c>
      <c r="Q26">
        <v>3373.22</v>
      </c>
      <c r="R26">
        <v>501.53</v>
      </c>
      <c r="S26">
        <f t="shared" si="1"/>
        <v>32.767808505801639</v>
      </c>
      <c r="T26">
        <f t="shared" si="2"/>
        <v>58.079428371842639</v>
      </c>
      <c r="U26">
        <v>210.95</v>
      </c>
      <c r="V26">
        <v>0.95299999999999996</v>
      </c>
      <c r="W26">
        <f>1/1.07</f>
        <v>0.93457943925233644</v>
      </c>
      <c r="Y26">
        <v>0.93400000000000005</v>
      </c>
      <c r="Z26">
        <v>0.995</v>
      </c>
      <c r="AA26">
        <v>67.8</v>
      </c>
      <c r="AB26">
        <v>63.35</v>
      </c>
      <c r="AC26">
        <v>69.400000000000006</v>
      </c>
      <c r="AD26">
        <v>63.46</v>
      </c>
      <c r="AE26">
        <v>3373.22</v>
      </c>
      <c r="AF26">
        <f>SQRT(AE26)</f>
        <v>58.079428371842639</v>
      </c>
      <c r="AG26">
        <v>210.95</v>
      </c>
      <c r="AH26">
        <v>0.95299999999999996</v>
      </c>
      <c r="AI26">
        <f>1/1.07</f>
        <v>0.93457943925233644</v>
      </c>
      <c r="AK26">
        <v>0.93400000000000005</v>
      </c>
      <c r="AL26">
        <v>0.995</v>
      </c>
      <c r="AN26">
        <v>0.9407522757974448</v>
      </c>
      <c r="AO26">
        <v>66.995000000000005</v>
      </c>
      <c r="AP26">
        <v>0</v>
      </c>
      <c r="AQ26">
        <v>68.36</v>
      </c>
      <c r="AR26">
        <f>AO26/AQ26</f>
        <v>0.98003218256290237</v>
      </c>
    </row>
    <row r="27" spans="1:51" x14ac:dyDescent="0.25">
      <c r="B27" t="s">
        <v>72</v>
      </c>
      <c r="C27">
        <v>1225</v>
      </c>
      <c r="D27">
        <v>600</v>
      </c>
      <c r="E27">
        <v>4</v>
      </c>
      <c r="G27" t="s">
        <v>73</v>
      </c>
      <c r="H27">
        <v>133016</v>
      </c>
      <c r="I27" s="28">
        <f t="shared" si="9"/>
        <v>266032</v>
      </c>
      <c r="J27" t="s">
        <v>55</v>
      </c>
      <c r="K27" t="s">
        <v>43</v>
      </c>
      <c r="L27" t="s">
        <v>74</v>
      </c>
      <c r="M27" s="3">
        <v>74.611000000000004</v>
      </c>
      <c r="N27">
        <v>64.713999999999999</v>
      </c>
      <c r="O27">
        <v>79.561000000000007</v>
      </c>
      <c r="P27">
        <v>62.929000000000002</v>
      </c>
      <c r="Q27">
        <v>3792.174</v>
      </c>
      <c r="R27" s="28">
        <v>5</v>
      </c>
      <c r="S27">
        <f t="shared" si="1"/>
        <v>34.743150034634603</v>
      </c>
      <c r="T27" s="29">
        <f t="shared" si="2"/>
        <v>61.580630071476207</v>
      </c>
      <c r="U27">
        <v>235.69</v>
      </c>
      <c r="V27" s="29">
        <v>0.85799999999999998</v>
      </c>
      <c r="W27" s="30">
        <f>1/1.153</f>
        <v>0.86730268863833471</v>
      </c>
      <c r="X27">
        <f>1/W27</f>
        <v>1.153</v>
      </c>
      <c r="Y27" s="3">
        <v>0.86699999999999999</v>
      </c>
      <c r="Z27" s="3">
        <v>0.96799999999999997</v>
      </c>
      <c r="AA27">
        <v>84.882000000000005</v>
      </c>
      <c r="AB27">
        <v>77.456000000000003</v>
      </c>
      <c r="AC27">
        <v>93.965000000000003</v>
      </c>
      <c r="AD27">
        <v>73.843999999999994</v>
      </c>
      <c r="AE27">
        <v>5163.6959999999999</v>
      </c>
      <c r="AF27" s="30">
        <f>SQRT(AE27)</f>
        <v>71.858861666463937</v>
      </c>
      <c r="AG27">
        <v>278.11599999999999</v>
      </c>
      <c r="AH27">
        <v>0.83899999999999997</v>
      </c>
      <c r="AI27">
        <f>1/1.096</f>
        <v>0.91240875912408748</v>
      </c>
      <c r="AJ27">
        <f>1/AI27</f>
        <v>1.0960000000000001</v>
      </c>
      <c r="AK27">
        <v>0.91300000000000003</v>
      </c>
      <c r="AL27">
        <v>0.98099999999999998</v>
      </c>
      <c r="AM27">
        <v>0.65</v>
      </c>
      <c r="AN27">
        <v>0.89969188179234405</v>
      </c>
      <c r="AO27">
        <v>72.808999999999997</v>
      </c>
      <c r="AQ27">
        <v>62.920999999999999</v>
      </c>
      <c r="AR27">
        <f>AO27/AQ27</f>
        <v>1.157149441362979</v>
      </c>
    </row>
    <row r="28" spans="1:51" x14ac:dyDescent="0.25">
      <c r="B28" t="s">
        <v>75</v>
      </c>
      <c r="C28">
        <v>1225</v>
      </c>
      <c r="D28">
        <v>600</v>
      </c>
      <c r="E28">
        <v>4</v>
      </c>
      <c r="F28" t="s">
        <v>49</v>
      </c>
      <c r="G28" t="s">
        <v>73</v>
      </c>
      <c r="H28">
        <v>58339</v>
      </c>
      <c r="I28" s="28">
        <f t="shared" si="9"/>
        <v>116678</v>
      </c>
      <c r="J28" t="s">
        <v>55</v>
      </c>
      <c r="K28" t="s">
        <v>64</v>
      </c>
      <c r="L28" s="2"/>
      <c r="M28" s="3">
        <v>50.116999999999997</v>
      </c>
      <c r="N28" s="3">
        <v>25.097000000000001</v>
      </c>
      <c r="O28" s="3">
        <v>50.323</v>
      </c>
      <c r="P28" s="3">
        <v>25.279</v>
      </c>
      <c r="Q28" s="3">
        <v>987.16600000000005</v>
      </c>
      <c r="R28" s="28">
        <v>5</v>
      </c>
      <c r="S28">
        <f t="shared" si="1"/>
        <v>17.726384208419603</v>
      </c>
      <c r="T28" s="29">
        <f t="shared" si="2"/>
        <v>31.419197952844055</v>
      </c>
      <c r="U28" s="3">
        <v>131.88399999999999</v>
      </c>
      <c r="V28" s="29">
        <v>0.71299999999999997</v>
      </c>
      <c r="W28" s="30">
        <f>1/1.998</f>
        <v>0.50050050050050054</v>
      </c>
      <c r="X28">
        <f>1/W28</f>
        <v>1.9979999999999998</v>
      </c>
      <c r="Y28" s="3">
        <v>0.5</v>
      </c>
      <c r="Z28" s="3">
        <v>0.95799999999999996</v>
      </c>
      <c r="AA28" s="3">
        <f>M28</f>
        <v>50.116999999999997</v>
      </c>
      <c r="AB28" s="3">
        <f>N28</f>
        <v>25.097000000000001</v>
      </c>
      <c r="AC28" s="3">
        <f>O28</f>
        <v>50.323</v>
      </c>
      <c r="AD28" s="3">
        <f>P28</f>
        <v>25.279</v>
      </c>
      <c r="AE28" s="3">
        <f>Q28</f>
        <v>987.16600000000005</v>
      </c>
      <c r="AF28" s="30">
        <f>SQRT(AE28)</f>
        <v>31.419197952844055</v>
      </c>
      <c r="AG28" s="3">
        <f t="shared" ref="AG28:AL28" si="10">U28</f>
        <v>131.88399999999999</v>
      </c>
      <c r="AH28" s="3">
        <f t="shared" si="10"/>
        <v>0.71299999999999997</v>
      </c>
      <c r="AI28" s="3">
        <f t="shared" si="10"/>
        <v>0.50050050050050054</v>
      </c>
      <c r="AJ28" s="3">
        <f t="shared" si="10"/>
        <v>1.9979999999999998</v>
      </c>
      <c r="AK28" s="3">
        <f t="shared" si="10"/>
        <v>0.5</v>
      </c>
      <c r="AL28" s="3">
        <f t="shared" si="10"/>
        <v>0.95799999999999996</v>
      </c>
      <c r="AM28">
        <v>0.65</v>
      </c>
      <c r="AN28">
        <v>0.8445702147786025</v>
      </c>
      <c r="AO28">
        <v>58.012999999999998</v>
      </c>
      <c r="AQ28">
        <v>37.095999999999997</v>
      </c>
      <c r="AR28">
        <f>AO28/AQ28</f>
        <v>1.5638613327582489</v>
      </c>
    </row>
    <row r="29" spans="1:51" x14ac:dyDescent="0.25">
      <c r="B29" t="s">
        <v>76</v>
      </c>
      <c r="C29">
        <v>1225</v>
      </c>
      <c r="D29">
        <v>600</v>
      </c>
      <c r="E29">
        <v>4</v>
      </c>
      <c r="G29" t="s">
        <v>42</v>
      </c>
      <c r="H29">
        <v>42753</v>
      </c>
      <c r="I29" s="28">
        <f t="shared" si="9"/>
        <v>85506</v>
      </c>
      <c r="J29" t="s">
        <v>55</v>
      </c>
      <c r="K29" t="s">
        <v>64</v>
      </c>
      <c r="M29" s="3">
        <v>51.622999999999998</v>
      </c>
      <c r="N29">
        <v>31.437000000000001</v>
      </c>
      <c r="O29">
        <v>50.765000000000001</v>
      </c>
      <c r="P29">
        <v>31.209</v>
      </c>
      <c r="Q29">
        <v>1274.6289999999999</v>
      </c>
      <c r="R29" s="28">
        <v>5</v>
      </c>
      <c r="S29">
        <f t="shared" si="1"/>
        <v>20.142666454979562</v>
      </c>
      <c r="T29" s="29">
        <f t="shared" si="2"/>
        <v>35.701946725633881</v>
      </c>
      <c r="U29">
        <v>141.03100000000001</v>
      </c>
      <c r="V29" s="29">
        <v>0.80500000000000005</v>
      </c>
      <c r="W29" s="30">
        <f>1/1.642</f>
        <v>0.60901339829476253</v>
      </c>
      <c r="X29">
        <f>1/W29</f>
        <v>1.6419999999999999</v>
      </c>
      <c r="Y29" s="3">
        <v>0.60899999999999999</v>
      </c>
      <c r="Z29" s="3">
        <v>0.96699999999999997</v>
      </c>
      <c r="AA29">
        <v>52.726999999999997</v>
      </c>
      <c r="AB29">
        <v>37.832999999999998</v>
      </c>
      <c r="AC29">
        <v>53.311999999999998</v>
      </c>
      <c r="AD29">
        <v>36.173000000000002</v>
      </c>
      <c r="AE29">
        <v>1566.7190000000001</v>
      </c>
      <c r="AF29" s="30">
        <f>SQRT(AE29)</f>
        <v>39.581801373863719</v>
      </c>
      <c r="AG29">
        <v>154.399</v>
      </c>
      <c r="AH29">
        <v>0.82599999999999996</v>
      </c>
      <c r="AI29">
        <f>1/1.394</f>
        <v>0.71736011477761841</v>
      </c>
      <c r="AJ29">
        <f>1/AI29</f>
        <v>1.3939999999999999</v>
      </c>
      <c r="AK29">
        <v>0.71799999999999997</v>
      </c>
      <c r="AL29">
        <v>0.99099999999999999</v>
      </c>
      <c r="AM29">
        <v>0.65</v>
      </c>
      <c r="AN29">
        <v>0.7774471453246431</v>
      </c>
      <c r="AO29">
        <v>50.679000000000002</v>
      </c>
      <c r="AQ29">
        <v>30.68</v>
      </c>
      <c r="AR29">
        <f>AO29/AQ29</f>
        <v>1.6518578878748371</v>
      </c>
    </row>
    <row r="30" spans="1:51" x14ac:dyDescent="0.25">
      <c r="B30" t="s">
        <v>77</v>
      </c>
      <c r="C30">
        <v>1225</v>
      </c>
      <c r="D30">
        <v>450</v>
      </c>
      <c r="E30">
        <v>6</v>
      </c>
      <c r="G30" t="s">
        <v>47</v>
      </c>
      <c r="H30">
        <v>3816081</v>
      </c>
      <c r="J30" t="b">
        <v>0</v>
      </c>
      <c r="R30" s="28">
        <v>0</v>
      </c>
      <c r="AN30" t="e">
        <v>#DIV/0!</v>
      </c>
    </row>
    <row r="31" spans="1:51" s="6" customFormat="1" x14ac:dyDescent="0.25">
      <c r="A31" s="6" t="s">
        <v>78</v>
      </c>
      <c r="B31" s="6" t="s">
        <v>79</v>
      </c>
      <c r="C31" s="6">
        <v>1233</v>
      </c>
      <c r="D31" s="6">
        <v>450</v>
      </c>
      <c r="E31" s="6">
        <v>6</v>
      </c>
      <c r="G31" s="6" t="s">
        <v>42</v>
      </c>
      <c r="H31" s="6">
        <v>8440701</v>
      </c>
      <c r="I31" s="39">
        <f t="shared" ref="I31:I42" si="11">H31*2</f>
        <v>16881402</v>
      </c>
      <c r="J31" s="6" t="b">
        <v>0</v>
      </c>
      <c r="K31" s="6" t="s">
        <v>64</v>
      </c>
      <c r="M31" s="15">
        <v>50.781999999999996</v>
      </c>
      <c r="N31" s="6">
        <v>47.634999999999998</v>
      </c>
      <c r="O31" s="6">
        <v>50.783000000000001</v>
      </c>
      <c r="P31" s="6">
        <v>47.637</v>
      </c>
      <c r="Q31" s="6">
        <v>1899.874</v>
      </c>
      <c r="R31" s="39">
        <v>501.93936165068408</v>
      </c>
      <c r="S31" s="6">
        <f t="shared" ref="S31:S42" si="12">SQRT(Q31/PI())</f>
        <v>24.591638349315875</v>
      </c>
      <c r="T31" s="40">
        <f t="shared" ref="T31:T42" si="13">SQRT(Q31)</f>
        <v>43.587544092320684</v>
      </c>
      <c r="U31" s="6">
        <v>154.63800000000001</v>
      </c>
      <c r="V31" s="40">
        <v>0.998</v>
      </c>
      <c r="W31" s="41">
        <f>1/1.066</f>
        <v>0.9380863039399624</v>
      </c>
      <c r="X31" s="6">
        <f t="shared" ref="X31:X42" si="14">1/W31</f>
        <v>1.0660000000000001</v>
      </c>
      <c r="Y31" s="15">
        <v>0.93799999999999994</v>
      </c>
      <c r="Z31" s="15">
        <v>1</v>
      </c>
      <c r="AA31" s="6">
        <f t="shared" ref="AA31:AA40" si="15">M31</f>
        <v>50.781999999999996</v>
      </c>
      <c r="AB31" s="6">
        <f t="shared" ref="AB31:AB40" si="16">N31</f>
        <v>47.634999999999998</v>
      </c>
      <c r="AC31" s="6">
        <f t="shared" ref="AC31:AC40" si="17">O31</f>
        <v>50.783000000000001</v>
      </c>
      <c r="AD31" s="6">
        <f t="shared" ref="AD31:AD40" si="18">P31</f>
        <v>47.637</v>
      </c>
      <c r="AE31" s="6">
        <f t="shared" ref="AE31:AE40" si="19">Q31</f>
        <v>1899.874</v>
      </c>
      <c r="AF31" s="41">
        <f t="shared" ref="AF31:AF42" si="20">SQRT(AE31)</f>
        <v>43.587544092320684</v>
      </c>
      <c r="AG31" s="6">
        <f t="shared" ref="AG31:AL40" si="21">U31</f>
        <v>154.63800000000001</v>
      </c>
      <c r="AH31" s="6">
        <f t="shared" si="21"/>
        <v>0.998</v>
      </c>
      <c r="AI31" s="6">
        <f t="shared" si="21"/>
        <v>0.9380863039399624</v>
      </c>
      <c r="AJ31" s="6">
        <f t="shared" si="21"/>
        <v>1.0660000000000001</v>
      </c>
      <c r="AK31" s="6">
        <f t="shared" si="21"/>
        <v>0.93799999999999994</v>
      </c>
      <c r="AL31" s="6">
        <f t="shared" si="21"/>
        <v>1</v>
      </c>
      <c r="AM31" s="6">
        <v>0.5</v>
      </c>
      <c r="AN31" s="6">
        <v>0.95322180795532707</v>
      </c>
      <c r="AO31" s="6">
        <v>50.335999999999999</v>
      </c>
      <c r="AQ31" s="6">
        <v>47.042999999999999</v>
      </c>
      <c r="AR31" s="6">
        <f t="shared" ref="AR31:AR42" si="22">AO31/AQ31</f>
        <v>1.0699997874285228</v>
      </c>
      <c r="AY31"/>
    </row>
    <row r="32" spans="1:51" x14ac:dyDescent="0.25">
      <c r="B32" t="s">
        <v>80</v>
      </c>
      <c r="C32">
        <v>1233</v>
      </c>
      <c r="D32">
        <v>450</v>
      </c>
      <c r="E32">
        <v>6</v>
      </c>
      <c r="G32" t="s">
        <v>42</v>
      </c>
      <c r="H32">
        <v>6053604</v>
      </c>
      <c r="I32" s="28">
        <f t="shared" si="11"/>
        <v>12107208</v>
      </c>
      <c r="J32" t="b">
        <v>0</v>
      </c>
      <c r="K32" t="s">
        <v>64</v>
      </c>
      <c r="M32" s="3">
        <v>75.950999999999993</v>
      </c>
      <c r="N32">
        <v>53.709000000000003</v>
      </c>
      <c r="O32">
        <v>76.263000000000005</v>
      </c>
      <c r="P32">
        <v>54.509</v>
      </c>
      <c r="Q32">
        <v>3203.8380000000002</v>
      </c>
      <c r="R32" s="28">
        <v>768.21348404733055</v>
      </c>
      <c r="S32">
        <f t="shared" si="12"/>
        <v>31.934515952669514</v>
      </c>
      <c r="T32" s="29">
        <f t="shared" si="13"/>
        <v>56.602455777112709</v>
      </c>
      <c r="U32">
        <v>209.88499999999999</v>
      </c>
      <c r="V32" s="29">
        <v>0.91400000000000003</v>
      </c>
      <c r="W32" s="30">
        <f>1/1.414</f>
        <v>0.70721357850070721</v>
      </c>
      <c r="X32">
        <f t="shared" si="14"/>
        <v>1.4139999999999999</v>
      </c>
      <c r="Y32" s="3">
        <v>0.70699999999999996</v>
      </c>
      <c r="Z32" s="3">
        <v>0.998</v>
      </c>
      <c r="AA32">
        <f t="shared" si="15"/>
        <v>75.950999999999993</v>
      </c>
      <c r="AB32">
        <f t="shared" si="16"/>
        <v>53.709000000000003</v>
      </c>
      <c r="AC32">
        <f t="shared" si="17"/>
        <v>76.263000000000005</v>
      </c>
      <c r="AD32">
        <f t="shared" si="18"/>
        <v>54.509</v>
      </c>
      <c r="AE32">
        <f t="shared" si="19"/>
        <v>3203.8380000000002</v>
      </c>
      <c r="AF32" s="30">
        <f t="shared" si="20"/>
        <v>56.602455777112709</v>
      </c>
      <c r="AG32">
        <f t="shared" si="21"/>
        <v>209.88499999999999</v>
      </c>
      <c r="AH32">
        <f t="shared" si="21"/>
        <v>0.91400000000000003</v>
      </c>
      <c r="AI32">
        <f t="shared" si="21"/>
        <v>0.70721357850070721</v>
      </c>
      <c r="AJ32">
        <f t="shared" si="21"/>
        <v>1.4139999999999999</v>
      </c>
      <c r="AK32">
        <f t="shared" si="21"/>
        <v>0.70699999999999996</v>
      </c>
      <c r="AL32">
        <f t="shared" si="21"/>
        <v>0.998</v>
      </c>
      <c r="AM32">
        <v>0.5</v>
      </c>
      <c r="AN32">
        <v>0.8300138576040399</v>
      </c>
      <c r="AO32">
        <v>62.491999999999997</v>
      </c>
      <c r="AQ32">
        <v>73.308000000000007</v>
      </c>
      <c r="AR32">
        <f t="shared" si="22"/>
        <v>0.85245812189665504</v>
      </c>
    </row>
    <row r="33" spans="1:51" x14ac:dyDescent="0.25">
      <c r="B33" t="s">
        <v>81</v>
      </c>
      <c r="C33">
        <v>1233</v>
      </c>
      <c r="D33">
        <v>450</v>
      </c>
      <c r="E33">
        <v>6</v>
      </c>
      <c r="F33" t="s">
        <v>46</v>
      </c>
      <c r="G33" t="s">
        <v>47</v>
      </c>
      <c r="H33">
        <v>4172620</v>
      </c>
      <c r="I33" s="28">
        <f t="shared" si="11"/>
        <v>8345240</v>
      </c>
      <c r="J33" t="b">
        <v>0</v>
      </c>
      <c r="K33" t="s">
        <v>64</v>
      </c>
      <c r="M33" s="3">
        <v>87.525999999999996</v>
      </c>
      <c r="N33">
        <v>73.524000000000001</v>
      </c>
      <c r="O33">
        <v>92.721999999999994</v>
      </c>
      <c r="P33">
        <v>72.63</v>
      </c>
      <c r="Q33">
        <v>5054.2610000000004</v>
      </c>
      <c r="R33" s="28">
        <v>186.73088601794839</v>
      </c>
      <c r="S33">
        <f t="shared" si="12"/>
        <v>40.110113982051608</v>
      </c>
      <c r="T33" s="29">
        <f t="shared" si="13"/>
        <v>71.093325987746567</v>
      </c>
      <c r="U33">
        <v>273.37799999999999</v>
      </c>
      <c r="V33" s="29">
        <v>0.85</v>
      </c>
      <c r="W33" s="30">
        <f>1/1.19</f>
        <v>0.84033613445378152</v>
      </c>
      <c r="X33">
        <f t="shared" si="14"/>
        <v>1.19</v>
      </c>
      <c r="Y33" s="3">
        <v>0.84</v>
      </c>
      <c r="Z33" s="3">
        <v>0.98099999999999998</v>
      </c>
      <c r="AA33">
        <f t="shared" si="15"/>
        <v>87.525999999999996</v>
      </c>
      <c r="AB33">
        <f t="shared" si="16"/>
        <v>73.524000000000001</v>
      </c>
      <c r="AC33">
        <f t="shared" si="17"/>
        <v>92.721999999999994</v>
      </c>
      <c r="AD33">
        <f t="shared" si="18"/>
        <v>72.63</v>
      </c>
      <c r="AE33">
        <f t="shared" si="19"/>
        <v>5054.2610000000004</v>
      </c>
      <c r="AF33" s="30">
        <f t="shared" si="20"/>
        <v>71.093325987746567</v>
      </c>
      <c r="AG33">
        <f t="shared" si="21"/>
        <v>273.37799999999999</v>
      </c>
      <c r="AH33">
        <f t="shared" si="21"/>
        <v>0.85</v>
      </c>
      <c r="AI33">
        <f t="shared" si="21"/>
        <v>0.84033613445378152</v>
      </c>
      <c r="AJ33">
        <f t="shared" si="21"/>
        <v>1.19</v>
      </c>
      <c r="AK33">
        <f t="shared" si="21"/>
        <v>0.84</v>
      </c>
      <c r="AL33">
        <f t="shared" si="21"/>
        <v>0.98099999999999998</v>
      </c>
      <c r="AM33">
        <v>0.5</v>
      </c>
      <c r="AN33">
        <v>0.88440738533884189</v>
      </c>
      <c r="AO33">
        <v>85.337999999999994</v>
      </c>
      <c r="AQ33">
        <v>74.67</v>
      </c>
      <c r="AR33">
        <f t="shared" si="22"/>
        <v>1.1428686219365205</v>
      </c>
    </row>
    <row r="34" spans="1:51" x14ac:dyDescent="0.25">
      <c r="B34" t="s">
        <v>82</v>
      </c>
      <c r="C34">
        <v>1233</v>
      </c>
      <c r="D34">
        <v>500</v>
      </c>
      <c r="E34">
        <v>5</v>
      </c>
      <c r="F34" t="s">
        <v>49</v>
      </c>
      <c r="G34" t="s">
        <v>42</v>
      </c>
      <c r="H34">
        <v>1584100</v>
      </c>
      <c r="I34" s="28">
        <f t="shared" si="11"/>
        <v>3168200</v>
      </c>
      <c r="J34" t="b">
        <v>0</v>
      </c>
      <c r="K34" t="s">
        <v>64</v>
      </c>
      <c r="M34" s="3">
        <v>87.323999999999998</v>
      </c>
      <c r="N34">
        <v>66.87</v>
      </c>
      <c r="O34">
        <v>86.855000000000004</v>
      </c>
      <c r="P34">
        <v>66.367999999999995</v>
      </c>
      <c r="Q34">
        <v>4586.2160000000003</v>
      </c>
      <c r="R34" s="28">
        <v>839.9531749771819</v>
      </c>
      <c r="S34">
        <f t="shared" si="12"/>
        <v>38.207825022818035</v>
      </c>
      <c r="T34" s="29">
        <f t="shared" si="13"/>
        <v>67.721606596417956</v>
      </c>
      <c r="U34">
        <v>245.41499999999999</v>
      </c>
      <c r="V34" s="29">
        <v>0.95699999999999996</v>
      </c>
      <c r="W34" s="30">
        <f>1/1.306</f>
        <v>0.76569678407350683</v>
      </c>
      <c r="X34">
        <f t="shared" si="14"/>
        <v>1.306</v>
      </c>
      <c r="Y34" s="3">
        <v>0.76600000000000001</v>
      </c>
      <c r="Z34" s="3">
        <v>0.998</v>
      </c>
      <c r="AA34">
        <f t="shared" si="15"/>
        <v>87.323999999999998</v>
      </c>
      <c r="AB34">
        <f t="shared" si="16"/>
        <v>66.87</v>
      </c>
      <c r="AC34">
        <f t="shared" si="17"/>
        <v>86.855000000000004</v>
      </c>
      <c r="AD34">
        <f t="shared" si="18"/>
        <v>66.367999999999995</v>
      </c>
      <c r="AE34">
        <f t="shared" si="19"/>
        <v>4586.2160000000003</v>
      </c>
      <c r="AF34" s="30">
        <f t="shared" si="20"/>
        <v>67.721606596417956</v>
      </c>
      <c r="AG34">
        <f t="shared" si="21"/>
        <v>245.41499999999999</v>
      </c>
      <c r="AH34">
        <f t="shared" si="21"/>
        <v>0.95699999999999996</v>
      </c>
      <c r="AI34">
        <f t="shared" si="21"/>
        <v>0.76569678407350683</v>
      </c>
      <c r="AJ34">
        <f t="shared" si="21"/>
        <v>1.306</v>
      </c>
      <c r="AK34">
        <f t="shared" si="21"/>
        <v>0.76600000000000001</v>
      </c>
      <c r="AL34">
        <f t="shared" si="21"/>
        <v>0.998</v>
      </c>
      <c r="AM34">
        <v>0.5</v>
      </c>
      <c r="AN34">
        <v>0.87308487783096789</v>
      </c>
      <c r="AO34">
        <v>77.111000000000004</v>
      </c>
      <c r="AQ34">
        <v>76.471000000000004</v>
      </c>
      <c r="AR34">
        <f t="shared" si="22"/>
        <v>1.0083691857043846</v>
      </c>
    </row>
    <row r="35" spans="1:51" x14ac:dyDescent="0.25">
      <c r="B35" t="s">
        <v>83</v>
      </c>
      <c r="C35">
        <v>1233</v>
      </c>
      <c r="D35">
        <v>500</v>
      </c>
      <c r="E35">
        <v>5</v>
      </c>
      <c r="G35" t="s">
        <v>42</v>
      </c>
      <c r="H35">
        <v>1490267</v>
      </c>
      <c r="I35" s="28">
        <f t="shared" si="11"/>
        <v>2980534</v>
      </c>
      <c r="J35" t="b">
        <v>0</v>
      </c>
      <c r="K35" t="s">
        <v>64</v>
      </c>
      <c r="M35" s="3">
        <v>71.551000000000002</v>
      </c>
      <c r="N35">
        <v>61.152999999999999</v>
      </c>
      <c r="O35">
        <v>73.106999999999999</v>
      </c>
      <c r="P35">
        <v>60.965000000000003</v>
      </c>
      <c r="Q35">
        <v>3436.5929999999998</v>
      </c>
      <c r="R35" s="28">
        <v>344.97381782280911</v>
      </c>
      <c r="S35">
        <f t="shared" si="12"/>
        <v>33.074182177190892</v>
      </c>
      <c r="T35" s="29">
        <f t="shared" si="13"/>
        <v>58.62246156551258</v>
      </c>
      <c r="U35">
        <v>212.46700000000001</v>
      </c>
      <c r="V35" s="29">
        <v>0.95699999999999996</v>
      </c>
      <c r="W35" s="30">
        <f>1/1.17</f>
        <v>0.85470085470085477</v>
      </c>
      <c r="X35">
        <f t="shared" si="14"/>
        <v>1.17</v>
      </c>
      <c r="Y35" s="3">
        <v>0.85499999999999998</v>
      </c>
      <c r="Z35" s="3">
        <v>0.997</v>
      </c>
      <c r="AA35">
        <f t="shared" si="15"/>
        <v>71.551000000000002</v>
      </c>
      <c r="AB35">
        <f t="shared" si="16"/>
        <v>61.152999999999999</v>
      </c>
      <c r="AC35">
        <f t="shared" si="17"/>
        <v>73.106999999999999</v>
      </c>
      <c r="AD35">
        <f t="shared" si="18"/>
        <v>60.965000000000003</v>
      </c>
      <c r="AE35">
        <f t="shared" si="19"/>
        <v>3436.5929999999998</v>
      </c>
      <c r="AF35" s="30">
        <f t="shared" si="20"/>
        <v>58.62246156551258</v>
      </c>
      <c r="AG35">
        <f t="shared" si="21"/>
        <v>212.46700000000001</v>
      </c>
      <c r="AH35">
        <f t="shared" si="21"/>
        <v>0.95699999999999996</v>
      </c>
      <c r="AI35">
        <f t="shared" si="21"/>
        <v>0.85470085470085477</v>
      </c>
      <c r="AJ35">
        <f t="shared" si="21"/>
        <v>1.17</v>
      </c>
      <c r="AK35">
        <f t="shared" si="21"/>
        <v>0.85499999999999998</v>
      </c>
      <c r="AL35">
        <f t="shared" si="21"/>
        <v>0.997</v>
      </c>
      <c r="AM35">
        <v>0.5</v>
      </c>
      <c r="AN35">
        <v>0.93022951821922517</v>
      </c>
      <c r="AO35">
        <v>64.781000000000006</v>
      </c>
      <c r="AQ35">
        <v>69.338999999999999</v>
      </c>
      <c r="AR35">
        <f t="shared" si="22"/>
        <v>0.93426498795771507</v>
      </c>
    </row>
    <row r="36" spans="1:51" x14ac:dyDescent="0.25">
      <c r="B36" t="s">
        <v>84</v>
      </c>
      <c r="C36">
        <v>1233</v>
      </c>
      <c r="D36">
        <v>600</v>
      </c>
      <c r="E36">
        <v>4</v>
      </c>
      <c r="F36" t="s">
        <v>49</v>
      </c>
      <c r="G36" t="s">
        <v>47</v>
      </c>
      <c r="H36">
        <v>282211</v>
      </c>
      <c r="I36" s="28">
        <f t="shared" si="11"/>
        <v>564422</v>
      </c>
      <c r="J36" t="b">
        <v>0</v>
      </c>
      <c r="K36" t="s">
        <v>64</v>
      </c>
      <c r="M36" s="3">
        <v>74.611999999999995</v>
      </c>
      <c r="N36" s="3">
        <v>67.001999999999995</v>
      </c>
      <c r="O36" s="3">
        <v>74.483999999999995</v>
      </c>
      <c r="P36" s="3">
        <v>65.436000000000007</v>
      </c>
      <c r="Q36" s="3">
        <v>3926.3209999999999</v>
      </c>
      <c r="R36" s="28">
        <v>429.76367630507116</v>
      </c>
      <c r="S36">
        <f t="shared" si="12"/>
        <v>35.352323694928842</v>
      </c>
      <c r="T36" s="29">
        <f t="shared" si="13"/>
        <v>62.660362271534943</v>
      </c>
      <c r="U36" s="3">
        <v>224.20400000000001</v>
      </c>
      <c r="V36" s="29">
        <v>0.98199999999999998</v>
      </c>
      <c r="W36" s="30">
        <f>1/1.114</f>
        <v>0.89766606822262107</v>
      </c>
      <c r="X36">
        <f t="shared" si="14"/>
        <v>1.1140000000000001</v>
      </c>
      <c r="Y36" s="3">
        <v>0.89800000000000002</v>
      </c>
      <c r="Z36" s="3">
        <v>0.998</v>
      </c>
      <c r="AA36" s="3">
        <f t="shared" si="15"/>
        <v>74.611999999999995</v>
      </c>
      <c r="AB36" s="3">
        <f t="shared" si="16"/>
        <v>67.001999999999995</v>
      </c>
      <c r="AC36" s="3">
        <f t="shared" si="17"/>
        <v>74.483999999999995</v>
      </c>
      <c r="AD36" s="3">
        <f t="shared" si="18"/>
        <v>65.436000000000007</v>
      </c>
      <c r="AE36" s="3">
        <f t="shared" si="19"/>
        <v>3926.3209999999999</v>
      </c>
      <c r="AF36" s="30">
        <f t="shared" si="20"/>
        <v>62.660362271534943</v>
      </c>
      <c r="AG36" s="3">
        <f t="shared" si="21"/>
        <v>224.20400000000001</v>
      </c>
      <c r="AH36" s="3">
        <f t="shared" si="21"/>
        <v>0.98199999999999998</v>
      </c>
      <c r="AI36" s="3">
        <f t="shared" si="21"/>
        <v>0.89766606822262107</v>
      </c>
      <c r="AJ36">
        <f>1/AI36</f>
        <v>1.1140000000000001</v>
      </c>
      <c r="AK36" s="3">
        <f t="shared" si="21"/>
        <v>0.89800000000000002</v>
      </c>
      <c r="AL36" s="3">
        <f t="shared" si="21"/>
        <v>0.998</v>
      </c>
      <c r="AM36">
        <v>0.5</v>
      </c>
      <c r="AN36">
        <v>0.93547432783360229</v>
      </c>
      <c r="AO36">
        <v>70.795000000000002</v>
      </c>
      <c r="AQ36">
        <v>74.611999999999995</v>
      </c>
      <c r="AR36">
        <f t="shared" si="22"/>
        <v>0.94884200932825824</v>
      </c>
    </row>
    <row r="37" spans="1:51" x14ac:dyDescent="0.25">
      <c r="B37" t="s">
        <v>85</v>
      </c>
      <c r="C37">
        <v>1233</v>
      </c>
      <c r="D37">
        <v>600</v>
      </c>
      <c r="E37">
        <v>4</v>
      </c>
      <c r="G37" t="s">
        <v>47</v>
      </c>
      <c r="H37">
        <v>423405</v>
      </c>
      <c r="I37" s="28">
        <f t="shared" si="11"/>
        <v>846810</v>
      </c>
      <c r="J37" t="b">
        <v>0</v>
      </c>
      <c r="K37" t="s">
        <v>64</v>
      </c>
      <c r="M37" s="3">
        <v>55.545999999999999</v>
      </c>
      <c r="N37">
        <v>49.866</v>
      </c>
      <c r="O37">
        <v>57.372</v>
      </c>
      <c r="P37">
        <v>50.110999999999997</v>
      </c>
      <c r="Q37">
        <v>2175.4380000000001</v>
      </c>
      <c r="R37" s="28">
        <v>267.12130026430293</v>
      </c>
      <c r="S37">
        <f t="shared" si="12"/>
        <v>26.31469973569703</v>
      </c>
      <c r="T37" s="29">
        <f t="shared" si="13"/>
        <v>46.641590881958564</v>
      </c>
      <c r="U37">
        <v>171.53</v>
      </c>
      <c r="V37" s="29">
        <v>0.92900000000000005</v>
      </c>
      <c r="W37" s="30">
        <f>1/1.114</f>
        <v>0.89766606822262107</v>
      </c>
      <c r="X37">
        <f t="shared" si="14"/>
        <v>1.1140000000000001</v>
      </c>
      <c r="Y37" s="3">
        <v>0.89800000000000002</v>
      </c>
      <c r="Z37" s="3">
        <v>0.99099999999999999</v>
      </c>
      <c r="AA37" s="3">
        <f t="shared" si="15"/>
        <v>55.545999999999999</v>
      </c>
      <c r="AB37" s="3">
        <f t="shared" si="16"/>
        <v>49.866</v>
      </c>
      <c r="AC37" s="3">
        <f t="shared" si="17"/>
        <v>57.372</v>
      </c>
      <c r="AD37" s="3">
        <f t="shared" si="18"/>
        <v>50.110999999999997</v>
      </c>
      <c r="AE37" s="3">
        <f t="shared" si="19"/>
        <v>2175.4380000000001</v>
      </c>
      <c r="AF37" s="30">
        <f t="shared" si="20"/>
        <v>46.641590881958564</v>
      </c>
      <c r="AG37" s="3">
        <f t="shared" si="21"/>
        <v>171.53</v>
      </c>
      <c r="AH37" s="3">
        <f t="shared" si="21"/>
        <v>0.92900000000000005</v>
      </c>
      <c r="AI37" s="3">
        <f t="shared" si="21"/>
        <v>0.89766606822262107</v>
      </c>
      <c r="AJ37">
        <f>1/AI37</f>
        <v>1.1140000000000001</v>
      </c>
      <c r="AK37" s="3">
        <f t="shared" si="21"/>
        <v>0.89800000000000002</v>
      </c>
      <c r="AL37" s="3">
        <f t="shared" si="21"/>
        <v>0.99099999999999999</v>
      </c>
      <c r="AM37">
        <v>0.5</v>
      </c>
      <c r="AN37">
        <v>0.95992746472420309</v>
      </c>
      <c r="AO37">
        <v>56.112000000000002</v>
      </c>
      <c r="AQ37">
        <v>53.451999999999998</v>
      </c>
      <c r="AR37">
        <f t="shared" si="22"/>
        <v>1.0497642744892615</v>
      </c>
    </row>
    <row r="38" spans="1:51" x14ac:dyDescent="0.25">
      <c r="B38" t="s">
        <v>86</v>
      </c>
      <c r="C38">
        <v>1233</v>
      </c>
      <c r="D38">
        <v>600</v>
      </c>
      <c r="E38">
        <v>4</v>
      </c>
      <c r="G38" t="s">
        <v>42</v>
      </c>
      <c r="H38">
        <v>299497</v>
      </c>
      <c r="I38" s="28">
        <f t="shared" si="11"/>
        <v>598994</v>
      </c>
      <c r="J38" t="b">
        <v>0</v>
      </c>
      <c r="K38" t="s">
        <v>64</v>
      </c>
      <c r="M38" s="3">
        <v>67.222999999999999</v>
      </c>
      <c r="N38">
        <v>64.887</v>
      </c>
      <c r="O38">
        <v>67.221999999999994</v>
      </c>
      <c r="P38">
        <v>64.888999999999996</v>
      </c>
      <c r="Q38">
        <v>3425.877</v>
      </c>
      <c r="R38" s="28">
        <v>384.95442411698218</v>
      </c>
      <c r="S38">
        <f t="shared" si="12"/>
        <v>33.022575883017765</v>
      </c>
      <c r="T38" s="29">
        <f t="shared" si="13"/>
        <v>58.530991790674449</v>
      </c>
      <c r="U38">
        <v>207.536</v>
      </c>
      <c r="V38" s="29">
        <v>1</v>
      </c>
      <c r="W38" s="30">
        <f>1/1.036</f>
        <v>0.96525096525096521</v>
      </c>
      <c r="X38">
        <f t="shared" si="14"/>
        <v>1.036</v>
      </c>
      <c r="Y38" s="3">
        <v>0.96499999999999997</v>
      </c>
      <c r="Z38" s="3">
        <v>1</v>
      </c>
      <c r="AA38" s="3">
        <f t="shared" si="15"/>
        <v>67.222999999999999</v>
      </c>
      <c r="AB38" s="3">
        <f t="shared" si="16"/>
        <v>64.887</v>
      </c>
      <c r="AC38" s="3">
        <f t="shared" si="17"/>
        <v>67.221999999999994</v>
      </c>
      <c r="AD38" s="3">
        <f t="shared" si="18"/>
        <v>64.888999999999996</v>
      </c>
      <c r="AE38" s="3">
        <f t="shared" si="19"/>
        <v>3425.877</v>
      </c>
      <c r="AF38" s="30">
        <f t="shared" si="20"/>
        <v>58.530991790674449</v>
      </c>
      <c r="AG38" s="3">
        <f t="shared" si="21"/>
        <v>207.536</v>
      </c>
      <c r="AH38" s="3">
        <f t="shared" si="21"/>
        <v>1</v>
      </c>
      <c r="AI38" s="3">
        <f t="shared" si="21"/>
        <v>0.96525096525096521</v>
      </c>
      <c r="AJ38">
        <f>1/AI38</f>
        <v>1.036</v>
      </c>
      <c r="AK38" s="3">
        <f t="shared" si="21"/>
        <v>0.96499999999999997</v>
      </c>
      <c r="AL38" s="3">
        <f t="shared" si="21"/>
        <v>1</v>
      </c>
      <c r="AM38">
        <v>0.5</v>
      </c>
      <c r="AN38">
        <v>0.98046735774312344</v>
      </c>
      <c r="AO38">
        <v>65.17</v>
      </c>
      <c r="AQ38">
        <v>66.674000000000007</v>
      </c>
      <c r="AR38">
        <f t="shared" si="22"/>
        <v>0.97744248132705391</v>
      </c>
    </row>
    <row r="39" spans="1:51" x14ac:dyDescent="0.25">
      <c r="B39" t="s">
        <v>87</v>
      </c>
      <c r="C39">
        <v>1233</v>
      </c>
      <c r="D39">
        <v>450</v>
      </c>
      <c r="E39">
        <v>6</v>
      </c>
      <c r="F39" t="s">
        <v>46</v>
      </c>
      <c r="G39" t="s">
        <v>47</v>
      </c>
      <c r="H39">
        <v>8365619</v>
      </c>
      <c r="I39" s="28">
        <f t="shared" si="11"/>
        <v>16731238</v>
      </c>
      <c r="J39" t="b">
        <v>0</v>
      </c>
      <c r="K39" t="s">
        <v>64</v>
      </c>
      <c r="M39" s="3">
        <v>82.575000000000003</v>
      </c>
      <c r="N39">
        <v>69.739999999999995</v>
      </c>
      <c r="O39">
        <v>81.566000000000003</v>
      </c>
      <c r="P39">
        <v>68.933000000000007</v>
      </c>
      <c r="Q39">
        <v>4522.9139999999998</v>
      </c>
      <c r="R39" s="28">
        <v>87.450776091651448</v>
      </c>
      <c r="S39">
        <f t="shared" si="12"/>
        <v>37.943223908348557</v>
      </c>
      <c r="T39" s="29">
        <f t="shared" si="13"/>
        <v>67.252613332122635</v>
      </c>
      <c r="U39">
        <v>241.59700000000001</v>
      </c>
      <c r="V39" s="29">
        <v>0.97399999999999998</v>
      </c>
      <c r="W39" s="30">
        <f>1/1.184</f>
        <v>0.84459459459459463</v>
      </c>
      <c r="X39">
        <f t="shared" si="14"/>
        <v>1.1839999999999999</v>
      </c>
      <c r="Y39" s="3">
        <v>0.84499999999999997</v>
      </c>
      <c r="Z39" s="3">
        <v>0.999</v>
      </c>
      <c r="AA39" s="3">
        <f t="shared" si="15"/>
        <v>82.575000000000003</v>
      </c>
      <c r="AB39" s="3">
        <f t="shared" si="16"/>
        <v>69.739999999999995</v>
      </c>
      <c r="AC39" s="3">
        <f t="shared" si="17"/>
        <v>81.566000000000003</v>
      </c>
      <c r="AD39" s="3">
        <f t="shared" si="18"/>
        <v>68.933000000000007</v>
      </c>
      <c r="AE39" s="3">
        <f t="shared" si="19"/>
        <v>4522.9139999999998</v>
      </c>
      <c r="AF39" s="30">
        <f t="shared" si="20"/>
        <v>67.252613332122635</v>
      </c>
      <c r="AG39" s="3">
        <f t="shared" si="21"/>
        <v>241.59700000000001</v>
      </c>
      <c r="AH39" s="3">
        <f t="shared" si="21"/>
        <v>0.97399999999999998</v>
      </c>
      <c r="AI39" s="3">
        <f t="shared" si="21"/>
        <v>0.84459459459459463</v>
      </c>
      <c r="AJ39">
        <f>1/AI39</f>
        <v>1.1839999999999999</v>
      </c>
      <c r="AK39" s="3">
        <f t="shared" si="21"/>
        <v>0.84499999999999997</v>
      </c>
      <c r="AL39" s="3">
        <f t="shared" si="21"/>
        <v>0.999</v>
      </c>
      <c r="AM39">
        <v>0.5</v>
      </c>
      <c r="AN39">
        <v>0.9105349282336106</v>
      </c>
      <c r="AO39">
        <v>79.593000000000004</v>
      </c>
      <c r="AQ39">
        <v>75.111999999999995</v>
      </c>
      <c r="AR39">
        <f t="shared" si="22"/>
        <v>1.0596575780168282</v>
      </c>
    </row>
    <row r="40" spans="1:51" x14ac:dyDescent="0.25">
      <c r="B40" t="s">
        <v>88</v>
      </c>
      <c r="C40">
        <v>1233</v>
      </c>
      <c r="D40">
        <v>500</v>
      </c>
      <c r="E40">
        <v>5</v>
      </c>
      <c r="F40" t="s">
        <v>49</v>
      </c>
      <c r="G40" t="s">
        <v>47</v>
      </c>
      <c r="H40">
        <v>1858496</v>
      </c>
      <c r="I40" s="28">
        <f t="shared" si="11"/>
        <v>3716992</v>
      </c>
      <c r="J40" t="s">
        <v>55</v>
      </c>
      <c r="K40" t="s">
        <v>64</v>
      </c>
      <c r="M40" s="3">
        <v>57.622999999999998</v>
      </c>
      <c r="N40">
        <v>37.462000000000003</v>
      </c>
      <c r="O40">
        <v>56.963000000000001</v>
      </c>
      <c r="P40">
        <v>35.959000000000003</v>
      </c>
      <c r="Q40">
        <v>1695.43</v>
      </c>
      <c r="R40" s="28">
        <v>5</v>
      </c>
      <c r="S40">
        <f t="shared" si="12"/>
        <v>23.230844374076984</v>
      </c>
      <c r="T40" s="29">
        <f t="shared" si="13"/>
        <v>41.175599570619489</v>
      </c>
      <c r="U40">
        <v>156.03800000000001</v>
      </c>
      <c r="V40" s="29">
        <v>0.875</v>
      </c>
      <c r="W40" s="30">
        <f>1/1.538</f>
        <v>0.65019505851755521</v>
      </c>
      <c r="X40">
        <f t="shared" si="14"/>
        <v>1.538</v>
      </c>
      <c r="Y40" s="3">
        <v>0.65</v>
      </c>
      <c r="Z40" s="3">
        <v>0.99099999999999999</v>
      </c>
      <c r="AA40">
        <f t="shared" si="15"/>
        <v>57.622999999999998</v>
      </c>
      <c r="AB40">
        <f t="shared" si="16"/>
        <v>37.462000000000003</v>
      </c>
      <c r="AC40">
        <f t="shared" si="17"/>
        <v>56.963000000000001</v>
      </c>
      <c r="AD40">
        <f t="shared" si="18"/>
        <v>35.959000000000003</v>
      </c>
      <c r="AE40">
        <f t="shared" si="19"/>
        <v>1695.43</v>
      </c>
      <c r="AF40" s="30">
        <f t="shared" si="20"/>
        <v>41.175599570619489</v>
      </c>
      <c r="AG40">
        <f t="shared" si="21"/>
        <v>156.03800000000001</v>
      </c>
      <c r="AH40">
        <f t="shared" si="21"/>
        <v>0.875</v>
      </c>
      <c r="AI40">
        <f t="shared" si="21"/>
        <v>0.65019505851755521</v>
      </c>
      <c r="AJ40">
        <f>X40</f>
        <v>1.538</v>
      </c>
      <c r="AK40">
        <f t="shared" si="21"/>
        <v>0.65</v>
      </c>
      <c r="AL40">
        <f t="shared" si="21"/>
        <v>0.99099999999999999</v>
      </c>
      <c r="AM40">
        <v>0.65</v>
      </c>
      <c r="AN40">
        <v>0.8003085898804676</v>
      </c>
      <c r="AO40">
        <v>54.308</v>
      </c>
      <c r="AP40">
        <v>40.283999999999999</v>
      </c>
      <c r="AQ40">
        <v>34.743000000000002</v>
      </c>
      <c r="AR40">
        <f t="shared" si="22"/>
        <v>1.5631350200040295</v>
      </c>
      <c r="AS40">
        <f>AQ40/(AP40*0.5)</f>
        <v>1.7249031873696754</v>
      </c>
      <c r="AT40">
        <f>T40*SQRT(AS40)</f>
        <v>54.078208281729978</v>
      </c>
      <c r="AU40">
        <f>AT40+R40</f>
        <v>59.078208281729978</v>
      </c>
      <c r="AV40">
        <f>1+1.464*(AS40^1.65)</f>
        <v>4.5991742453238817</v>
      </c>
      <c r="AW40">
        <f>AU40/AV40</f>
        <v>12.845394657920727</v>
      </c>
    </row>
    <row r="41" spans="1:51" x14ac:dyDescent="0.25">
      <c r="B41" t="s">
        <v>89</v>
      </c>
      <c r="C41">
        <v>1233</v>
      </c>
      <c r="D41">
        <v>500</v>
      </c>
      <c r="E41">
        <v>5</v>
      </c>
      <c r="F41" t="s">
        <v>49</v>
      </c>
      <c r="G41" t="s">
        <v>42</v>
      </c>
      <c r="H41">
        <v>643314</v>
      </c>
      <c r="I41" s="28">
        <f t="shared" si="11"/>
        <v>1286628</v>
      </c>
      <c r="J41" t="s">
        <v>55</v>
      </c>
      <c r="K41" t="s">
        <v>64</v>
      </c>
      <c r="M41" s="3">
        <v>64.724000000000004</v>
      </c>
      <c r="N41">
        <v>49.38</v>
      </c>
      <c r="O41">
        <v>66.953000000000003</v>
      </c>
      <c r="P41">
        <v>51.390999999999998</v>
      </c>
      <c r="Q41">
        <v>2510.1880000000001</v>
      </c>
      <c r="R41" s="28">
        <v>5</v>
      </c>
      <c r="S41">
        <f t="shared" si="12"/>
        <v>28.266900370927075</v>
      </c>
      <c r="T41" s="29">
        <f t="shared" si="13"/>
        <v>50.10177641561225</v>
      </c>
      <c r="U41">
        <v>189.76900000000001</v>
      </c>
      <c r="V41" s="29">
        <v>0.876</v>
      </c>
      <c r="W41" s="30">
        <f>1/1.311</f>
        <v>0.76277650648360029</v>
      </c>
      <c r="X41">
        <f t="shared" si="14"/>
        <v>1.3109999999999999</v>
      </c>
      <c r="Y41" s="3">
        <v>0.76300000000000001</v>
      </c>
      <c r="Z41" s="3">
        <v>0.97299999999999998</v>
      </c>
      <c r="AA41">
        <v>68.852999999999994</v>
      </c>
      <c r="AB41">
        <v>59.731999999999999</v>
      </c>
      <c r="AC41">
        <v>74.879000000000005</v>
      </c>
      <c r="AD41">
        <v>58.427</v>
      </c>
      <c r="AE41">
        <v>3230.1480000000001</v>
      </c>
      <c r="AF41" s="30">
        <f t="shared" si="20"/>
        <v>56.834390997001101</v>
      </c>
      <c r="AG41">
        <v>218.52600000000001</v>
      </c>
      <c r="AH41">
        <v>0.85</v>
      </c>
      <c r="AI41">
        <f>1/1.153</f>
        <v>0.86730268863833471</v>
      </c>
      <c r="AJ41">
        <f>1/AI41</f>
        <v>1.153</v>
      </c>
      <c r="AK41">
        <v>0.86799999999999999</v>
      </c>
      <c r="AL41">
        <v>0.98699999999999999</v>
      </c>
      <c r="AM41">
        <v>0.65</v>
      </c>
      <c r="AN41">
        <v>0.86833615053750224</v>
      </c>
      <c r="AO41">
        <v>64.67</v>
      </c>
      <c r="AQ41">
        <v>50.905999999999999</v>
      </c>
      <c r="AR41">
        <f t="shared" si="22"/>
        <v>1.2703807016854596</v>
      </c>
    </row>
    <row r="42" spans="1:51" x14ac:dyDescent="0.25">
      <c r="B42" t="s">
        <v>90</v>
      </c>
      <c r="C42">
        <v>1233</v>
      </c>
      <c r="D42">
        <v>600</v>
      </c>
      <c r="E42">
        <v>4</v>
      </c>
      <c r="G42" t="s">
        <v>47</v>
      </c>
      <c r="H42">
        <v>79110</v>
      </c>
      <c r="I42" s="28">
        <f t="shared" si="11"/>
        <v>158220</v>
      </c>
      <c r="J42" t="s">
        <v>55</v>
      </c>
      <c r="K42" t="s">
        <v>64</v>
      </c>
      <c r="M42" s="3">
        <v>47.093000000000004</v>
      </c>
      <c r="N42">
        <v>24.093</v>
      </c>
      <c r="O42">
        <v>49.463999999999999</v>
      </c>
      <c r="P42">
        <v>25.603000000000002</v>
      </c>
      <c r="Q42">
        <v>901.92</v>
      </c>
      <c r="R42" s="28">
        <v>5</v>
      </c>
      <c r="S42">
        <f t="shared" si="12"/>
        <v>16.943731954527742</v>
      </c>
      <c r="T42" s="29">
        <f t="shared" si="13"/>
        <v>30.031982951513541</v>
      </c>
      <c r="U42">
        <v>127.244</v>
      </c>
      <c r="V42" s="29">
        <v>0.7</v>
      </c>
      <c r="W42" s="30">
        <f>1/1.931</f>
        <v>0.51786639047125838</v>
      </c>
      <c r="X42">
        <f t="shared" si="14"/>
        <v>1.931</v>
      </c>
      <c r="Y42" s="3">
        <v>0.51800000000000002</v>
      </c>
      <c r="Z42" s="3">
        <v>0.93899999999999995</v>
      </c>
      <c r="AA42">
        <v>50.904000000000003</v>
      </c>
      <c r="AB42">
        <v>32.853999999999999</v>
      </c>
      <c r="AC42">
        <v>52.066000000000003</v>
      </c>
      <c r="AD42">
        <v>31.466000000000001</v>
      </c>
      <c r="AE42">
        <v>1313.499</v>
      </c>
      <c r="AF42" s="30">
        <f t="shared" si="20"/>
        <v>36.242226752781072</v>
      </c>
      <c r="AG42">
        <v>143.53399999999999</v>
      </c>
      <c r="AH42">
        <v>0.80100000000000005</v>
      </c>
      <c r="AI42">
        <f>1/1.549</f>
        <v>0.64557779212395094</v>
      </c>
      <c r="AJ42">
        <f>1/AI42</f>
        <v>1.5489999999999999</v>
      </c>
      <c r="AK42">
        <v>0.64500000000000002</v>
      </c>
      <c r="AL42">
        <v>0.995</v>
      </c>
      <c r="AM42">
        <v>0.65</v>
      </c>
      <c r="AN42">
        <v>0.73948468777148435</v>
      </c>
      <c r="AO42">
        <v>50.563000000000002</v>
      </c>
      <c r="AQ42">
        <v>26.294</v>
      </c>
      <c r="AR42">
        <f t="shared" si="22"/>
        <v>1.9229862326005933</v>
      </c>
    </row>
    <row r="43" spans="1:51" x14ac:dyDescent="0.25">
      <c r="B43" t="s">
        <v>91</v>
      </c>
      <c r="C43">
        <v>1233</v>
      </c>
      <c r="D43">
        <v>450</v>
      </c>
      <c r="E43">
        <v>6</v>
      </c>
      <c r="F43" t="s">
        <v>46</v>
      </c>
      <c r="G43" t="s">
        <v>47</v>
      </c>
      <c r="H43">
        <v>5830810</v>
      </c>
      <c r="J43" t="b">
        <v>0</v>
      </c>
      <c r="R43" s="28">
        <v>0</v>
      </c>
      <c r="AN43" t="e">
        <v>#DIV/0!</v>
      </c>
    </row>
    <row r="44" spans="1:51" s="6" customFormat="1" x14ac:dyDescent="0.25">
      <c r="A44" s="6" t="s">
        <v>92</v>
      </c>
      <c r="B44" s="6" t="s">
        <v>93</v>
      </c>
      <c r="C44" s="6">
        <v>1189</v>
      </c>
      <c r="D44" s="6">
        <v>450</v>
      </c>
      <c r="E44" s="6">
        <v>6</v>
      </c>
      <c r="F44" s="6" t="s">
        <v>46</v>
      </c>
      <c r="G44" s="6" t="s">
        <v>47</v>
      </c>
      <c r="H44" s="6">
        <v>2518329</v>
      </c>
      <c r="I44" s="39">
        <f t="shared" ref="I44:I107" si="23">H44*2</f>
        <v>5036658</v>
      </c>
      <c r="J44" s="6" t="b">
        <v>0</v>
      </c>
      <c r="K44" s="6" t="s">
        <v>43</v>
      </c>
      <c r="M44" s="15">
        <v>126.51</v>
      </c>
      <c r="N44" s="6">
        <v>60.591000000000001</v>
      </c>
      <c r="O44" s="6">
        <v>169.49100000000001</v>
      </c>
      <c r="P44" s="6">
        <v>89.549000000000007</v>
      </c>
      <c r="Q44" s="6">
        <v>6020.393</v>
      </c>
      <c r="R44" s="39">
        <v>487.35385797478619</v>
      </c>
      <c r="S44" s="6">
        <f t="shared" ref="S44:S107" si="24">SQRT(Q44/PI())</f>
        <v>43.776142025213801</v>
      </c>
      <c r="T44" s="40">
        <f t="shared" ref="T44:T107" si="25">SQRT(Q44)</f>
        <v>77.591191510377001</v>
      </c>
      <c r="U44" s="6">
        <v>615.29300000000001</v>
      </c>
      <c r="V44" s="40">
        <v>0.2</v>
      </c>
      <c r="W44" s="41">
        <f>1/2.088</f>
        <v>0.47892720306513409</v>
      </c>
      <c r="X44" s="6">
        <f t="shared" ref="X44:X80" si="26">1/W44</f>
        <v>2.0880000000000001</v>
      </c>
      <c r="Y44" s="15">
        <v>0.47899999999999998</v>
      </c>
      <c r="Z44" s="15">
        <v>0.57699999999999996</v>
      </c>
      <c r="AA44" s="6">
        <v>158.958</v>
      </c>
      <c r="AB44" s="6">
        <v>83.067999999999998</v>
      </c>
      <c r="AC44" s="6">
        <v>169.881</v>
      </c>
      <c r="AD44" s="6">
        <v>89.245999999999995</v>
      </c>
      <c r="AE44" s="6">
        <v>10370.572</v>
      </c>
      <c r="AF44" s="41">
        <f t="shared" ref="AF44:AF90" si="27">SQRT(AE44)</f>
        <v>101.83600542047985</v>
      </c>
      <c r="AG44" s="6">
        <v>423.197</v>
      </c>
      <c r="AH44" s="6">
        <v>0.72799999999999998</v>
      </c>
      <c r="AI44" s="6">
        <f>1/1.914</f>
        <v>0.52246603970741901</v>
      </c>
      <c r="AJ44" s="6">
        <f t="shared" ref="AJ44:AJ80" si="28">1/AI44</f>
        <v>1.9140000000000001</v>
      </c>
      <c r="AK44" s="6">
        <v>0.52300000000000002</v>
      </c>
      <c r="AL44" s="6">
        <v>0.99</v>
      </c>
      <c r="AM44" s="6">
        <v>0.5</v>
      </c>
      <c r="AN44" s="6">
        <v>0.67490211829529401</v>
      </c>
      <c r="AO44" s="6">
        <v>171.42099999999999</v>
      </c>
      <c r="AQ44" s="6">
        <v>103.611</v>
      </c>
      <c r="AR44" s="6">
        <f t="shared" ref="AR44:AR107" si="29">AO44/AQ44</f>
        <v>1.654467189777147</v>
      </c>
      <c r="AY44"/>
    </row>
    <row r="45" spans="1:51" x14ac:dyDescent="0.25">
      <c r="B45" t="s">
        <v>94</v>
      </c>
      <c r="C45">
        <v>1189</v>
      </c>
      <c r="D45">
        <v>500</v>
      </c>
      <c r="E45">
        <v>5</v>
      </c>
      <c r="F45" t="s">
        <v>49</v>
      </c>
      <c r="G45" t="s">
        <v>47</v>
      </c>
      <c r="H45">
        <v>715769</v>
      </c>
      <c r="I45" s="28">
        <f t="shared" si="23"/>
        <v>1431538</v>
      </c>
      <c r="J45" t="b">
        <v>0</v>
      </c>
      <c r="K45" t="s">
        <v>43</v>
      </c>
      <c r="M45" s="3">
        <v>170.80199999999999</v>
      </c>
      <c r="N45">
        <v>61.506999999999998</v>
      </c>
      <c r="O45">
        <v>182</v>
      </c>
      <c r="P45">
        <v>79.707999999999998</v>
      </c>
      <c r="Q45">
        <v>8251.0079999999998</v>
      </c>
      <c r="R45" s="28">
        <v>378.34180571589326</v>
      </c>
      <c r="S45">
        <f t="shared" si="24"/>
        <v>51.248194284106695</v>
      </c>
      <c r="T45" s="29">
        <f t="shared" si="25"/>
        <v>90.835059310818963</v>
      </c>
      <c r="U45">
        <v>727.23299999999995</v>
      </c>
      <c r="V45" s="29">
        <v>0.19600000000000001</v>
      </c>
      <c r="W45" s="30">
        <f>1/2.777</f>
        <v>0.36010082823190492</v>
      </c>
      <c r="X45">
        <f t="shared" si="26"/>
        <v>2.7770000000000001</v>
      </c>
      <c r="Y45" s="3">
        <v>0.36</v>
      </c>
      <c r="Z45" s="3">
        <v>0.67600000000000005</v>
      </c>
      <c r="AA45">
        <v>184.85499999999999</v>
      </c>
      <c r="AB45">
        <v>83.23</v>
      </c>
      <c r="AC45">
        <v>179.05600000000001</v>
      </c>
      <c r="AD45">
        <v>81.703000000000003</v>
      </c>
      <c r="AE45">
        <v>12083.706</v>
      </c>
      <c r="AF45" s="30">
        <f t="shared" si="27"/>
        <v>109.92591141309677</v>
      </c>
      <c r="AG45">
        <v>450.25599999999997</v>
      </c>
      <c r="AH45">
        <v>0.749</v>
      </c>
      <c r="AI45">
        <f>1/2.221</f>
        <v>0.45024763619990993</v>
      </c>
      <c r="AJ45">
        <f t="shared" si="28"/>
        <v>2.2210000000000001</v>
      </c>
      <c r="AK45">
        <v>0.45</v>
      </c>
      <c r="AL45">
        <v>0.98199999999999998</v>
      </c>
      <c r="AM45">
        <v>0.5</v>
      </c>
      <c r="AN45">
        <v>0.62506713066480823</v>
      </c>
      <c r="AO45">
        <v>182.065</v>
      </c>
      <c r="AQ45">
        <v>86.634</v>
      </c>
      <c r="AR45">
        <f t="shared" si="29"/>
        <v>2.101542119722049</v>
      </c>
    </row>
    <row r="46" spans="1:51" x14ac:dyDescent="0.25">
      <c r="B46" t="s">
        <v>95</v>
      </c>
      <c r="C46">
        <v>1189</v>
      </c>
      <c r="D46">
        <v>500</v>
      </c>
      <c r="E46">
        <v>5</v>
      </c>
      <c r="G46" t="s">
        <v>42</v>
      </c>
      <c r="H46">
        <v>607174</v>
      </c>
      <c r="I46" s="28">
        <f t="shared" si="23"/>
        <v>1214348</v>
      </c>
      <c r="J46" t="b">
        <v>0</v>
      </c>
      <c r="K46" t="s">
        <v>43</v>
      </c>
      <c r="M46" s="3">
        <v>92.141999999999996</v>
      </c>
      <c r="N46">
        <v>67.775999999999996</v>
      </c>
      <c r="O46">
        <v>120.027</v>
      </c>
      <c r="P46">
        <v>86.022000000000006</v>
      </c>
      <c r="Q46">
        <v>4904.8270000000002</v>
      </c>
      <c r="R46" s="28">
        <v>198.27528148910551</v>
      </c>
      <c r="S46">
        <f t="shared" si="24"/>
        <v>39.512718510894487</v>
      </c>
      <c r="T46" s="29">
        <f t="shared" si="25"/>
        <v>70.034470084380587</v>
      </c>
      <c r="U46">
        <v>360.17500000000001</v>
      </c>
      <c r="V46" s="29">
        <v>0.47499999999999998</v>
      </c>
      <c r="W46" s="30">
        <f>1/1.359</f>
        <v>0.73583517292126566</v>
      </c>
      <c r="X46">
        <f t="shared" si="26"/>
        <v>1.359</v>
      </c>
      <c r="Y46" s="3">
        <v>0.73599999999999999</v>
      </c>
      <c r="Z46" s="3">
        <v>0.77300000000000002</v>
      </c>
      <c r="AA46">
        <v>103.791</v>
      </c>
      <c r="AB46">
        <v>77.444000000000003</v>
      </c>
      <c r="AC46">
        <v>119.111</v>
      </c>
      <c r="AD46">
        <v>86.792000000000002</v>
      </c>
      <c r="AE46">
        <v>6313.0479999999998</v>
      </c>
      <c r="AF46" s="30">
        <f t="shared" si="27"/>
        <v>79.454691491440585</v>
      </c>
      <c r="AG46">
        <v>327.90100000000001</v>
      </c>
      <c r="AH46">
        <v>0.73799999999999999</v>
      </c>
      <c r="AI46">
        <f>1/1.34</f>
        <v>0.74626865671641784</v>
      </c>
      <c r="AJ46">
        <f t="shared" si="28"/>
        <v>1.34</v>
      </c>
      <c r="AK46">
        <v>0.746</v>
      </c>
      <c r="AL46">
        <v>1</v>
      </c>
      <c r="AM46">
        <v>0.5</v>
      </c>
      <c r="AN46">
        <v>0.80461323682343022</v>
      </c>
      <c r="AO46">
        <v>91.111000000000004</v>
      </c>
      <c r="AQ46">
        <v>114.38</v>
      </c>
      <c r="AR46">
        <f t="shared" si="29"/>
        <v>0.79656408463018014</v>
      </c>
    </row>
    <row r="47" spans="1:51" x14ac:dyDescent="0.25">
      <c r="B47" t="s">
        <v>96</v>
      </c>
      <c r="C47">
        <v>1189</v>
      </c>
      <c r="D47">
        <v>600</v>
      </c>
      <c r="E47">
        <v>4</v>
      </c>
      <c r="G47" t="s">
        <v>47</v>
      </c>
      <c r="H47">
        <v>224671</v>
      </c>
      <c r="I47" s="28">
        <f t="shared" si="23"/>
        <v>449342</v>
      </c>
      <c r="J47" t="b">
        <v>0</v>
      </c>
      <c r="K47" t="s">
        <v>43</v>
      </c>
      <c r="M47" s="3">
        <v>208.54499999999999</v>
      </c>
      <c r="N47">
        <v>29.872</v>
      </c>
      <c r="O47">
        <v>45</v>
      </c>
      <c r="P47">
        <v>40.08</v>
      </c>
      <c r="Q47">
        <v>4892.8050000000003</v>
      </c>
      <c r="R47" s="28">
        <v>583.20673511809093</v>
      </c>
      <c r="S47">
        <f t="shared" si="24"/>
        <v>39.464264881909074</v>
      </c>
      <c r="T47" s="29">
        <f t="shared" si="25"/>
        <v>69.948588263095061</v>
      </c>
      <c r="U47">
        <v>572.86699999999996</v>
      </c>
      <c r="V47" s="29">
        <v>0.187</v>
      </c>
      <c r="W47" s="30">
        <f>1/6.981</f>
        <v>0.14324595330181922</v>
      </c>
      <c r="X47">
        <f t="shared" si="26"/>
        <v>6.9809999999999999</v>
      </c>
      <c r="Y47" s="3">
        <v>0.14299999999999999</v>
      </c>
      <c r="Z47" s="3">
        <v>0.65400000000000003</v>
      </c>
      <c r="AA47">
        <v>236.709</v>
      </c>
      <c r="AB47">
        <v>40.140999999999998</v>
      </c>
      <c r="AC47">
        <v>229.73500000000001</v>
      </c>
      <c r="AD47">
        <v>41.561</v>
      </c>
      <c r="AE47">
        <v>7462.7110000000002</v>
      </c>
      <c r="AF47" s="30">
        <f t="shared" si="27"/>
        <v>86.386983973281531</v>
      </c>
      <c r="AG47">
        <v>495.09699999999998</v>
      </c>
      <c r="AH47">
        <v>0.38300000000000001</v>
      </c>
      <c r="AI47">
        <f>1/5.897</f>
        <v>0.16957775139901643</v>
      </c>
      <c r="AJ47">
        <f t="shared" si="28"/>
        <v>5.8970000000000002</v>
      </c>
      <c r="AK47">
        <v>0.17</v>
      </c>
      <c r="AL47">
        <v>1</v>
      </c>
      <c r="AM47">
        <v>0.5</v>
      </c>
      <c r="AN47">
        <v>0.43418730693186963</v>
      </c>
      <c r="AO47">
        <v>192.44200000000001</v>
      </c>
      <c r="AQ47">
        <v>140.9</v>
      </c>
      <c r="AR47">
        <f t="shared" si="29"/>
        <v>1.3658055358410219</v>
      </c>
    </row>
    <row r="48" spans="1:51" x14ac:dyDescent="0.25">
      <c r="B48" t="s">
        <v>97</v>
      </c>
      <c r="C48">
        <v>1189</v>
      </c>
      <c r="D48">
        <v>500</v>
      </c>
      <c r="E48">
        <v>5</v>
      </c>
      <c r="G48" t="s">
        <v>42</v>
      </c>
      <c r="H48">
        <v>143298</v>
      </c>
      <c r="I48" s="28">
        <f t="shared" si="23"/>
        <v>286596</v>
      </c>
      <c r="J48" t="b">
        <v>0</v>
      </c>
      <c r="K48" t="s">
        <v>43</v>
      </c>
      <c r="M48" s="3">
        <v>222.53800000000001</v>
      </c>
      <c r="N48">
        <v>120.854</v>
      </c>
      <c r="O48">
        <v>258.28399999999999</v>
      </c>
      <c r="P48">
        <v>159.71199999999999</v>
      </c>
      <c r="Q48">
        <v>21123.075000000001</v>
      </c>
      <c r="R48" s="28">
        <v>814.88692929646652</v>
      </c>
      <c r="S48">
        <f t="shared" si="24"/>
        <v>81.998070703533472</v>
      </c>
      <c r="T48" s="29">
        <f t="shared" si="25"/>
        <v>145.33779618530068</v>
      </c>
      <c r="U48">
        <v>960.97799999999995</v>
      </c>
      <c r="V48" s="29">
        <v>0.28699999999999998</v>
      </c>
      <c r="W48" s="30">
        <f>1/1.841</f>
        <v>0.54318305268875611</v>
      </c>
      <c r="X48">
        <f t="shared" si="26"/>
        <v>1.841</v>
      </c>
      <c r="Y48" s="3">
        <v>0.54300000000000004</v>
      </c>
      <c r="Z48" s="3">
        <v>0.68500000000000005</v>
      </c>
      <c r="AA48">
        <v>243.25200000000001</v>
      </c>
      <c r="AB48">
        <v>182.66300000000001</v>
      </c>
      <c r="AC48">
        <v>257.202</v>
      </c>
      <c r="AD48">
        <v>188.70599999999999</v>
      </c>
      <c r="AE48">
        <v>34897.671999999999</v>
      </c>
      <c r="AF48" s="30">
        <f t="shared" si="27"/>
        <v>186.8091860696363</v>
      </c>
      <c r="AG48">
        <v>707.10900000000004</v>
      </c>
      <c r="AH48">
        <v>0.877</v>
      </c>
      <c r="AI48">
        <v>1.3320000000000001</v>
      </c>
      <c r="AJ48">
        <f t="shared" si="28"/>
        <v>0.75075075075075071</v>
      </c>
      <c r="AK48">
        <v>0.751</v>
      </c>
      <c r="AL48">
        <v>1</v>
      </c>
      <c r="AM48">
        <v>0.5</v>
      </c>
      <c r="AN48">
        <v>0.6641255279964895</v>
      </c>
      <c r="AO48">
        <v>196.071</v>
      </c>
      <c r="AQ48">
        <v>254.65299999999999</v>
      </c>
      <c r="AR48">
        <f t="shared" si="29"/>
        <v>0.76995362316564109</v>
      </c>
    </row>
    <row r="49" spans="1:51" x14ac:dyDescent="0.25">
      <c r="B49" t="s">
        <v>98</v>
      </c>
      <c r="C49">
        <v>1189</v>
      </c>
      <c r="D49">
        <v>600</v>
      </c>
      <c r="E49">
        <v>4</v>
      </c>
      <c r="G49" t="s">
        <v>42</v>
      </c>
      <c r="H49">
        <v>73284</v>
      </c>
      <c r="I49" s="28">
        <f t="shared" si="23"/>
        <v>146568</v>
      </c>
      <c r="J49" t="b">
        <v>0</v>
      </c>
      <c r="K49" t="s">
        <v>43</v>
      </c>
      <c r="M49" s="3">
        <v>234.98699999999999</v>
      </c>
      <c r="N49">
        <v>87.388000000000005</v>
      </c>
      <c r="O49">
        <v>367.09500000000003</v>
      </c>
      <c r="P49">
        <v>162.48099999999999</v>
      </c>
      <c r="Q49">
        <v>16128.147000000001</v>
      </c>
      <c r="R49" s="28">
        <v>681.68281761415085</v>
      </c>
      <c r="S49">
        <f t="shared" si="24"/>
        <v>71.650182385849135</v>
      </c>
      <c r="T49" s="29">
        <f t="shared" si="25"/>
        <v>126.99664168788087</v>
      </c>
      <c r="U49">
        <v>1389.4839999999999</v>
      </c>
      <c r="V49" s="29">
        <v>0.105</v>
      </c>
      <c r="W49" s="30">
        <f>1/2.689</f>
        <v>0.37188545927854222</v>
      </c>
      <c r="X49">
        <f t="shared" si="26"/>
        <v>2.6890000000000001</v>
      </c>
      <c r="Y49" s="3">
        <v>0.372</v>
      </c>
      <c r="Z49" s="3">
        <v>0.436</v>
      </c>
      <c r="AA49">
        <v>344.03300000000002</v>
      </c>
      <c r="AB49">
        <v>124.063</v>
      </c>
      <c r="AC49">
        <v>362.81900000000002</v>
      </c>
      <c r="AD49">
        <v>154.59100000000001</v>
      </c>
      <c r="AE49">
        <v>33522.334999999999</v>
      </c>
      <c r="AF49" s="30">
        <f t="shared" si="27"/>
        <v>183.0910565811449</v>
      </c>
      <c r="AG49">
        <v>870.51</v>
      </c>
      <c r="AH49">
        <v>0.55600000000000005</v>
      </c>
      <c r="AI49">
        <f>1/2.773</f>
        <v>0.36062026685899745</v>
      </c>
      <c r="AJ49">
        <f t="shared" si="28"/>
        <v>2.7730000000000001</v>
      </c>
      <c r="AK49">
        <v>0.36099999999999999</v>
      </c>
      <c r="AL49">
        <v>0.94</v>
      </c>
      <c r="AM49">
        <v>0.5</v>
      </c>
      <c r="AN49">
        <v>0.57207285333207147</v>
      </c>
      <c r="AO49">
        <v>368.59300000000002</v>
      </c>
      <c r="AQ49">
        <v>182.791</v>
      </c>
      <c r="AR49">
        <f t="shared" si="29"/>
        <v>2.0164723646131377</v>
      </c>
    </row>
    <row r="50" spans="1:51" x14ac:dyDescent="0.25">
      <c r="B50" t="s">
        <v>99</v>
      </c>
      <c r="C50">
        <v>1189</v>
      </c>
      <c r="D50">
        <v>450</v>
      </c>
      <c r="E50">
        <v>6</v>
      </c>
      <c r="F50" t="s">
        <v>49</v>
      </c>
      <c r="G50" t="s">
        <v>42</v>
      </c>
      <c r="H50">
        <v>2653709</v>
      </c>
      <c r="I50" s="28">
        <f t="shared" si="23"/>
        <v>5307418</v>
      </c>
      <c r="J50" t="b">
        <v>0</v>
      </c>
      <c r="K50" t="s">
        <v>43</v>
      </c>
      <c r="M50" s="3">
        <v>139.97900000000001</v>
      </c>
      <c r="N50">
        <v>45.517000000000003</v>
      </c>
      <c r="O50">
        <v>154.667</v>
      </c>
      <c r="P50">
        <v>61.597999999999999</v>
      </c>
      <c r="Q50">
        <v>5004.0990000000002</v>
      </c>
      <c r="R50" s="28">
        <v>191.024</v>
      </c>
      <c r="S50">
        <f t="shared" si="24"/>
        <v>39.910577334115587</v>
      </c>
      <c r="T50" s="29">
        <f t="shared" si="25"/>
        <v>70.739656487715578</v>
      </c>
      <c r="U50">
        <v>393.70100000000002</v>
      </c>
      <c r="V50" s="29">
        <v>0.40600000000000003</v>
      </c>
      <c r="W50" s="30">
        <f>1/3.075</f>
        <v>0.32520325203252032</v>
      </c>
      <c r="X50">
        <f t="shared" si="26"/>
        <v>3.0750000000000002</v>
      </c>
      <c r="Y50" s="3">
        <v>0.32500000000000001</v>
      </c>
      <c r="Z50" s="3">
        <v>0.77200000000000002</v>
      </c>
      <c r="AA50">
        <v>145.215</v>
      </c>
      <c r="AB50">
        <v>56.707999999999998</v>
      </c>
      <c r="AC50">
        <v>154.55099999999999</v>
      </c>
      <c r="AD50">
        <v>61.704999999999998</v>
      </c>
      <c r="AE50">
        <v>6467.6540000000005</v>
      </c>
      <c r="AF50" s="30">
        <f t="shared" si="27"/>
        <v>80.421725920300915</v>
      </c>
      <c r="AG50">
        <v>353.78199999999998</v>
      </c>
      <c r="AH50">
        <v>0.64900000000000002</v>
      </c>
      <c r="AI50">
        <f>1/2.561</f>
        <v>0.39047247169074584</v>
      </c>
      <c r="AJ50">
        <f t="shared" si="28"/>
        <v>2.5609999999999999</v>
      </c>
      <c r="AK50">
        <v>0.39100000000000001</v>
      </c>
      <c r="AL50">
        <v>1</v>
      </c>
      <c r="AM50">
        <v>0.5</v>
      </c>
      <c r="AN50">
        <v>0.58616225139500333</v>
      </c>
      <c r="AO50">
        <v>110.675</v>
      </c>
      <c r="AQ50">
        <v>133.33500000000001</v>
      </c>
      <c r="AR50">
        <f t="shared" si="29"/>
        <v>0.83005212434844555</v>
      </c>
    </row>
    <row r="51" spans="1:51" x14ac:dyDescent="0.25">
      <c r="B51" t="s">
        <v>100</v>
      </c>
      <c r="C51">
        <v>1189</v>
      </c>
      <c r="D51">
        <v>450</v>
      </c>
      <c r="E51">
        <v>6</v>
      </c>
      <c r="G51" t="s">
        <v>47</v>
      </c>
      <c r="H51">
        <v>92287</v>
      </c>
      <c r="I51" s="28">
        <f t="shared" si="23"/>
        <v>184574</v>
      </c>
      <c r="J51" t="s">
        <v>55</v>
      </c>
      <c r="K51" t="s">
        <v>43</v>
      </c>
      <c r="M51" s="3">
        <v>63.872999999999998</v>
      </c>
      <c r="N51">
        <v>36.667999999999999</v>
      </c>
      <c r="O51">
        <v>89.218999999999994</v>
      </c>
      <c r="P51">
        <v>49.966000000000001</v>
      </c>
      <c r="Q51">
        <v>1839.4570000000001</v>
      </c>
      <c r="R51" s="28">
        <v>13.7</v>
      </c>
      <c r="S51">
        <f t="shared" si="24"/>
        <v>24.197465741477497</v>
      </c>
      <c r="T51" s="29">
        <f t="shared" si="25"/>
        <v>42.888891335636089</v>
      </c>
      <c r="U51">
        <v>251.10900000000001</v>
      </c>
      <c r="V51" s="29">
        <v>0.36699999999999999</v>
      </c>
      <c r="W51" s="30">
        <f>1/1.742</f>
        <v>0.57405281285878296</v>
      </c>
      <c r="X51">
        <f t="shared" si="26"/>
        <v>1.7420000000000002</v>
      </c>
      <c r="Y51" s="3">
        <v>0.57399999999999995</v>
      </c>
      <c r="Z51" s="3">
        <v>0.66600000000000004</v>
      </c>
      <c r="AA51">
        <v>98.269000000000005</v>
      </c>
      <c r="AB51">
        <v>68.828999999999994</v>
      </c>
      <c r="AC51">
        <v>111.959</v>
      </c>
      <c r="AD51">
        <v>70.94</v>
      </c>
      <c r="AE51">
        <v>5312.2470000000003</v>
      </c>
      <c r="AF51" s="30">
        <f t="shared" si="27"/>
        <v>72.885163099220676</v>
      </c>
      <c r="AG51">
        <v>295.69499999999999</v>
      </c>
      <c r="AH51">
        <v>0.76300000000000001</v>
      </c>
      <c r="AI51">
        <f>1/1.428</f>
        <v>0.70028011204481799</v>
      </c>
      <c r="AJ51">
        <f t="shared" si="28"/>
        <v>1.4279999999999999</v>
      </c>
      <c r="AK51">
        <v>0.7</v>
      </c>
      <c r="AL51">
        <v>0.99299999999999999</v>
      </c>
      <c r="AM51">
        <v>0.65</v>
      </c>
      <c r="AN51">
        <v>0.70716679196121857</v>
      </c>
      <c r="AO51">
        <v>85.682000000000002</v>
      </c>
      <c r="AP51">
        <v>0</v>
      </c>
      <c r="AQ51">
        <v>59.774000000000001</v>
      </c>
      <c r="AR51">
        <f t="shared" si="29"/>
        <v>1.433432596112022</v>
      </c>
      <c r="AX51">
        <v>90.05</v>
      </c>
      <c r="AY51">
        <f>T51/AX51</f>
        <v>0.47627863781939023</v>
      </c>
    </row>
    <row r="52" spans="1:51" x14ac:dyDescent="0.25">
      <c r="B52" t="s">
        <v>101</v>
      </c>
      <c r="C52">
        <v>1189</v>
      </c>
      <c r="D52">
        <v>450</v>
      </c>
      <c r="E52">
        <v>6</v>
      </c>
      <c r="G52" t="s">
        <v>47</v>
      </c>
      <c r="H52">
        <v>76618</v>
      </c>
      <c r="I52" s="28">
        <f t="shared" si="23"/>
        <v>153236</v>
      </c>
      <c r="J52" t="s">
        <v>55</v>
      </c>
      <c r="K52" t="s">
        <v>43</v>
      </c>
      <c r="M52" s="3">
        <v>145</v>
      </c>
      <c r="N52">
        <v>30.846</v>
      </c>
      <c r="O52">
        <v>143.59700000000001</v>
      </c>
      <c r="P52">
        <v>42.712000000000003</v>
      </c>
      <c r="Q52">
        <v>3516.864</v>
      </c>
      <c r="R52" s="28">
        <v>0</v>
      </c>
      <c r="S52">
        <f t="shared" si="24"/>
        <v>33.458221404669295</v>
      </c>
      <c r="T52" s="29">
        <f t="shared" si="25"/>
        <v>59.30315337315546</v>
      </c>
      <c r="U52">
        <v>352.71600000000001</v>
      </c>
      <c r="V52" s="29">
        <v>0.35499999999999998</v>
      </c>
      <c r="W52" s="30">
        <f>1/4.706</f>
        <v>0.21249468763280915</v>
      </c>
      <c r="X52">
        <f t="shared" si="26"/>
        <v>4.7060000000000004</v>
      </c>
      <c r="Y52" s="3">
        <v>0.214</v>
      </c>
      <c r="Z52" s="3">
        <v>0.54</v>
      </c>
      <c r="AA52">
        <v>139.05799999999999</v>
      </c>
      <c r="AB52">
        <v>72.804000000000002</v>
      </c>
      <c r="AC52">
        <v>149.67599999999999</v>
      </c>
      <c r="AD52">
        <v>88.89</v>
      </c>
      <c r="AE52">
        <v>7951.3149999999996</v>
      </c>
      <c r="AF52" s="30">
        <f t="shared" si="27"/>
        <v>89.170146349549071</v>
      </c>
      <c r="AG52">
        <v>385.21300000000002</v>
      </c>
      <c r="AH52">
        <v>0.67300000000000004</v>
      </c>
      <c r="AI52">
        <f>1/1.91</f>
        <v>0.52356020942408377</v>
      </c>
      <c r="AJ52">
        <f t="shared" si="28"/>
        <v>1.91</v>
      </c>
      <c r="AK52">
        <v>0.52400000000000002</v>
      </c>
      <c r="AL52">
        <v>0.97</v>
      </c>
      <c r="AM52">
        <v>0.65</v>
      </c>
      <c r="AN52">
        <v>0.51512484993038044</v>
      </c>
      <c r="AO52">
        <v>133</v>
      </c>
      <c r="AQ52">
        <v>89.254000000000005</v>
      </c>
      <c r="AR52">
        <f t="shared" si="29"/>
        <v>1.4901292939252022</v>
      </c>
      <c r="AX52">
        <v>30.935000000000002</v>
      </c>
      <c r="AY52">
        <f>T52/AX52</f>
        <v>1.9170245150527059</v>
      </c>
    </row>
    <row r="53" spans="1:51" ht="13.5" customHeight="1" x14ac:dyDescent="0.25">
      <c r="B53" t="s">
        <v>102</v>
      </c>
      <c r="C53">
        <v>1189</v>
      </c>
      <c r="D53">
        <v>600</v>
      </c>
      <c r="E53">
        <v>4</v>
      </c>
      <c r="G53" t="s">
        <v>42</v>
      </c>
      <c r="H53">
        <v>55098</v>
      </c>
      <c r="I53" s="28">
        <f t="shared" si="23"/>
        <v>110196</v>
      </c>
      <c r="J53" t="s">
        <v>55</v>
      </c>
      <c r="K53" t="s">
        <v>43</v>
      </c>
      <c r="M53" s="3">
        <v>110.003</v>
      </c>
      <c r="N53">
        <v>57.456000000000003</v>
      </c>
      <c r="O53">
        <v>142.292</v>
      </c>
      <c r="P53">
        <v>69.795000000000002</v>
      </c>
      <c r="Q53">
        <v>4963.951</v>
      </c>
      <c r="R53" s="28">
        <v>14.5</v>
      </c>
      <c r="S53">
        <f t="shared" si="24"/>
        <v>39.750153179980501</v>
      </c>
      <c r="T53" s="29">
        <f t="shared" si="25"/>
        <v>70.455312077940576</v>
      </c>
      <c r="U53">
        <v>489.15199999999999</v>
      </c>
      <c r="V53" s="29">
        <v>0.26100000000000001</v>
      </c>
      <c r="W53" s="30">
        <f>1/1.915</f>
        <v>0.5221932114882506</v>
      </c>
      <c r="X53">
        <f t="shared" si="26"/>
        <v>1.9150000000000003</v>
      </c>
      <c r="Y53" s="3">
        <v>0.52200000000000002</v>
      </c>
      <c r="Z53" s="3">
        <v>0.75700000000000001</v>
      </c>
      <c r="AA53">
        <v>139.48400000000001</v>
      </c>
      <c r="AB53">
        <v>90.295000000000002</v>
      </c>
      <c r="AC53">
        <v>163.67400000000001</v>
      </c>
      <c r="AD53">
        <v>102.74299999999999</v>
      </c>
      <c r="AE53">
        <v>9891.9009999999998</v>
      </c>
      <c r="AF53" s="30">
        <f t="shared" si="27"/>
        <v>99.458036377157583</v>
      </c>
      <c r="AG53">
        <v>416.38299999999998</v>
      </c>
      <c r="AH53">
        <v>0.71699999999999997</v>
      </c>
      <c r="AI53">
        <f>1/4.545</f>
        <v>0.22002200220022003</v>
      </c>
      <c r="AJ53">
        <f t="shared" si="28"/>
        <v>4.5449999999999999</v>
      </c>
      <c r="AK53">
        <v>0.64700000000000002</v>
      </c>
      <c r="AL53">
        <v>0.997</v>
      </c>
      <c r="AM53">
        <v>0.65</v>
      </c>
      <c r="AN53">
        <v>0.7364000397429411</v>
      </c>
      <c r="AO53">
        <v>121.77800000000001</v>
      </c>
      <c r="AQ53">
        <v>108.401</v>
      </c>
      <c r="AR53">
        <f t="shared" si="29"/>
        <v>1.1234029206372635</v>
      </c>
    </row>
    <row r="54" spans="1:51" x14ac:dyDescent="0.25">
      <c r="B54" t="s">
        <v>103</v>
      </c>
      <c r="C54">
        <v>1189</v>
      </c>
      <c r="D54">
        <v>500</v>
      </c>
      <c r="E54">
        <v>5</v>
      </c>
      <c r="F54" t="s">
        <v>49</v>
      </c>
      <c r="G54" t="s">
        <v>47</v>
      </c>
      <c r="H54">
        <v>26662</v>
      </c>
      <c r="I54" s="28">
        <f t="shared" si="23"/>
        <v>53324</v>
      </c>
      <c r="J54" t="s">
        <v>55</v>
      </c>
      <c r="K54" t="s">
        <v>43</v>
      </c>
      <c r="L54" t="s">
        <v>104</v>
      </c>
      <c r="M54" s="3">
        <v>236.66</v>
      </c>
      <c r="N54">
        <v>87.912000000000006</v>
      </c>
      <c r="O54">
        <v>307.96600000000001</v>
      </c>
      <c r="P54">
        <v>133.68199999999999</v>
      </c>
      <c r="Q54">
        <v>16340.387000000001</v>
      </c>
      <c r="R54" s="28">
        <v>0</v>
      </c>
      <c r="S54">
        <f t="shared" si="24"/>
        <v>72.120085455919238</v>
      </c>
      <c r="T54" s="29">
        <f t="shared" si="25"/>
        <v>127.82952319397894</v>
      </c>
      <c r="U54">
        <v>979.36699999999996</v>
      </c>
      <c r="V54" s="29">
        <v>0.214</v>
      </c>
      <c r="W54" s="30">
        <f>1/2.692</f>
        <v>0.37147102526002967</v>
      </c>
      <c r="X54">
        <f t="shared" si="26"/>
        <v>2.6920000000000002</v>
      </c>
      <c r="Y54" s="3">
        <v>0.371</v>
      </c>
      <c r="Z54" s="3">
        <v>0.56699999999999995</v>
      </c>
      <c r="AA54">
        <v>267.97899999999998</v>
      </c>
      <c r="AB54">
        <v>200.352</v>
      </c>
      <c r="AC54">
        <v>317.61500000000001</v>
      </c>
      <c r="AD54">
        <v>199.011</v>
      </c>
      <c r="AE54">
        <v>42168.065000000002</v>
      </c>
      <c r="AF54" s="30">
        <f t="shared" si="27"/>
        <v>205.34864255699378</v>
      </c>
      <c r="AG54">
        <v>824.42</v>
      </c>
      <c r="AH54">
        <v>0.78</v>
      </c>
      <c r="AI54">
        <f>1/1.338</f>
        <v>0.74738415545590431</v>
      </c>
      <c r="AJ54">
        <f t="shared" si="28"/>
        <v>1.3380000000000001</v>
      </c>
      <c r="AK54">
        <v>0.748</v>
      </c>
      <c r="AL54">
        <v>0.999</v>
      </c>
      <c r="AM54">
        <v>0.65</v>
      </c>
      <c r="AN54">
        <v>0.55969883050198987</v>
      </c>
      <c r="AO54">
        <v>52.225999999999999</v>
      </c>
      <c r="AQ54">
        <v>39.689</v>
      </c>
      <c r="AR54">
        <f t="shared" si="29"/>
        <v>1.3158809745773388</v>
      </c>
    </row>
    <row r="55" spans="1:51" x14ac:dyDescent="0.25">
      <c r="B55" t="s">
        <v>105</v>
      </c>
      <c r="C55">
        <v>1189</v>
      </c>
      <c r="D55">
        <v>600</v>
      </c>
      <c r="E55">
        <v>4</v>
      </c>
      <c r="F55" t="s">
        <v>49</v>
      </c>
      <c r="G55" t="s">
        <v>42</v>
      </c>
      <c r="H55">
        <v>21527</v>
      </c>
      <c r="I55" s="28">
        <f t="shared" si="23"/>
        <v>43054</v>
      </c>
      <c r="J55" t="s">
        <v>55</v>
      </c>
      <c r="K55" t="s">
        <v>43</v>
      </c>
      <c r="M55" s="3">
        <v>120.926</v>
      </c>
      <c r="N55">
        <v>62.228999999999999</v>
      </c>
      <c r="O55">
        <v>133.125</v>
      </c>
      <c r="P55">
        <v>75.191999999999993</v>
      </c>
      <c r="Q55">
        <v>5910.1850000000004</v>
      </c>
      <c r="R55" s="28">
        <v>1</v>
      </c>
      <c r="S55">
        <f t="shared" si="24"/>
        <v>43.373613115293345</v>
      </c>
      <c r="T55" s="29">
        <f t="shared" si="25"/>
        <v>76.877727593887684</v>
      </c>
      <c r="U55">
        <v>420.596</v>
      </c>
      <c r="V55" s="29">
        <v>0.42</v>
      </c>
      <c r="W55" s="30">
        <f>1/1.943</f>
        <v>0.51466803911477099</v>
      </c>
      <c r="X55">
        <f t="shared" si="26"/>
        <v>1.9429999999999998</v>
      </c>
      <c r="Y55" s="3">
        <v>0.51500000000000001</v>
      </c>
      <c r="Z55" s="3">
        <v>0.81399999999999995</v>
      </c>
      <c r="AA55">
        <v>136.13800000000001</v>
      </c>
      <c r="AB55">
        <v>88.15</v>
      </c>
      <c r="AC55">
        <v>148.22</v>
      </c>
      <c r="AD55">
        <v>82.778000000000006</v>
      </c>
      <c r="AE55">
        <v>9425.2309999999998</v>
      </c>
      <c r="AF55" s="30">
        <f t="shared" si="27"/>
        <v>97.083628897976411</v>
      </c>
      <c r="AG55">
        <v>388.02600000000001</v>
      </c>
      <c r="AH55">
        <v>0.78700000000000003</v>
      </c>
      <c r="AI55">
        <v>1.544</v>
      </c>
      <c r="AJ55">
        <f t="shared" si="28"/>
        <v>0.64766839378238339</v>
      </c>
      <c r="AK55">
        <v>0.64800000000000002</v>
      </c>
      <c r="AL55">
        <v>0.995</v>
      </c>
      <c r="AM55">
        <v>0.65</v>
      </c>
      <c r="AN55">
        <v>0.69048648343900121</v>
      </c>
      <c r="AO55">
        <v>83.334000000000003</v>
      </c>
      <c r="AQ55">
        <v>133.334</v>
      </c>
      <c r="AR55">
        <f t="shared" si="29"/>
        <v>0.62500187499062509</v>
      </c>
      <c r="AX55">
        <v>30.45</v>
      </c>
      <c r="AY55">
        <f>T55/AX55</f>
        <v>2.524720118025868</v>
      </c>
    </row>
    <row r="56" spans="1:51" x14ac:dyDescent="0.25">
      <c r="B56" t="s">
        <v>106</v>
      </c>
      <c r="C56">
        <v>1189</v>
      </c>
      <c r="D56">
        <v>600</v>
      </c>
      <c r="E56">
        <v>4</v>
      </c>
      <c r="G56" t="s">
        <v>47</v>
      </c>
      <c r="H56">
        <v>29035</v>
      </c>
      <c r="I56" s="28">
        <f t="shared" si="23"/>
        <v>58070</v>
      </c>
      <c r="J56" t="s">
        <v>55</v>
      </c>
      <c r="K56" t="s">
        <v>43</v>
      </c>
      <c r="L56" t="s">
        <v>107</v>
      </c>
      <c r="M56" s="3">
        <v>216.13200000000001</v>
      </c>
      <c r="N56">
        <v>103.529</v>
      </c>
      <c r="O56">
        <v>317.935</v>
      </c>
      <c r="P56">
        <v>172.821</v>
      </c>
      <c r="Q56">
        <v>17574.074000000001</v>
      </c>
      <c r="R56" s="28">
        <v>0</v>
      </c>
      <c r="S56">
        <f t="shared" si="24"/>
        <v>74.793057797669391</v>
      </c>
      <c r="T56" s="29">
        <f t="shared" si="25"/>
        <v>132.56724331447796</v>
      </c>
      <c r="U56">
        <v>1232.877</v>
      </c>
      <c r="V56" s="29">
        <v>0.14499999999999999</v>
      </c>
      <c r="W56" s="30">
        <f>1/2.088</f>
        <v>0.47892720306513409</v>
      </c>
      <c r="X56">
        <f t="shared" si="26"/>
        <v>2.0880000000000001</v>
      </c>
      <c r="Y56" s="3">
        <v>0.47899999999999998</v>
      </c>
      <c r="Z56" s="3">
        <v>0.51600000000000001</v>
      </c>
      <c r="AA56">
        <v>273.435</v>
      </c>
      <c r="AB56">
        <v>165.846</v>
      </c>
      <c r="AC56">
        <v>319.93900000000002</v>
      </c>
      <c r="AD56">
        <v>177.69499999999999</v>
      </c>
      <c r="AE56">
        <v>35616.358</v>
      </c>
      <c r="AF56" s="30">
        <f t="shared" si="27"/>
        <v>188.72296627596759</v>
      </c>
      <c r="AG56">
        <v>827.33199999999999</v>
      </c>
      <c r="AH56">
        <v>0.65400000000000003</v>
      </c>
      <c r="AI56">
        <f>1/1.649</f>
        <v>0.60642813826561548</v>
      </c>
      <c r="AJ56">
        <f t="shared" si="28"/>
        <v>1.649</v>
      </c>
      <c r="AK56">
        <v>0.60699999999999998</v>
      </c>
      <c r="AL56">
        <v>0.92800000000000005</v>
      </c>
      <c r="AM56">
        <v>0.65</v>
      </c>
      <c r="AN56">
        <v>0.61740922934906428</v>
      </c>
      <c r="AO56">
        <v>265.10500000000002</v>
      </c>
      <c r="AQ56">
        <v>145.24</v>
      </c>
      <c r="AR56">
        <f t="shared" si="29"/>
        <v>1.8252891765353898</v>
      </c>
    </row>
    <row r="57" spans="1:51" s="6" customFormat="1" x14ac:dyDescent="0.25">
      <c r="A57" s="6" t="s">
        <v>108</v>
      </c>
      <c r="B57" s="6" t="s">
        <v>109</v>
      </c>
      <c r="C57" s="6">
        <v>1186</v>
      </c>
      <c r="D57" s="6">
        <v>450</v>
      </c>
      <c r="E57" s="6">
        <v>6</v>
      </c>
      <c r="F57" s="6" t="s">
        <v>46</v>
      </c>
      <c r="G57" s="6" t="s">
        <v>42</v>
      </c>
      <c r="H57" s="6">
        <v>99854</v>
      </c>
      <c r="I57" s="39">
        <f t="shared" si="23"/>
        <v>199708</v>
      </c>
      <c r="J57" s="6" t="s">
        <v>55</v>
      </c>
      <c r="K57" s="6" t="s">
        <v>43</v>
      </c>
      <c r="L57" s="6" t="s">
        <v>44</v>
      </c>
      <c r="M57" s="15">
        <v>170.13800000000001</v>
      </c>
      <c r="N57" s="6">
        <v>38.293999999999997</v>
      </c>
      <c r="O57" s="6">
        <v>182.339</v>
      </c>
      <c r="P57" s="6">
        <v>60.466999999999999</v>
      </c>
      <c r="Q57" s="6">
        <v>5117.0940000000001</v>
      </c>
      <c r="R57" s="39">
        <v>0</v>
      </c>
      <c r="S57" s="6">
        <f t="shared" si="24"/>
        <v>40.358662127624576</v>
      </c>
      <c r="T57" s="40">
        <f t="shared" si="25"/>
        <v>71.533866105502781</v>
      </c>
      <c r="U57" s="6">
        <v>449.31299999999999</v>
      </c>
      <c r="V57" s="40">
        <v>0.31900000000000001</v>
      </c>
      <c r="W57" s="41">
        <f>1/4.443</f>
        <v>0.22507314877335136</v>
      </c>
      <c r="X57" s="6">
        <f t="shared" si="26"/>
        <v>4.4429999999999996</v>
      </c>
      <c r="Y57" s="15">
        <v>0.22500000000000001</v>
      </c>
      <c r="Z57" s="15">
        <v>0.61299999999999999</v>
      </c>
      <c r="AA57" s="6">
        <v>294.13600000000002</v>
      </c>
      <c r="AB57" s="6">
        <v>167.58799999999999</v>
      </c>
      <c r="AC57" s="6">
        <v>336.91899999999998</v>
      </c>
      <c r="AD57" s="6">
        <v>190.535</v>
      </c>
      <c r="AE57" s="6">
        <v>38715.124000000003</v>
      </c>
      <c r="AF57" s="41">
        <f t="shared" si="27"/>
        <v>196.76159178050986</v>
      </c>
      <c r="AG57" s="6">
        <v>849.46500000000003</v>
      </c>
      <c r="AH57" s="6">
        <v>0.67400000000000004</v>
      </c>
      <c r="AI57" s="6">
        <f>1/1.755</f>
        <v>0.56980056980056981</v>
      </c>
      <c r="AJ57" s="6">
        <f t="shared" si="28"/>
        <v>1.7549999999999999</v>
      </c>
      <c r="AK57" s="6">
        <v>0.56999999999999995</v>
      </c>
      <c r="AL57" s="6">
        <v>0.999</v>
      </c>
      <c r="AM57" s="6">
        <v>0.65</v>
      </c>
      <c r="AN57" s="6">
        <v>0.48727776928700378</v>
      </c>
      <c r="AO57" s="6">
        <v>204.69200000000001</v>
      </c>
      <c r="AQ57" s="6">
        <v>270.48200000000003</v>
      </c>
      <c r="AR57" s="6">
        <f t="shared" si="29"/>
        <v>0.75676754830265969</v>
      </c>
      <c r="AY57"/>
    </row>
    <row r="58" spans="1:51" x14ac:dyDescent="0.25">
      <c r="B58" t="s">
        <v>110</v>
      </c>
      <c r="C58">
        <v>1186</v>
      </c>
      <c r="D58">
        <v>450</v>
      </c>
      <c r="E58">
        <v>6</v>
      </c>
      <c r="G58" t="s">
        <v>42</v>
      </c>
      <c r="H58">
        <v>75479</v>
      </c>
      <c r="I58" s="28">
        <f t="shared" si="23"/>
        <v>150958</v>
      </c>
      <c r="J58" t="s">
        <v>55</v>
      </c>
      <c r="K58" t="s">
        <v>43</v>
      </c>
      <c r="L58" t="s">
        <v>44</v>
      </c>
      <c r="M58" s="3">
        <v>146.69300000000001</v>
      </c>
      <c r="N58">
        <v>39.585999999999999</v>
      </c>
      <c r="O58">
        <v>197.346</v>
      </c>
      <c r="P58">
        <v>84.894999999999996</v>
      </c>
      <c r="Q58">
        <v>4560.8379999999997</v>
      </c>
      <c r="R58" s="28">
        <v>19.695</v>
      </c>
      <c r="S58">
        <f t="shared" si="24"/>
        <v>38.101966152453436</v>
      </c>
      <c r="T58" s="29">
        <f t="shared" si="25"/>
        <v>67.53397663398772</v>
      </c>
      <c r="U58">
        <v>604.99599999999998</v>
      </c>
      <c r="V58" s="29">
        <v>0.157</v>
      </c>
      <c r="W58" s="30">
        <f>1/3.706</f>
        <v>0.26983270372369134</v>
      </c>
      <c r="X58">
        <f t="shared" si="26"/>
        <v>3.7059999999999995</v>
      </c>
      <c r="Y58" s="3">
        <v>0.27</v>
      </c>
      <c r="Z58" s="3">
        <v>0.43099999999999999</v>
      </c>
      <c r="AA58">
        <v>199.23</v>
      </c>
      <c r="AB58">
        <v>101.318</v>
      </c>
      <c r="AC58">
        <v>209.24199999999999</v>
      </c>
      <c r="AD58">
        <v>113.782</v>
      </c>
      <c r="AE58">
        <v>15853.705</v>
      </c>
      <c r="AF58" s="30">
        <f t="shared" si="27"/>
        <v>125.91149669509929</v>
      </c>
      <c r="AG58">
        <v>532.26400000000001</v>
      </c>
      <c r="AH58">
        <v>0.70299999999999996</v>
      </c>
      <c r="AI58">
        <f>1/1.966</f>
        <v>0.50864699898270604</v>
      </c>
      <c r="AJ58">
        <f t="shared" si="28"/>
        <v>1.9659999999999997</v>
      </c>
      <c r="AK58">
        <v>0.50900000000000001</v>
      </c>
      <c r="AL58">
        <v>0.997</v>
      </c>
      <c r="AM58">
        <v>0.65</v>
      </c>
      <c r="AN58">
        <v>0.52960453813036878</v>
      </c>
      <c r="AO58">
        <v>185.56</v>
      </c>
      <c r="AQ58">
        <v>113.03400000000001</v>
      </c>
      <c r="AR58">
        <f t="shared" si="29"/>
        <v>1.6416299520498256</v>
      </c>
    </row>
    <row r="59" spans="1:51" x14ac:dyDescent="0.25">
      <c r="B59" t="s">
        <v>111</v>
      </c>
      <c r="C59">
        <v>1186</v>
      </c>
      <c r="D59">
        <v>500</v>
      </c>
      <c r="E59">
        <v>5</v>
      </c>
      <c r="G59" t="s">
        <v>47</v>
      </c>
      <c r="H59">
        <v>51337</v>
      </c>
      <c r="I59" s="28">
        <f t="shared" si="23"/>
        <v>102674</v>
      </c>
      <c r="J59" t="s">
        <v>55</v>
      </c>
      <c r="K59" t="s">
        <v>43</v>
      </c>
      <c r="L59" t="s">
        <v>44</v>
      </c>
      <c r="M59" s="3">
        <v>150.85400000000001</v>
      </c>
      <c r="N59">
        <v>59.32</v>
      </c>
      <c r="O59">
        <v>156.29</v>
      </c>
      <c r="P59">
        <v>73.957999999999998</v>
      </c>
      <c r="Q59">
        <v>7028.3180000000002</v>
      </c>
      <c r="R59" s="28">
        <v>0</v>
      </c>
      <c r="S59">
        <f t="shared" si="24"/>
        <v>47.298869993304145</v>
      </c>
      <c r="T59" s="29">
        <f t="shared" si="25"/>
        <v>83.835064263111292</v>
      </c>
      <c r="U59">
        <v>426.875</v>
      </c>
      <c r="V59" s="29">
        <v>0.48499999999999999</v>
      </c>
      <c r="W59" s="30">
        <f>1/2.543</f>
        <v>0.39323633503735744</v>
      </c>
      <c r="X59">
        <f t="shared" si="26"/>
        <v>2.5430000000000001</v>
      </c>
      <c r="Y59" s="3">
        <v>0.39300000000000002</v>
      </c>
      <c r="Z59" s="3">
        <v>0.81499999999999995</v>
      </c>
      <c r="AA59">
        <v>247.53</v>
      </c>
      <c r="AB59">
        <v>107.057</v>
      </c>
      <c r="AC59">
        <v>266.13600000000002</v>
      </c>
      <c r="AD59">
        <v>124.71</v>
      </c>
      <c r="AE59">
        <v>20812.885999999999</v>
      </c>
      <c r="AF59" s="30">
        <f t="shared" si="27"/>
        <v>144.26671826862909</v>
      </c>
      <c r="AG59">
        <v>651.60699999999997</v>
      </c>
      <c r="AH59">
        <v>0.61599999999999999</v>
      </c>
      <c r="AI59">
        <f>1/2.312</f>
        <v>0.43252595155709345</v>
      </c>
      <c r="AJ59">
        <f t="shared" si="28"/>
        <v>2.3119999999999998</v>
      </c>
      <c r="AK59">
        <v>0.432</v>
      </c>
      <c r="AL59">
        <v>0.996</v>
      </c>
      <c r="AM59">
        <v>0.65</v>
      </c>
      <c r="AN59">
        <v>0</v>
      </c>
      <c r="AO59">
        <v>235.73400000000001</v>
      </c>
      <c r="AQ59">
        <v>126.691</v>
      </c>
      <c r="AR59">
        <f t="shared" si="29"/>
        <v>1.8607004443883148</v>
      </c>
    </row>
    <row r="60" spans="1:51" x14ac:dyDescent="0.25">
      <c r="B60" t="s">
        <v>112</v>
      </c>
      <c r="C60">
        <v>1186</v>
      </c>
      <c r="D60">
        <v>600</v>
      </c>
      <c r="E60">
        <v>4</v>
      </c>
      <c r="G60" t="s">
        <v>47</v>
      </c>
      <c r="H60">
        <v>14605</v>
      </c>
      <c r="I60" s="28">
        <f t="shared" si="23"/>
        <v>29210</v>
      </c>
      <c r="J60" t="s">
        <v>55</v>
      </c>
      <c r="K60" t="s">
        <v>43</v>
      </c>
      <c r="L60" t="s">
        <v>44</v>
      </c>
      <c r="M60" s="3">
        <v>143.59299999999999</v>
      </c>
      <c r="N60">
        <v>87.162999999999997</v>
      </c>
      <c r="O60">
        <v>278.81200000000001</v>
      </c>
      <c r="P60">
        <v>160.07599999999999</v>
      </c>
      <c r="Q60">
        <v>9830.0949999999993</v>
      </c>
      <c r="R60" s="28">
        <v>0</v>
      </c>
      <c r="S60">
        <f t="shared" si="24"/>
        <v>55.937611860230945</v>
      </c>
      <c r="T60" s="29">
        <f t="shared" si="25"/>
        <v>99.146835552124401</v>
      </c>
      <c r="U60">
        <v>1230.4939999999999</v>
      </c>
      <c r="V60" s="29">
        <v>8.2000000000000003E-2</v>
      </c>
      <c r="W60" s="30">
        <f>1/1.647</f>
        <v>0.60716454159077105</v>
      </c>
      <c r="X60">
        <f t="shared" si="26"/>
        <v>1.6470000000000002</v>
      </c>
      <c r="Y60" s="3">
        <v>0.60699999999999998</v>
      </c>
      <c r="Z60" s="3">
        <v>0.32600000000000001</v>
      </c>
      <c r="AA60">
        <v>264.22699999999998</v>
      </c>
      <c r="AB60">
        <v>183.29599999999999</v>
      </c>
      <c r="AC60">
        <v>292.77100000000002</v>
      </c>
      <c r="AD60">
        <v>186.77099999999999</v>
      </c>
      <c r="AE60">
        <v>38038.167999999998</v>
      </c>
      <c r="AF60" s="30">
        <f t="shared" si="27"/>
        <v>195.03376117995572</v>
      </c>
      <c r="AG60">
        <v>793.16300000000001</v>
      </c>
      <c r="AH60">
        <v>0.76</v>
      </c>
      <c r="AI60">
        <f>1/1.442</f>
        <v>0.69348127600554788</v>
      </c>
      <c r="AJ60">
        <f t="shared" si="28"/>
        <v>1.4419999999999999</v>
      </c>
      <c r="AK60">
        <v>0.69399999999999995</v>
      </c>
      <c r="AL60">
        <v>0.99199999999999999</v>
      </c>
      <c r="AM60">
        <v>0.65</v>
      </c>
      <c r="AN60">
        <v>0</v>
      </c>
      <c r="AO60">
        <v>186.13200000000001</v>
      </c>
      <c r="AQ60">
        <v>276.48899999999998</v>
      </c>
      <c r="AR60">
        <f t="shared" si="29"/>
        <v>0.67319857209509248</v>
      </c>
    </row>
    <row r="61" spans="1:51" x14ac:dyDescent="0.25">
      <c r="B61" t="s">
        <v>113</v>
      </c>
      <c r="C61">
        <v>1186</v>
      </c>
      <c r="D61">
        <v>450</v>
      </c>
      <c r="E61">
        <v>6</v>
      </c>
      <c r="G61" t="s">
        <v>42</v>
      </c>
      <c r="H61">
        <v>66984</v>
      </c>
      <c r="I61" s="28">
        <f t="shared" si="23"/>
        <v>133968</v>
      </c>
      <c r="J61" t="s">
        <v>55</v>
      </c>
      <c r="K61" t="s">
        <v>43</v>
      </c>
      <c r="L61" t="s">
        <v>74</v>
      </c>
      <c r="M61" s="3">
        <v>63.094999999999999</v>
      </c>
      <c r="N61">
        <v>46.722999999999999</v>
      </c>
      <c r="O61">
        <v>84.176000000000002</v>
      </c>
      <c r="P61">
        <v>51.37</v>
      </c>
      <c r="Q61">
        <v>2315.364</v>
      </c>
      <c r="R61" s="28">
        <v>60.685000000000002</v>
      </c>
      <c r="S61">
        <f t="shared" si="24"/>
        <v>27.147803802776501</v>
      </c>
      <c r="T61" s="29">
        <f t="shared" si="25"/>
        <v>48.118229393858627</v>
      </c>
      <c r="U61">
        <v>291.44600000000003</v>
      </c>
      <c r="V61" s="29">
        <v>0.34300000000000003</v>
      </c>
      <c r="W61" s="30">
        <f>1/1.35</f>
        <v>0.7407407407407407</v>
      </c>
      <c r="X61">
        <f t="shared" si="26"/>
        <v>1.35</v>
      </c>
      <c r="Y61" s="3">
        <v>0.74099999999999999</v>
      </c>
      <c r="Z61" s="3">
        <v>0.64600000000000002</v>
      </c>
      <c r="AA61">
        <v>138.69200000000001</v>
      </c>
      <c r="AB61">
        <v>90.352000000000004</v>
      </c>
      <c r="AC61">
        <v>152.00800000000001</v>
      </c>
      <c r="AD61">
        <v>85.322999999999993</v>
      </c>
      <c r="AE61">
        <v>9841.8760000000002</v>
      </c>
      <c r="AF61" s="30">
        <f t="shared" si="27"/>
        <v>99.20622964310256</v>
      </c>
      <c r="AG61">
        <v>400.38600000000002</v>
      </c>
      <c r="AH61">
        <v>0.77100000000000002</v>
      </c>
      <c r="AI61">
        <f>1/1.535</f>
        <v>0.65146579804560267</v>
      </c>
      <c r="AJ61">
        <f t="shared" si="28"/>
        <v>1.5349999999999999</v>
      </c>
      <c r="AK61">
        <v>0.65100000000000002</v>
      </c>
      <c r="AL61">
        <v>1</v>
      </c>
      <c r="AM61">
        <v>0.65</v>
      </c>
      <c r="AN61">
        <v>0</v>
      </c>
      <c r="AO61">
        <v>80.915999999999997</v>
      </c>
      <c r="AQ61">
        <v>64.045000000000002</v>
      </c>
      <c r="AR61">
        <f t="shared" si="29"/>
        <v>1.2634241548910921</v>
      </c>
    </row>
    <row r="62" spans="1:51" x14ac:dyDescent="0.25">
      <c r="B62" t="s">
        <v>114</v>
      </c>
      <c r="C62">
        <v>1186</v>
      </c>
      <c r="D62">
        <v>450</v>
      </c>
      <c r="F62" t="s">
        <v>49</v>
      </c>
      <c r="G62" t="s">
        <v>47</v>
      </c>
      <c r="H62">
        <v>89433</v>
      </c>
      <c r="I62" s="28">
        <f t="shared" si="23"/>
        <v>178866</v>
      </c>
      <c r="J62" t="s">
        <v>55</v>
      </c>
      <c r="K62" t="s">
        <v>43</v>
      </c>
      <c r="L62" t="s">
        <v>44</v>
      </c>
      <c r="M62" s="3">
        <v>79.468999999999994</v>
      </c>
      <c r="N62">
        <v>41.988</v>
      </c>
      <c r="O62">
        <v>97.010999999999996</v>
      </c>
      <c r="P62">
        <v>58.953000000000003</v>
      </c>
      <c r="Q62">
        <v>2620.6509999999998</v>
      </c>
      <c r="R62" s="28">
        <v>5</v>
      </c>
      <c r="S62">
        <f t="shared" si="24"/>
        <v>28.88215922567835</v>
      </c>
      <c r="T62" s="29">
        <f t="shared" si="25"/>
        <v>51.192294342019871</v>
      </c>
      <c r="U62">
        <v>305.12900000000002</v>
      </c>
      <c r="V62" s="29">
        <v>0.35399999999999998</v>
      </c>
      <c r="W62" s="30">
        <f>1/1.893</f>
        <v>0.52826201796090866</v>
      </c>
      <c r="X62">
        <f t="shared" si="26"/>
        <v>1.8929999999999998</v>
      </c>
      <c r="Y62" s="3">
        <v>0.52800000000000002</v>
      </c>
      <c r="Z62" s="3">
        <v>0.67700000000000005</v>
      </c>
      <c r="AA62">
        <v>94.852000000000004</v>
      </c>
      <c r="AB62">
        <v>59.112000000000002</v>
      </c>
      <c r="AC62">
        <v>98.966999999999999</v>
      </c>
      <c r="AD62">
        <v>59.499000000000002</v>
      </c>
      <c r="AE62">
        <v>4403.6350000000002</v>
      </c>
      <c r="AF62" s="30">
        <f t="shared" si="27"/>
        <v>66.359889993881097</v>
      </c>
      <c r="AG62">
        <v>267.64</v>
      </c>
      <c r="AH62">
        <v>0.77300000000000002</v>
      </c>
      <c r="AI62">
        <f>1/1.605</f>
        <v>0.62305295950155759</v>
      </c>
      <c r="AJ62">
        <f t="shared" si="28"/>
        <v>1.6050000000000002</v>
      </c>
      <c r="AK62">
        <v>0.623</v>
      </c>
      <c r="AL62">
        <v>0.996</v>
      </c>
      <c r="AM62">
        <v>0.65</v>
      </c>
      <c r="AN62">
        <v>0</v>
      </c>
      <c r="AO62">
        <v>56.889000000000003</v>
      </c>
      <c r="AQ62">
        <v>93.149000000000001</v>
      </c>
      <c r="AR62">
        <f t="shared" si="29"/>
        <v>0.61073119410836407</v>
      </c>
    </row>
    <row r="63" spans="1:51" x14ac:dyDescent="0.25">
      <c r="B63" t="s">
        <v>115</v>
      </c>
      <c r="C63">
        <v>1186</v>
      </c>
      <c r="D63">
        <v>500</v>
      </c>
      <c r="E63" t="s">
        <v>116</v>
      </c>
      <c r="F63" t="s">
        <v>49</v>
      </c>
      <c r="G63" t="s">
        <v>47</v>
      </c>
      <c r="H63">
        <v>57456</v>
      </c>
      <c r="I63" s="28">
        <f t="shared" si="23"/>
        <v>114912</v>
      </c>
      <c r="J63" t="s">
        <v>55</v>
      </c>
      <c r="K63" t="s">
        <v>43</v>
      </c>
      <c r="M63" s="3">
        <v>107.30500000000001</v>
      </c>
      <c r="N63">
        <v>32.066000000000003</v>
      </c>
      <c r="O63">
        <v>115.57299999999999</v>
      </c>
      <c r="P63">
        <v>45.19</v>
      </c>
      <c r="Q63">
        <v>2726</v>
      </c>
      <c r="R63" s="28">
        <v>0</v>
      </c>
      <c r="S63">
        <f t="shared" si="24"/>
        <v>29.456964367310718</v>
      </c>
      <c r="T63" s="29">
        <f t="shared" si="25"/>
        <v>52.211109928826453</v>
      </c>
      <c r="U63">
        <v>279.44</v>
      </c>
      <c r="V63" s="29">
        <v>0.51800000000000002</v>
      </c>
      <c r="W63" s="30">
        <f>1/3.295</f>
        <v>0.30349013657056145</v>
      </c>
      <c r="X63">
        <f t="shared" si="26"/>
        <v>3.2949999999999999</v>
      </c>
      <c r="Y63" s="3">
        <v>0.29899999999999999</v>
      </c>
      <c r="Z63" s="3">
        <v>0.86</v>
      </c>
      <c r="AA63">
        <v>102.39</v>
      </c>
      <c r="AB63">
        <v>70.802999999999997</v>
      </c>
      <c r="AC63">
        <v>120.06399999999999</v>
      </c>
      <c r="AD63">
        <v>79.971999999999994</v>
      </c>
      <c r="AE63">
        <v>5693.7380000000003</v>
      </c>
      <c r="AF63" s="30">
        <f t="shared" si="27"/>
        <v>75.456861848343522</v>
      </c>
      <c r="AG63">
        <v>307.923</v>
      </c>
      <c r="AH63">
        <v>0.755</v>
      </c>
      <c r="AI63">
        <f>1/1.446</f>
        <v>0.69156293222683263</v>
      </c>
      <c r="AJ63">
        <f t="shared" si="28"/>
        <v>1.446</v>
      </c>
      <c r="AK63">
        <v>0.69099999999999995</v>
      </c>
      <c r="AL63">
        <v>0.997</v>
      </c>
      <c r="AM63">
        <v>0.65</v>
      </c>
      <c r="AN63">
        <v>0.57718935769082846</v>
      </c>
      <c r="AO63">
        <v>82.3</v>
      </c>
      <c r="AP63">
        <v>33.24</v>
      </c>
      <c r="AQ63">
        <v>82.64</v>
      </c>
      <c r="AR63">
        <f>AO63/AQ63</f>
        <v>0.99588576960309771</v>
      </c>
    </row>
    <row r="64" spans="1:51" x14ac:dyDescent="0.25">
      <c r="B64" t="s">
        <v>117</v>
      </c>
      <c r="C64">
        <v>1186</v>
      </c>
      <c r="D64">
        <v>500</v>
      </c>
      <c r="E64">
        <v>5</v>
      </c>
      <c r="F64" t="s">
        <v>49</v>
      </c>
      <c r="G64" t="s">
        <v>42</v>
      </c>
      <c r="H64">
        <v>29962</v>
      </c>
      <c r="I64" s="28">
        <f t="shared" si="23"/>
        <v>59924</v>
      </c>
      <c r="J64" t="s">
        <v>55</v>
      </c>
      <c r="K64" t="s">
        <v>43</v>
      </c>
      <c r="L64" t="s">
        <v>118</v>
      </c>
      <c r="M64" s="3">
        <v>148.41399999999999</v>
      </c>
      <c r="N64">
        <v>54.223999999999997</v>
      </c>
      <c r="O64">
        <v>177.35400000000001</v>
      </c>
      <c r="P64">
        <v>95.064999999999998</v>
      </c>
      <c r="Q64">
        <v>6320.51</v>
      </c>
      <c r="R64" s="28">
        <v>65</v>
      </c>
      <c r="S64">
        <f t="shared" si="24"/>
        <v>44.853994456720471</v>
      </c>
      <c r="T64" s="29">
        <f t="shared" si="25"/>
        <v>79.501635203308865</v>
      </c>
      <c r="U64">
        <v>631.97199999999998</v>
      </c>
      <c r="V64" s="29">
        <v>0.19900000000000001</v>
      </c>
      <c r="W64" s="30">
        <f>1/2.737</f>
        <v>0.36536353671903543</v>
      </c>
      <c r="X64">
        <f t="shared" si="26"/>
        <v>2.7370000000000001</v>
      </c>
      <c r="Y64" s="3">
        <v>0.36499999999999999</v>
      </c>
      <c r="Z64" s="3">
        <v>0.51300000000000001</v>
      </c>
      <c r="AA64">
        <v>179.79400000000001</v>
      </c>
      <c r="AB64">
        <v>99.209000000000003</v>
      </c>
      <c r="AC64">
        <v>178.839</v>
      </c>
      <c r="AD64">
        <v>95.754999999999995</v>
      </c>
      <c r="AE64">
        <v>14009.233</v>
      </c>
      <c r="AF64" s="30">
        <f t="shared" si="27"/>
        <v>118.36060577742917</v>
      </c>
      <c r="AG64">
        <v>480.851</v>
      </c>
      <c r="AH64">
        <v>0.76100000000000001</v>
      </c>
      <c r="AI64">
        <f>1/1.812</f>
        <v>0.55187637969094916</v>
      </c>
      <c r="AJ64">
        <f t="shared" si="28"/>
        <v>1.8120000000000003</v>
      </c>
      <c r="AK64">
        <v>0.55200000000000005</v>
      </c>
      <c r="AL64">
        <v>0.998</v>
      </c>
      <c r="AM64">
        <v>0.65</v>
      </c>
      <c r="AN64">
        <v>0</v>
      </c>
      <c r="AO64">
        <v>95.566000000000003</v>
      </c>
      <c r="AQ64">
        <v>174.72300000000001</v>
      </c>
      <c r="AR64">
        <f t="shared" si="29"/>
        <v>0.5469571836564161</v>
      </c>
    </row>
    <row r="65" spans="1:51" x14ac:dyDescent="0.25">
      <c r="B65" t="s">
        <v>119</v>
      </c>
      <c r="C65">
        <v>1186</v>
      </c>
      <c r="D65">
        <v>500</v>
      </c>
      <c r="E65" t="s">
        <v>116</v>
      </c>
      <c r="G65" t="s">
        <v>42</v>
      </c>
      <c r="H65">
        <v>29475</v>
      </c>
      <c r="I65" s="28">
        <f t="shared" si="23"/>
        <v>58950</v>
      </c>
      <c r="J65" t="s">
        <v>55</v>
      </c>
      <c r="K65" t="s">
        <v>43</v>
      </c>
      <c r="L65" t="s">
        <v>120</v>
      </c>
      <c r="M65" s="3">
        <v>165.75</v>
      </c>
      <c r="N65">
        <v>72.894000000000005</v>
      </c>
      <c r="O65">
        <v>184.34</v>
      </c>
      <c r="P65">
        <v>97.956000000000003</v>
      </c>
      <c r="Q65">
        <v>9489.357</v>
      </c>
      <c r="R65" s="28">
        <v>0</v>
      </c>
      <c r="S65">
        <f t="shared" si="24"/>
        <v>54.959586485228918</v>
      </c>
      <c r="T65" s="29">
        <f t="shared" si="25"/>
        <v>97.413330709918753</v>
      </c>
      <c r="U65">
        <v>531.92999999999995</v>
      </c>
      <c r="V65" s="29">
        <v>0.42099999999999999</v>
      </c>
      <c r="W65" s="30">
        <f>1/2.274</f>
        <v>0.43975373790677219</v>
      </c>
      <c r="X65">
        <f t="shared" si="26"/>
        <v>2.274</v>
      </c>
      <c r="Y65" s="3">
        <v>0.44</v>
      </c>
      <c r="Z65" s="3">
        <v>0.755</v>
      </c>
      <c r="AA65">
        <v>264.3</v>
      </c>
      <c r="AB65">
        <v>144.36000000000001</v>
      </c>
      <c r="AC65">
        <v>280.7</v>
      </c>
      <c r="AD65">
        <v>155</v>
      </c>
      <c r="AE65">
        <v>29970.97</v>
      </c>
      <c r="AF65" s="30">
        <f t="shared" si="27"/>
        <v>173.12125808230485</v>
      </c>
      <c r="AG65">
        <v>713</v>
      </c>
      <c r="AH65">
        <v>0.749</v>
      </c>
      <c r="AI65">
        <f>1/1.831</f>
        <v>0.54614964500273078</v>
      </c>
      <c r="AJ65">
        <f t="shared" si="28"/>
        <v>1.831</v>
      </c>
      <c r="AK65">
        <v>0.54600000000000004</v>
      </c>
      <c r="AL65">
        <v>0.99299999999999999</v>
      </c>
      <c r="AM65">
        <v>0.65</v>
      </c>
      <c r="AN65">
        <v>0</v>
      </c>
      <c r="AO65">
        <v>120.005</v>
      </c>
      <c r="AQ65">
        <v>148.107</v>
      </c>
      <c r="AR65">
        <f t="shared" si="29"/>
        <v>0.81025879938152823</v>
      </c>
    </row>
    <row r="66" spans="1:51" x14ac:dyDescent="0.25">
      <c r="B66" t="s">
        <v>121</v>
      </c>
      <c r="C66">
        <v>1186</v>
      </c>
      <c r="D66">
        <v>600</v>
      </c>
      <c r="E66">
        <v>4</v>
      </c>
      <c r="G66" t="s">
        <v>47</v>
      </c>
      <c r="H66">
        <v>22154</v>
      </c>
      <c r="I66" s="28">
        <f t="shared" si="23"/>
        <v>44308</v>
      </c>
      <c r="J66" t="s">
        <v>55</v>
      </c>
      <c r="K66" t="s">
        <v>43</v>
      </c>
      <c r="M66" s="3">
        <v>172.02500000000001</v>
      </c>
      <c r="N66">
        <v>94.168000000000006</v>
      </c>
      <c r="O66">
        <v>204.864</v>
      </c>
      <c r="P66">
        <v>124.77500000000001</v>
      </c>
      <c r="Q66">
        <v>12722.888999999999</v>
      </c>
      <c r="R66" s="28">
        <v>14.618</v>
      </c>
      <c r="S66">
        <f t="shared" si="24"/>
        <v>63.638206680570455</v>
      </c>
      <c r="T66" s="29">
        <f t="shared" si="25"/>
        <v>112.79578449569824</v>
      </c>
      <c r="U66">
        <v>685.101</v>
      </c>
      <c r="V66" s="29">
        <v>0.34100000000000003</v>
      </c>
      <c r="W66" s="30">
        <f>1/1.827</f>
        <v>0.54734537493158186</v>
      </c>
      <c r="X66">
        <f t="shared" si="26"/>
        <v>1.827</v>
      </c>
      <c r="Y66" s="3">
        <v>0.54700000000000004</v>
      </c>
      <c r="Z66" s="3">
        <v>0.72899999999999998</v>
      </c>
      <c r="AA66">
        <v>194.88399999999999</v>
      </c>
      <c r="AB66">
        <v>139.72399999999999</v>
      </c>
      <c r="AC66">
        <v>227.15299999999999</v>
      </c>
      <c r="AD66">
        <v>149.91999999999999</v>
      </c>
      <c r="AE66">
        <v>21386.314999999999</v>
      </c>
      <c r="AF66" s="30">
        <f t="shared" si="27"/>
        <v>146.24060653594131</v>
      </c>
      <c r="AG66">
        <v>592.55799999999999</v>
      </c>
      <c r="AH66">
        <v>0.76500000000000001</v>
      </c>
      <c r="AI66">
        <f>1/1.395</f>
        <v>0.71684587813620071</v>
      </c>
      <c r="AJ66">
        <f t="shared" si="28"/>
        <v>1.395</v>
      </c>
      <c r="AK66">
        <v>0.71699999999999997</v>
      </c>
      <c r="AL66">
        <v>0.998</v>
      </c>
      <c r="AM66">
        <v>0.65</v>
      </c>
      <c r="AN66">
        <v>0.62912949615645164</v>
      </c>
      <c r="AO66">
        <v>147.78</v>
      </c>
      <c r="AQ66">
        <v>171.911</v>
      </c>
      <c r="AR66">
        <f t="shared" si="29"/>
        <v>0.85963085550081142</v>
      </c>
    </row>
    <row r="67" spans="1:51" x14ac:dyDescent="0.25">
      <c r="B67" t="s">
        <v>122</v>
      </c>
      <c r="C67">
        <v>1186</v>
      </c>
      <c r="D67">
        <v>600</v>
      </c>
      <c r="F67" t="s">
        <v>49</v>
      </c>
      <c r="G67" t="s">
        <v>47</v>
      </c>
      <c r="H67">
        <v>21893</v>
      </c>
      <c r="I67" s="28">
        <f t="shared" si="23"/>
        <v>43786</v>
      </c>
      <c r="J67" t="s">
        <v>55</v>
      </c>
      <c r="K67" t="s">
        <v>43</v>
      </c>
      <c r="M67" s="3">
        <v>113.27800000000001</v>
      </c>
      <c r="N67">
        <v>60.482999999999997</v>
      </c>
      <c r="O67">
        <v>134.10400000000001</v>
      </c>
      <c r="P67">
        <v>79.23</v>
      </c>
      <c r="Q67">
        <v>5381.0649999999996</v>
      </c>
      <c r="R67" s="28">
        <v>0</v>
      </c>
      <c r="S67">
        <f t="shared" si="24"/>
        <v>41.386545974477983</v>
      </c>
      <c r="T67" s="29">
        <f t="shared" si="25"/>
        <v>73.355742788141683</v>
      </c>
      <c r="U67">
        <v>377.32299999999998</v>
      </c>
      <c r="V67" s="29">
        <v>0.47499999999999998</v>
      </c>
      <c r="W67" s="30">
        <f>1/1.873</f>
        <v>0.53390282968499736</v>
      </c>
      <c r="X67">
        <f t="shared" si="26"/>
        <v>1.873</v>
      </c>
      <c r="Y67" s="3">
        <v>0.53400000000000003</v>
      </c>
      <c r="Z67" s="3">
        <v>0.78800000000000003</v>
      </c>
      <c r="AA67">
        <v>138.988</v>
      </c>
      <c r="AB67">
        <v>77.152000000000001</v>
      </c>
      <c r="AC67">
        <v>149.56700000000001</v>
      </c>
      <c r="AD67">
        <v>85.078000000000003</v>
      </c>
      <c r="AE67">
        <v>8421.9639999999999</v>
      </c>
      <c r="AF67" s="30">
        <f t="shared" si="27"/>
        <v>91.771259117438291</v>
      </c>
      <c r="AG67">
        <v>380.96499999999997</v>
      </c>
      <c r="AH67">
        <v>0.72899999999999998</v>
      </c>
      <c r="AI67">
        <f>1/1.801</f>
        <v>0.55524708495280406</v>
      </c>
      <c r="AJ67">
        <f t="shared" si="28"/>
        <v>1.8009999999999997</v>
      </c>
      <c r="AK67">
        <v>0.55500000000000005</v>
      </c>
      <c r="AL67">
        <v>0.995</v>
      </c>
      <c r="AM67">
        <v>0.65</v>
      </c>
      <c r="AN67">
        <v>0.71599776306989515</v>
      </c>
      <c r="AO67">
        <v>127.783</v>
      </c>
      <c r="AQ67">
        <v>84.501999999999995</v>
      </c>
      <c r="AR67">
        <f t="shared" si="29"/>
        <v>1.5121890606139501</v>
      </c>
      <c r="AX67">
        <v>66.134999999999991</v>
      </c>
      <c r="AY67">
        <f>T67/AX67</f>
        <v>1.1091818672131504</v>
      </c>
    </row>
    <row r="68" spans="1:51" x14ac:dyDescent="0.25">
      <c r="B68" t="s">
        <v>123</v>
      </c>
      <c r="C68">
        <v>1186</v>
      </c>
      <c r="D68">
        <v>600</v>
      </c>
      <c r="E68">
        <v>4</v>
      </c>
      <c r="G68" t="s">
        <v>47</v>
      </c>
      <c r="H68">
        <v>18769</v>
      </c>
      <c r="I68" s="28">
        <f t="shared" si="23"/>
        <v>37538</v>
      </c>
      <c r="J68" t="s">
        <v>55</v>
      </c>
      <c r="K68" t="s">
        <v>43</v>
      </c>
      <c r="M68" s="3">
        <v>123.303</v>
      </c>
      <c r="N68">
        <v>73.527000000000001</v>
      </c>
      <c r="O68">
        <v>164.85900000000001</v>
      </c>
      <c r="P68">
        <v>115.377</v>
      </c>
      <c r="Q68">
        <v>7120.5249999999996</v>
      </c>
      <c r="R68" s="28">
        <v>5</v>
      </c>
      <c r="S68">
        <f t="shared" si="24"/>
        <v>47.608124331030261</v>
      </c>
      <c r="T68" s="29">
        <f t="shared" si="25"/>
        <v>84.383203304923185</v>
      </c>
      <c r="U68">
        <v>608.226</v>
      </c>
      <c r="V68" s="29">
        <v>0.24199999999999999</v>
      </c>
      <c r="W68" s="30">
        <f>1/1.677</f>
        <v>0.59630292188431722</v>
      </c>
      <c r="X68">
        <f t="shared" si="26"/>
        <v>1.677</v>
      </c>
      <c r="Y68" s="3">
        <v>0.59599999999999997</v>
      </c>
      <c r="Z68" s="3">
        <v>0.58899999999999997</v>
      </c>
      <c r="AA68">
        <v>158.56299999999999</v>
      </c>
      <c r="AB68">
        <v>126.271</v>
      </c>
      <c r="AC68">
        <v>186.601</v>
      </c>
      <c r="AD68">
        <v>127.729</v>
      </c>
      <c r="AE68">
        <v>15725.154</v>
      </c>
      <c r="AF68" s="30">
        <f t="shared" si="27"/>
        <v>125.39997607655275</v>
      </c>
      <c r="AG68">
        <v>502.30399999999997</v>
      </c>
      <c r="AH68">
        <v>0.78300000000000003</v>
      </c>
      <c r="AI68">
        <f>1/1.256</f>
        <v>0.79617834394904463</v>
      </c>
      <c r="AJ68">
        <f t="shared" si="28"/>
        <v>1.256</v>
      </c>
      <c r="AK68">
        <v>0.79600000000000004</v>
      </c>
      <c r="AL68">
        <v>0.995</v>
      </c>
      <c r="AM68">
        <v>0.65</v>
      </c>
      <c r="AN68">
        <v>0.6385108911448526</v>
      </c>
      <c r="AO68">
        <v>122.90300000000001</v>
      </c>
      <c r="AQ68">
        <v>162.256</v>
      </c>
      <c r="AR68">
        <f t="shared" si="29"/>
        <v>0.75746351444630711</v>
      </c>
      <c r="AX68">
        <v>44.849999999999994</v>
      </c>
      <c r="AY68">
        <f>T68/AX68</f>
        <v>1.8814538083594916</v>
      </c>
    </row>
    <row r="69" spans="1:51" s="6" customFormat="1" x14ac:dyDescent="0.25">
      <c r="A69" s="6" t="s">
        <v>124</v>
      </c>
      <c r="B69" s="6" t="s">
        <v>125</v>
      </c>
      <c r="C69" s="6">
        <v>1179</v>
      </c>
      <c r="D69" s="6">
        <v>450</v>
      </c>
      <c r="E69" s="6">
        <v>6</v>
      </c>
      <c r="F69" s="6" t="s">
        <v>46</v>
      </c>
      <c r="G69" s="6" t="s">
        <v>47</v>
      </c>
      <c r="H69" s="6">
        <v>504109</v>
      </c>
      <c r="I69" s="39">
        <f t="shared" si="23"/>
        <v>1008218</v>
      </c>
      <c r="J69" s="6" t="s">
        <v>55</v>
      </c>
      <c r="K69" s="6" t="s">
        <v>43</v>
      </c>
      <c r="M69" s="15">
        <v>224.58600000000001</v>
      </c>
      <c r="N69" s="6">
        <v>74.293999999999997</v>
      </c>
      <c r="O69" s="6">
        <v>242.786</v>
      </c>
      <c r="P69" s="6">
        <v>92.302000000000007</v>
      </c>
      <c r="Q69" s="6">
        <v>13104.700999999999</v>
      </c>
      <c r="R69" s="39">
        <v>155.45896525732047</v>
      </c>
      <c r="S69" s="6">
        <f t="shared" si="24"/>
        <v>64.58603474267953</v>
      </c>
      <c r="T69" s="40">
        <f t="shared" si="25"/>
        <v>114.47576599437978</v>
      </c>
      <c r="U69" s="6">
        <v>639.23</v>
      </c>
      <c r="V69" s="40">
        <v>0.40300000000000002</v>
      </c>
      <c r="W69" s="41">
        <f>1/3.023</f>
        <v>0.33079722130334105</v>
      </c>
      <c r="X69" s="6">
        <f t="shared" si="26"/>
        <v>3.0230000000000001</v>
      </c>
      <c r="Y69" s="15">
        <v>0.33100000000000002</v>
      </c>
      <c r="Z69" s="15">
        <v>0.78</v>
      </c>
      <c r="AA69" s="6">
        <v>231.59800000000001</v>
      </c>
      <c r="AB69" s="6">
        <v>92.652000000000001</v>
      </c>
      <c r="AC69" s="6">
        <v>241.01900000000001</v>
      </c>
      <c r="AD69" s="6">
        <v>93.260999999999996</v>
      </c>
      <c r="AE69" s="6">
        <v>16853.164000000001</v>
      </c>
      <c r="AF69" s="41">
        <f t="shared" si="27"/>
        <v>129.81973655804421</v>
      </c>
      <c r="AG69" s="6">
        <v>550.04300000000001</v>
      </c>
      <c r="AH69" s="6">
        <v>0.7</v>
      </c>
      <c r="AI69" s="6">
        <f>1/2.5</f>
        <v>0.4</v>
      </c>
      <c r="AJ69" s="6">
        <f t="shared" si="28"/>
        <v>2.5</v>
      </c>
      <c r="AK69" s="6">
        <v>0.4</v>
      </c>
      <c r="AL69" s="6">
        <v>1</v>
      </c>
      <c r="AM69" s="6">
        <v>0.5</v>
      </c>
      <c r="AN69" s="6">
        <v>0.58211463024378396</v>
      </c>
      <c r="AO69" s="6">
        <v>161.67500000000001</v>
      </c>
      <c r="AQ69" s="6">
        <v>188.059</v>
      </c>
      <c r="AR69" s="6">
        <f t="shared" si="29"/>
        <v>0.85970360365629939</v>
      </c>
      <c r="AY69"/>
    </row>
    <row r="70" spans="1:51" x14ac:dyDescent="0.25">
      <c r="B70" t="s">
        <v>126</v>
      </c>
      <c r="C70">
        <v>1179</v>
      </c>
      <c r="D70">
        <v>500</v>
      </c>
      <c r="E70">
        <v>5</v>
      </c>
      <c r="G70" t="s">
        <v>42</v>
      </c>
      <c r="H70">
        <v>358390</v>
      </c>
      <c r="I70" s="28">
        <f t="shared" si="23"/>
        <v>716780</v>
      </c>
      <c r="J70" t="b">
        <v>0</v>
      </c>
      <c r="K70" t="s">
        <v>43</v>
      </c>
      <c r="M70" s="3">
        <v>145.714</v>
      </c>
      <c r="N70">
        <v>99.450999999999993</v>
      </c>
      <c r="O70">
        <v>194.8</v>
      </c>
      <c r="P70">
        <v>120.67</v>
      </c>
      <c r="Q70">
        <v>11381.484</v>
      </c>
      <c r="R70" s="28">
        <v>1315.0619769343571</v>
      </c>
      <c r="S70">
        <f t="shared" si="24"/>
        <v>60.190023065642983</v>
      </c>
      <c r="T70" s="29">
        <f t="shared" si="25"/>
        <v>106.68403816879075</v>
      </c>
      <c r="U70">
        <v>618.68600000000004</v>
      </c>
      <c r="V70" s="29">
        <v>0.374</v>
      </c>
      <c r="W70" s="30">
        <f>1/1.465</f>
        <v>0.68259385665529004</v>
      </c>
      <c r="X70">
        <f t="shared" si="26"/>
        <v>1.4650000000000001</v>
      </c>
      <c r="Y70" s="3">
        <v>0.68300000000000005</v>
      </c>
      <c r="Z70" s="3">
        <v>0.76100000000000001</v>
      </c>
      <c r="AA70">
        <v>171.845</v>
      </c>
      <c r="AB70">
        <v>111.59399999999999</v>
      </c>
      <c r="AC70">
        <v>198.20400000000001</v>
      </c>
      <c r="AD70">
        <v>119.911</v>
      </c>
      <c r="AE70">
        <v>15061.5</v>
      </c>
      <c r="AF70" s="30">
        <f t="shared" si="27"/>
        <v>122.72530301449656</v>
      </c>
      <c r="AG70">
        <v>495.84199999999998</v>
      </c>
      <c r="AH70">
        <v>0.77</v>
      </c>
      <c r="AI70">
        <f>1/1.54</f>
        <v>0.64935064935064934</v>
      </c>
      <c r="AJ70">
        <f t="shared" si="28"/>
        <v>1.54</v>
      </c>
      <c r="AK70">
        <v>0.64900000000000002</v>
      </c>
      <c r="AL70">
        <v>1</v>
      </c>
      <c r="AM70">
        <v>0.5</v>
      </c>
      <c r="AN70">
        <v>0.7888688593050408</v>
      </c>
      <c r="AO70">
        <v>135.01</v>
      </c>
      <c r="AQ70">
        <v>160.58000000000001</v>
      </c>
      <c r="AR70">
        <f t="shared" si="29"/>
        <v>0.84076472786150191</v>
      </c>
    </row>
    <row r="71" spans="1:51" x14ac:dyDescent="0.25">
      <c r="B71" t="s">
        <v>127</v>
      </c>
      <c r="C71">
        <v>1179</v>
      </c>
      <c r="D71">
        <v>600</v>
      </c>
      <c r="E71">
        <v>4</v>
      </c>
      <c r="G71" t="s">
        <v>47</v>
      </c>
      <c r="H71">
        <v>42567</v>
      </c>
      <c r="I71" s="28">
        <f t="shared" si="23"/>
        <v>85134</v>
      </c>
      <c r="J71" t="b">
        <v>0</v>
      </c>
      <c r="K71" t="s">
        <v>43</v>
      </c>
      <c r="M71" s="3">
        <v>32.865000000000002</v>
      </c>
      <c r="N71">
        <v>19.562999999999999</v>
      </c>
      <c r="O71">
        <v>33.901000000000003</v>
      </c>
      <c r="P71">
        <v>20.925999999999998</v>
      </c>
      <c r="Q71">
        <v>504.959</v>
      </c>
      <c r="R71" s="28">
        <v>65.012</v>
      </c>
      <c r="S71">
        <f t="shared" si="24"/>
        <v>12.678069325314512</v>
      </c>
      <c r="T71" s="29">
        <f t="shared" si="25"/>
        <v>22.471292797700805</v>
      </c>
      <c r="U71">
        <v>92.951999999999998</v>
      </c>
      <c r="V71" s="29">
        <v>0.73399999999999999</v>
      </c>
      <c r="W71" s="30">
        <f>1/1.68</f>
        <v>0.59523809523809523</v>
      </c>
      <c r="X71">
        <f t="shared" si="26"/>
        <v>1.68</v>
      </c>
      <c r="Y71" s="3">
        <v>0.59499999999999997</v>
      </c>
      <c r="Z71" s="3">
        <v>0.93</v>
      </c>
      <c r="AA71">
        <v>32.325000000000003</v>
      </c>
      <c r="AB71">
        <v>20.268999999999998</v>
      </c>
      <c r="AC71">
        <v>32.719000000000001</v>
      </c>
      <c r="AD71">
        <v>20.132999999999999</v>
      </c>
      <c r="AE71">
        <v>522.21100000000001</v>
      </c>
      <c r="AF71" s="30">
        <f t="shared" si="27"/>
        <v>22.851936460615324</v>
      </c>
      <c r="AG71">
        <v>87.159000000000006</v>
      </c>
      <c r="AH71">
        <v>0.86399999999999999</v>
      </c>
      <c r="AI71">
        <f>1/1.572</f>
        <v>0.63613231552162852</v>
      </c>
      <c r="AJ71">
        <f t="shared" si="28"/>
        <v>1.5719999999999998</v>
      </c>
      <c r="AK71">
        <v>0.63600000000000001</v>
      </c>
      <c r="AL71">
        <v>0.999</v>
      </c>
      <c r="AM71">
        <v>0.5</v>
      </c>
      <c r="AN71">
        <v>0.82402298855869294</v>
      </c>
      <c r="AO71">
        <v>24.222000000000001</v>
      </c>
      <c r="AQ71">
        <v>28.91</v>
      </c>
      <c r="AR71">
        <f t="shared" si="29"/>
        <v>0.83784157730888975</v>
      </c>
    </row>
    <row r="72" spans="1:51" x14ac:dyDescent="0.25">
      <c r="B72" t="s">
        <v>128</v>
      </c>
      <c r="C72">
        <v>1179</v>
      </c>
      <c r="D72">
        <v>500</v>
      </c>
      <c r="E72">
        <v>5</v>
      </c>
      <c r="F72" t="s">
        <v>46</v>
      </c>
      <c r="G72" t="s">
        <v>47</v>
      </c>
      <c r="H72">
        <v>269754</v>
      </c>
      <c r="I72" s="28">
        <f t="shared" si="23"/>
        <v>539508</v>
      </c>
      <c r="J72" t="s">
        <v>55</v>
      </c>
      <c r="K72" t="s">
        <v>43</v>
      </c>
      <c r="L72" t="s">
        <v>44</v>
      </c>
      <c r="M72" s="3">
        <v>78.105000000000004</v>
      </c>
      <c r="N72">
        <v>50.363</v>
      </c>
      <c r="O72">
        <v>91.867000000000004</v>
      </c>
      <c r="P72">
        <v>69.057000000000002</v>
      </c>
      <c r="Q72">
        <v>3089.4250000000002</v>
      </c>
      <c r="R72" s="28">
        <v>36.065878199105164</v>
      </c>
      <c r="S72">
        <f t="shared" si="24"/>
        <v>31.359121800894833</v>
      </c>
      <c r="T72" s="29">
        <f t="shared" si="25"/>
        <v>55.582596197011163</v>
      </c>
      <c r="U72">
        <v>338.71100000000001</v>
      </c>
      <c r="V72" s="29">
        <v>0.33800000000000002</v>
      </c>
      <c r="W72" s="30">
        <f>1/1.551</f>
        <v>0.64474532559638942</v>
      </c>
      <c r="X72">
        <f t="shared" si="26"/>
        <v>1.5509999999999999</v>
      </c>
      <c r="Y72" s="3">
        <v>0.64500000000000002</v>
      </c>
      <c r="Z72" s="3">
        <v>0.67600000000000005</v>
      </c>
      <c r="AA72">
        <v>109.547</v>
      </c>
      <c r="AB72">
        <v>73.33</v>
      </c>
      <c r="AC72">
        <v>115.125</v>
      </c>
      <c r="AD72">
        <v>71.150999999999996</v>
      </c>
      <c r="AE72">
        <v>6309.2060000000001</v>
      </c>
      <c r="AF72" s="30">
        <f t="shared" si="27"/>
        <v>79.430510510760286</v>
      </c>
      <c r="AG72">
        <v>314.77300000000002</v>
      </c>
      <c r="AH72">
        <v>0.8</v>
      </c>
      <c r="AI72">
        <f>1/1.494</f>
        <v>0.66934404283801874</v>
      </c>
      <c r="AJ72">
        <f t="shared" si="28"/>
        <v>1.494</v>
      </c>
      <c r="AK72">
        <v>0.66900000000000004</v>
      </c>
      <c r="AL72">
        <v>0.996</v>
      </c>
      <c r="AM72">
        <v>0.65</v>
      </c>
      <c r="AN72">
        <v>0</v>
      </c>
      <c r="AO72">
        <v>69.117000000000004</v>
      </c>
      <c r="AQ72">
        <v>74.674999999999997</v>
      </c>
      <c r="AR72">
        <f t="shared" si="29"/>
        <v>0.92557080682959503</v>
      </c>
    </row>
    <row r="73" spans="1:51" x14ac:dyDescent="0.25">
      <c r="B73" t="s">
        <v>129</v>
      </c>
      <c r="C73">
        <v>1179</v>
      </c>
      <c r="D73">
        <v>450</v>
      </c>
      <c r="E73">
        <v>6</v>
      </c>
      <c r="F73" t="s">
        <v>46</v>
      </c>
      <c r="G73" t="s">
        <v>47</v>
      </c>
      <c r="H73">
        <v>118193</v>
      </c>
      <c r="I73" s="28">
        <f t="shared" si="23"/>
        <v>236386</v>
      </c>
      <c r="J73" t="s">
        <v>55</v>
      </c>
      <c r="K73" t="s">
        <v>43</v>
      </c>
      <c r="M73" s="3">
        <v>72.855999999999995</v>
      </c>
      <c r="N73">
        <v>42.017000000000003</v>
      </c>
      <c r="O73">
        <v>94.644999999999996</v>
      </c>
      <c r="P73">
        <v>46.9</v>
      </c>
      <c r="Q73">
        <v>2404.2420000000002</v>
      </c>
      <c r="R73" s="28">
        <v>0</v>
      </c>
      <c r="S73">
        <f t="shared" si="24"/>
        <v>27.663947610171064</v>
      </c>
      <c r="T73" s="29">
        <f t="shared" si="25"/>
        <v>49.033070472896149</v>
      </c>
      <c r="U73">
        <v>268.26600000000002</v>
      </c>
      <c r="V73" s="29">
        <v>0.42</v>
      </c>
      <c r="W73" s="30">
        <f>1/1.734</f>
        <v>0.57670126874279126</v>
      </c>
      <c r="X73">
        <f t="shared" si="26"/>
        <v>1.734</v>
      </c>
      <c r="Y73" s="3">
        <v>0.57699999999999996</v>
      </c>
      <c r="Z73" s="3">
        <v>0.745</v>
      </c>
      <c r="AA73">
        <v>95.575000000000003</v>
      </c>
      <c r="AB73">
        <v>54.106999999999999</v>
      </c>
      <c r="AC73">
        <v>99.055000000000007</v>
      </c>
      <c r="AD73">
        <v>50.215000000000003</v>
      </c>
      <c r="AE73">
        <v>4061.5070000000001</v>
      </c>
      <c r="AF73" s="30">
        <f t="shared" si="27"/>
        <v>63.729953710951335</v>
      </c>
      <c r="AG73">
        <v>256.66899999999998</v>
      </c>
      <c r="AH73">
        <v>0.77500000000000002</v>
      </c>
      <c r="AI73">
        <f>1/1.766</f>
        <v>0.56625141562853909</v>
      </c>
      <c r="AJ73">
        <f t="shared" si="28"/>
        <v>1.766</v>
      </c>
      <c r="AK73">
        <v>0.56599999999999995</v>
      </c>
      <c r="AL73">
        <v>0.999</v>
      </c>
      <c r="AM73">
        <v>0.65</v>
      </c>
      <c r="AN73">
        <v>0.75868243987716621</v>
      </c>
      <c r="AO73">
        <v>47.345999999999997</v>
      </c>
      <c r="AP73">
        <v>6.0039999999999996</v>
      </c>
      <c r="AQ73">
        <v>89.778999999999996</v>
      </c>
      <c r="AR73">
        <f t="shared" si="29"/>
        <v>0.52736163245302348</v>
      </c>
      <c r="AS73">
        <f>AQ73/(AP73*0.5)</f>
        <v>29.906395736175885</v>
      </c>
      <c r="AT73">
        <f>T73*SQRT(AS73)</f>
        <v>268.14587950877592</v>
      </c>
      <c r="AU73">
        <f>AT73+R73</f>
        <v>268.14587950877592</v>
      </c>
      <c r="AV73">
        <f>1+1.464*(AS73^1.65)</f>
        <v>399.6133153100098</v>
      </c>
      <c r="AW73">
        <f>AU73/AV73</f>
        <v>0.67101337526942817</v>
      </c>
      <c r="AX73">
        <v>44.349999999999994</v>
      </c>
      <c r="AY73">
        <f>T73/AX73</f>
        <v>1.1055934717676699</v>
      </c>
    </row>
    <row r="74" spans="1:51" x14ac:dyDescent="0.25">
      <c r="B74" t="s">
        <v>130</v>
      </c>
      <c r="C74">
        <v>1179</v>
      </c>
      <c r="D74">
        <v>500</v>
      </c>
      <c r="E74">
        <v>5</v>
      </c>
      <c r="F74" t="s">
        <v>49</v>
      </c>
      <c r="G74" t="s">
        <v>47</v>
      </c>
      <c r="H74">
        <v>87299</v>
      </c>
      <c r="I74" s="28">
        <f t="shared" si="23"/>
        <v>174598</v>
      </c>
      <c r="J74" t="s">
        <v>55</v>
      </c>
      <c r="K74" t="s">
        <v>43</v>
      </c>
      <c r="M74" s="3">
        <v>69.691000000000003</v>
      </c>
      <c r="N74">
        <v>42.036999999999999</v>
      </c>
      <c r="O74">
        <v>86.278999999999996</v>
      </c>
      <c r="P74">
        <v>55.866</v>
      </c>
      <c r="Q74">
        <v>2300.9009999999998</v>
      </c>
      <c r="R74" s="28">
        <v>14.384</v>
      </c>
      <c r="S74">
        <f t="shared" si="24"/>
        <v>27.062881136903552</v>
      </c>
      <c r="T74" s="29">
        <f t="shared" si="25"/>
        <v>47.96770788770295</v>
      </c>
      <c r="U74">
        <v>236.44</v>
      </c>
      <c r="V74" s="29">
        <v>0.51700000000000002</v>
      </c>
      <c r="W74" s="30">
        <f>1/1.658</f>
        <v>0.60313630880579017</v>
      </c>
      <c r="X74">
        <f t="shared" si="26"/>
        <v>1.6579999999999999</v>
      </c>
      <c r="Y74" s="3">
        <v>0.60299999999999998</v>
      </c>
      <c r="Z74" s="3">
        <v>0.78</v>
      </c>
      <c r="AA74">
        <v>83.912000000000006</v>
      </c>
      <c r="AB74">
        <v>82.558999999999997</v>
      </c>
      <c r="AC74">
        <v>104.971</v>
      </c>
      <c r="AD74">
        <v>73.989999999999995</v>
      </c>
      <c r="AE74">
        <v>5441.0569999999998</v>
      </c>
      <c r="AF74" s="30">
        <f t="shared" si="27"/>
        <v>73.763520794495705</v>
      </c>
      <c r="AG74">
        <v>292.26299999999998</v>
      </c>
      <c r="AH74">
        <v>0.8</v>
      </c>
      <c r="AI74">
        <f>1/1.016</f>
        <v>0.98425196850393704</v>
      </c>
      <c r="AJ74">
        <f t="shared" si="28"/>
        <v>1.016</v>
      </c>
      <c r="AK74">
        <v>0.98399999999999999</v>
      </c>
      <c r="AL74">
        <v>0.998</v>
      </c>
      <c r="AM74">
        <v>0.65</v>
      </c>
      <c r="AN74">
        <v>0.75414882848876508</v>
      </c>
      <c r="AO74">
        <v>80.025999999999996</v>
      </c>
      <c r="AP74">
        <v>0</v>
      </c>
      <c r="AQ74">
        <v>65.856999999999999</v>
      </c>
      <c r="AR74">
        <f t="shared" si="29"/>
        <v>1.2151479721214145</v>
      </c>
      <c r="AX74">
        <v>81.959000000000003</v>
      </c>
      <c r="AY74">
        <f>T74/AX74</f>
        <v>0.58526467975088703</v>
      </c>
    </row>
    <row r="75" spans="1:51" x14ac:dyDescent="0.25">
      <c r="B75" t="s">
        <v>131</v>
      </c>
      <c r="C75">
        <v>1179</v>
      </c>
      <c r="D75">
        <v>450</v>
      </c>
      <c r="E75">
        <v>6</v>
      </c>
      <c r="F75" t="s">
        <v>49</v>
      </c>
      <c r="G75" t="s">
        <v>47</v>
      </c>
      <c r="H75">
        <v>78108</v>
      </c>
      <c r="I75" s="28">
        <f t="shared" si="23"/>
        <v>156216</v>
      </c>
      <c r="J75" t="s">
        <v>55</v>
      </c>
      <c r="K75" t="s">
        <v>43</v>
      </c>
      <c r="M75" s="3">
        <v>87.19</v>
      </c>
      <c r="N75">
        <v>60.631</v>
      </c>
      <c r="O75">
        <v>97.700999999999993</v>
      </c>
      <c r="P75">
        <v>65.027000000000001</v>
      </c>
      <c r="Q75">
        <v>4151.951</v>
      </c>
      <c r="R75" s="28">
        <v>0</v>
      </c>
      <c r="S75">
        <f t="shared" si="24"/>
        <v>36.35391382300778</v>
      </c>
      <c r="T75" s="29">
        <f t="shared" si="25"/>
        <v>64.435634551077399</v>
      </c>
      <c r="U75">
        <v>276.875</v>
      </c>
      <c r="V75" s="29">
        <v>0.68100000000000005</v>
      </c>
      <c r="W75" s="30">
        <f>1/1.438</f>
        <v>0.69541029207232274</v>
      </c>
      <c r="X75">
        <f t="shared" si="26"/>
        <v>1.4379999999999999</v>
      </c>
      <c r="Y75" s="3">
        <v>0.69499999999999995</v>
      </c>
      <c r="Z75" s="3">
        <v>0.92500000000000004</v>
      </c>
      <c r="AA75">
        <v>100.19499999999999</v>
      </c>
      <c r="AB75">
        <v>61.563000000000002</v>
      </c>
      <c r="AC75">
        <v>110.742</v>
      </c>
      <c r="AD75">
        <v>65.397000000000006</v>
      </c>
      <c r="AE75">
        <v>4844.54</v>
      </c>
      <c r="AF75" s="30">
        <f t="shared" si="27"/>
        <v>69.602729831523135</v>
      </c>
      <c r="AG75">
        <v>286.286</v>
      </c>
      <c r="AH75">
        <v>0.74299999999999999</v>
      </c>
      <c r="AI75">
        <f>1/1.628</f>
        <v>0.61425061425061434</v>
      </c>
      <c r="AJ75">
        <f t="shared" si="28"/>
        <v>1.6279999999999997</v>
      </c>
      <c r="AK75">
        <v>0.61399999999999999</v>
      </c>
      <c r="AL75">
        <v>0.996</v>
      </c>
      <c r="AM75">
        <v>0.65</v>
      </c>
      <c r="AN75">
        <v>0.82418702627113993</v>
      </c>
      <c r="AO75">
        <v>96.230999999999995</v>
      </c>
      <c r="AQ75">
        <v>66.031000000000006</v>
      </c>
      <c r="AR75">
        <f t="shared" si="29"/>
        <v>1.4573609365298115</v>
      </c>
    </row>
    <row r="76" spans="1:51" x14ac:dyDescent="0.25">
      <c r="B76" t="s">
        <v>132</v>
      </c>
      <c r="C76">
        <v>1179</v>
      </c>
      <c r="D76">
        <v>450</v>
      </c>
      <c r="E76">
        <v>6</v>
      </c>
      <c r="G76" t="s">
        <v>47</v>
      </c>
      <c r="H76">
        <v>67423</v>
      </c>
      <c r="I76" s="28">
        <f t="shared" si="23"/>
        <v>134846</v>
      </c>
      <c r="J76" t="s">
        <v>55</v>
      </c>
      <c r="K76" t="s">
        <v>43</v>
      </c>
      <c r="M76" s="3">
        <v>156.85900000000001</v>
      </c>
      <c r="N76">
        <v>44.274999999999999</v>
      </c>
      <c r="O76">
        <v>179.114</v>
      </c>
      <c r="P76">
        <v>60.265999999999998</v>
      </c>
      <c r="Q76">
        <v>5454.5280000000002</v>
      </c>
      <c r="R76" s="28">
        <v>27.003</v>
      </c>
      <c r="S76">
        <f t="shared" si="24"/>
        <v>41.668095551228397</v>
      </c>
      <c r="T76" s="29">
        <f t="shared" si="25"/>
        <v>73.854776419673769</v>
      </c>
      <c r="U76">
        <v>451.97500000000002</v>
      </c>
      <c r="V76" s="29">
        <v>0.33600000000000002</v>
      </c>
      <c r="W76" s="30">
        <f>1/3.543</f>
        <v>0.28224668360146765</v>
      </c>
      <c r="X76">
        <f t="shared" si="26"/>
        <v>3.5430000000000006</v>
      </c>
      <c r="Y76" s="3">
        <v>0.28199999999999997</v>
      </c>
      <c r="Z76" s="3">
        <v>0.65600000000000003</v>
      </c>
      <c r="AA76">
        <v>197.37799999999999</v>
      </c>
      <c r="AB76">
        <v>88.305000000000007</v>
      </c>
      <c r="AC76">
        <v>202.53</v>
      </c>
      <c r="AD76">
        <v>97.004000000000005</v>
      </c>
      <c r="AE76">
        <v>13689.163</v>
      </c>
      <c r="AF76" s="30">
        <f t="shared" si="27"/>
        <v>117.00069657912299</v>
      </c>
      <c r="AG76">
        <v>511.57100000000003</v>
      </c>
      <c r="AH76">
        <v>0.65700000000000003</v>
      </c>
      <c r="AI76">
        <f>1/2.235</f>
        <v>0.447427293064877</v>
      </c>
      <c r="AJ76">
        <f t="shared" si="28"/>
        <v>2.2349999999999999</v>
      </c>
      <c r="AK76">
        <v>0.44700000000000001</v>
      </c>
      <c r="AL76">
        <v>0.998</v>
      </c>
      <c r="AM76">
        <v>0.65</v>
      </c>
      <c r="AN76">
        <v>0.56500934445361761</v>
      </c>
      <c r="AO76">
        <v>105.001</v>
      </c>
      <c r="AQ76">
        <v>162.40299999999999</v>
      </c>
      <c r="AR76">
        <f t="shared" si="29"/>
        <v>0.64654593819079698</v>
      </c>
      <c r="AX76">
        <v>70.5</v>
      </c>
      <c r="AY76">
        <f>T76/AX76</f>
        <v>1.0475854811301244</v>
      </c>
    </row>
    <row r="77" spans="1:51" x14ac:dyDescent="0.25">
      <c r="B77" t="s">
        <v>133</v>
      </c>
      <c r="C77">
        <v>1179</v>
      </c>
      <c r="D77">
        <v>600</v>
      </c>
      <c r="E77">
        <v>4</v>
      </c>
      <c r="G77" t="s">
        <v>42</v>
      </c>
      <c r="H77">
        <v>16296</v>
      </c>
      <c r="I77" s="28">
        <f t="shared" si="23"/>
        <v>32592</v>
      </c>
      <c r="J77" t="s">
        <v>55</v>
      </c>
      <c r="K77" t="s">
        <v>43</v>
      </c>
      <c r="L77" t="s">
        <v>44</v>
      </c>
      <c r="M77" s="3">
        <v>245.685</v>
      </c>
      <c r="N77">
        <v>30.122</v>
      </c>
      <c r="O77">
        <v>262.428</v>
      </c>
      <c r="P77">
        <v>45.609000000000002</v>
      </c>
      <c r="Q77">
        <v>5812.3819999999996</v>
      </c>
      <c r="R77" s="28">
        <v>0</v>
      </c>
      <c r="S77">
        <f t="shared" si="24"/>
        <v>43.013238111966338</v>
      </c>
      <c r="T77" s="29">
        <f t="shared" si="25"/>
        <v>76.238979531470648</v>
      </c>
      <c r="U77">
        <v>701.33900000000006</v>
      </c>
      <c r="V77" s="29">
        <v>0.14799999999999999</v>
      </c>
      <c r="W77" s="30">
        <f>1/8.156</f>
        <v>0.12260912211868562</v>
      </c>
      <c r="X77">
        <f t="shared" si="26"/>
        <v>8.1560000000000006</v>
      </c>
      <c r="Y77" s="3">
        <v>0.123</v>
      </c>
      <c r="Z77" s="3">
        <v>0.58299999999999996</v>
      </c>
      <c r="AA77">
        <v>236.577</v>
      </c>
      <c r="AB77">
        <v>127.121</v>
      </c>
      <c r="AC77">
        <v>270.755</v>
      </c>
      <c r="AD77">
        <v>149.27600000000001</v>
      </c>
      <c r="AE77">
        <v>23619.903999999999</v>
      </c>
      <c r="AF77" s="30">
        <f t="shared" si="27"/>
        <v>153.68768330611272</v>
      </c>
      <c r="AG77">
        <v>666.27700000000004</v>
      </c>
      <c r="AH77">
        <v>0.66900000000000004</v>
      </c>
      <c r="AI77">
        <f>1/1.861</f>
        <v>0.53734551316496504</v>
      </c>
      <c r="AJ77">
        <f t="shared" si="28"/>
        <v>1.8610000000000002</v>
      </c>
      <c r="AK77">
        <v>0.53700000000000003</v>
      </c>
      <c r="AL77">
        <v>1</v>
      </c>
      <c r="AM77">
        <v>0.65</v>
      </c>
      <c r="AN77">
        <v>0</v>
      </c>
      <c r="AO77">
        <v>238.68700000000001</v>
      </c>
      <c r="AQ77">
        <v>157.79599999999999</v>
      </c>
      <c r="AR77">
        <f t="shared" si="29"/>
        <v>1.5126302314380595</v>
      </c>
    </row>
    <row r="78" spans="1:51" x14ac:dyDescent="0.25">
      <c r="B78" t="s">
        <v>134</v>
      </c>
      <c r="C78">
        <v>1179</v>
      </c>
      <c r="D78">
        <v>600</v>
      </c>
      <c r="E78">
        <v>4</v>
      </c>
      <c r="G78" t="s">
        <v>47</v>
      </c>
      <c r="H78">
        <v>15280</v>
      </c>
      <c r="I78" s="28">
        <f t="shared" si="23"/>
        <v>30560</v>
      </c>
      <c r="J78" t="s">
        <v>55</v>
      </c>
      <c r="K78" t="s">
        <v>43</v>
      </c>
      <c r="L78" t="s">
        <v>135</v>
      </c>
      <c r="M78" s="3">
        <v>177.02</v>
      </c>
      <c r="N78">
        <v>154.33500000000001</v>
      </c>
      <c r="O78">
        <v>237.636</v>
      </c>
      <c r="P78">
        <v>188.197</v>
      </c>
      <c r="Q78">
        <v>21457.405999999999</v>
      </c>
      <c r="R78" s="28">
        <v>0</v>
      </c>
      <c r="S78">
        <f t="shared" si="24"/>
        <v>82.644446042425542</v>
      </c>
      <c r="T78" s="29">
        <f t="shared" si="25"/>
        <v>146.48346664385028</v>
      </c>
      <c r="U78">
        <v>1334.8150000000001</v>
      </c>
      <c r="V78" s="29">
        <v>0.151</v>
      </c>
      <c r="W78" s="30">
        <f>1/1.147</f>
        <v>0.87183958151700081</v>
      </c>
      <c r="X78">
        <f t="shared" si="26"/>
        <v>1.147</v>
      </c>
      <c r="Y78" s="3">
        <v>0.872</v>
      </c>
      <c r="Z78" s="3">
        <v>0.63700000000000001</v>
      </c>
      <c r="AA78">
        <v>224.30099999999999</v>
      </c>
      <c r="AB78">
        <v>202.28700000000001</v>
      </c>
      <c r="AC78">
        <v>250.91800000000001</v>
      </c>
      <c r="AD78">
        <v>195.83799999999999</v>
      </c>
      <c r="AE78">
        <v>35635.921999999999</v>
      </c>
      <c r="AF78" s="30">
        <f t="shared" si="27"/>
        <v>188.77479174932228</v>
      </c>
      <c r="AG78">
        <v>729.33199999999999</v>
      </c>
      <c r="AH78">
        <v>0.84199999999999997</v>
      </c>
      <c r="AI78">
        <f>1/1.109</f>
        <v>0.90171325518485124</v>
      </c>
      <c r="AJ78">
        <f t="shared" si="28"/>
        <v>1.109</v>
      </c>
      <c r="AK78">
        <v>0.90200000000000002</v>
      </c>
      <c r="AL78">
        <v>0.998</v>
      </c>
      <c r="AM78">
        <v>0.65</v>
      </c>
      <c r="AN78">
        <v>0</v>
      </c>
      <c r="AO78">
        <v>218.845</v>
      </c>
      <c r="AQ78">
        <v>193.47499999999999</v>
      </c>
      <c r="AR78">
        <f t="shared" si="29"/>
        <v>1.1311280527199896</v>
      </c>
      <c r="AX78">
        <v>74.45</v>
      </c>
      <c r="AY78">
        <f>T78/AX78</f>
        <v>1.9675415264452689</v>
      </c>
    </row>
    <row r="79" spans="1:51" x14ac:dyDescent="0.25">
      <c r="B79" t="s">
        <v>136</v>
      </c>
      <c r="C79">
        <v>1179</v>
      </c>
      <c r="D79">
        <v>500</v>
      </c>
      <c r="E79">
        <v>5</v>
      </c>
      <c r="G79" t="s">
        <v>47</v>
      </c>
      <c r="H79">
        <v>34633</v>
      </c>
      <c r="I79" s="28">
        <f t="shared" si="23"/>
        <v>69266</v>
      </c>
      <c r="J79" t="s">
        <v>55</v>
      </c>
      <c r="K79" t="s">
        <v>43</v>
      </c>
      <c r="L79" t="s">
        <v>44</v>
      </c>
      <c r="M79" s="3">
        <v>116.33799999999999</v>
      </c>
      <c r="N79">
        <v>32.183999999999997</v>
      </c>
      <c r="O79">
        <v>170.48699999999999</v>
      </c>
      <c r="P79">
        <v>53.764000000000003</v>
      </c>
      <c r="Q79">
        <v>2940.7220000000002</v>
      </c>
      <c r="R79" s="28">
        <v>0</v>
      </c>
      <c r="S79">
        <f t="shared" si="24"/>
        <v>30.595112111547646</v>
      </c>
      <c r="T79" s="29">
        <f t="shared" si="25"/>
        <v>54.228424280998617</v>
      </c>
      <c r="U79">
        <v>442.01499999999999</v>
      </c>
      <c r="V79" s="29">
        <v>0.189</v>
      </c>
      <c r="W79" s="30">
        <f>1/3.615</f>
        <v>0.27662517289073302</v>
      </c>
      <c r="X79">
        <f t="shared" si="26"/>
        <v>3.6150000000000007</v>
      </c>
      <c r="Y79" s="3">
        <v>0.27700000000000002</v>
      </c>
      <c r="Z79" s="3">
        <v>0.51500000000000001</v>
      </c>
      <c r="AA79">
        <v>142.26300000000001</v>
      </c>
      <c r="AB79">
        <v>70.828999999999994</v>
      </c>
      <c r="AC79">
        <v>171.761</v>
      </c>
      <c r="AD79">
        <v>84.521000000000001</v>
      </c>
      <c r="AE79">
        <v>7913.9610000000002</v>
      </c>
      <c r="AF79" s="30">
        <f t="shared" si="27"/>
        <v>88.960446266866271</v>
      </c>
      <c r="AG79">
        <v>408.50700000000001</v>
      </c>
      <c r="AH79">
        <v>0.59599999999999997</v>
      </c>
      <c r="AI79">
        <f>1/2.009</f>
        <v>0.49776007964161278</v>
      </c>
      <c r="AJ79">
        <f t="shared" si="28"/>
        <v>2.0089999999999999</v>
      </c>
      <c r="AK79">
        <v>0.498</v>
      </c>
      <c r="AL79">
        <v>1</v>
      </c>
      <c r="AM79">
        <v>0.65</v>
      </c>
      <c r="AN79">
        <v>0</v>
      </c>
      <c r="AO79">
        <v>74.492000000000004</v>
      </c>
      <c r="AQ79">
        <v>104.559</v>
      </c>
      <c r="AR79">
        <f t="shared" si="29"/>
        <v>0.71243986648686397</v>
      </c>
    </row>
    <row r="80" spans="1:51" x14ac:dyDescent="0.25">
      <c r="B80" t="s">
        <v>137</v>
      </c>
      <c r="C80">
        <v>1179</v>
      </c>
      <c r="D80">
        <v>600</v>
      </c>
      <c r="E80">
        <v>4</v>
      </c>
      <c r="F80" t="s">
        <v>49</v>
      </c>
      <c r="G80" t="s">
        <v>47</v>
      </c>
      <c r="H80">
        <v>8667</v>
      </c>
      <c r="I80" s="28">
        <f t="shared" si="23"/>
        <v>17334</v>
      </c>
      <c r="J80" t="s">
        <v>55</v>
      </c>
      <c r="K80" t="s">
        <v>43</v>
      </c>
      <c r="L80" t="s">
        <v>135</v>
      </c>
      <c r="M80" s="3">
        <v>343.36799999999999</v>
      </c>
      <c r="N80">
        <v>159.06899999999999</v>
      </c>
      <c r="O80">
        <v>447.02199999999999</v>
      </c>
      <c r="P80">
        <v>241.494</v>
      </c>
      <c r="Q80">
        <v>42897.851000000002</v>
      </c>
      <c r="R80" s="28">
        <v>0</v>
      </c>
      <c r="S80">
        <f t="shared" si="24"/>
        <v>116.85379783874896</v>
      </c>
      <c r="T80" s="29">
        <f t="shared" si="25"/>
        <v>207.11796397222525</v>
      </c>
      <c r="U80">
        <v>1854.817</v>
      </c>
      <c r="V80" s="29">
        <v>0.157</v>
      </c>
      <c r="W80" s="30">
        <f>1/2.159</f>
        <v>0.46317739694302923</v>
      </c>
      <c r="X80">
        <f t="shared" si="26"/>
        <v>2.1589999999999998</v>
      </c>
      <c r="Y80" s="3">
        <v>0.46300000000000002</v>
      </c>
      <c r="Z80" s="3">
        <v>0.57299999999999995</v>
      </c>
      <c r="AA80">
        <v>477.46</v>
      </c>
      <c r="AB80">
        <v>238.18299999999999</v>
      </c>
      <c r="AC80">
        <v>477.125</v>
      </c>
      <c r="AD80">
        <v>246.02600000000001</v>
      </c>
      <c r="AE80">
        <v>89317.495999999999</v>
      </c>
      <c r="AF80" s="30">
        <f t="shared" si="27"/>
        <v>298.86032858176407</v>
      </c>
      <c r="AG80">
        <v>1222.1199999999999</v>
      </c>
      <c r="AH80">
        <v>0.996</v>
      </c>
      <c r="AI80">
        <f>1/2.005</f>
        <v>0.49875311720698257</v>
      </c>
      <c r="AJ80">
        <f t="shared" si="28"/>
        <v>2.0049999999999999</v>
      </c>
      <c r="AK80">
        <v>0.499</v>
      </c>
      <c r="AL80">
        <v>0.996</v>
      </c>
      <c r="AM80">
        <v>0.65</v>
      </c>
      <c r="AN80">
        <v>0</v>
      </c>
      <c r="AO80">
        <v>461.25799999999998</v>
      </c>
      <c r="AQ80">
        <v>248.917</v>
      </c>
      <c r="AR80">
        <f t="shared" si="29"/>
        <v>1.8530594535527907</v>
      </c>
    </row>
    <row r="81" spans="1:54" s="6" customFormat="1" ht="13.5" customHeight="1" x14ac:dyDescent="0.25">
      <c r="A81" s="6" t="s">
        <v>138</v>
      </c>
      <c r="B81" s="26" t="s">
        <v>139</v>
      </c>
      <c r="C81" s="26">
        <v>1147</v>
      </c>
      <c r="D81" s="6">
        <v>600</v>
      </c>
      <c r="H81" s="6">
        <v>1479623</v>
      </c>
      <c r="I81" s="39">
        <f t="shared" si="23"/>
        <v>2959246</v>
      </c>
      <c r="J81" s="6" t="b">
        <v>0</v>
      </c>
      <c r="K81" s="6" t="s">
        <v>43</v>
      </c>
      <c r="M81" s="15">
        <v>37.158000000000001</v>
      </c>
      <c r="N81" s="6">
        <v>16.437999999999999</v>
      </c>
      <c r="O81" s="6">
        <v>48.844999999999999</v>
      </c>
      <c r="P81" s="6">
        <v>21.751000000000001</v>
      </c>
      <c r="Q81" s="6">
        <v>479.714</v>
      </c>
      <c r="R81" s="39">
        <v>339.54890856468359</v>
      </c>
      <c r="S81" s="6">
        <f t="shared" si="24"/>
        <v>12.357091435316441</v>
      </c>
      <c r="T81" s="40">
        <f t="shared" si="25"/>
        <v>21.902374300518197</v>
      </c>
      <c r="U81" s="6">
        <v>141.80600000000001</v>
      </c>
      <c r="V81" s="40">
        <v>0.3</v>
      </c>
      <c r="W81" s="41">
        <f>1/2.26</f>
        <v>0.44247787610619471</v>
      </c>
      <c r="Y81" s="15">
        <v>0.442</v>
      </c>
      <c r="Z81" s="15">
        <v>0.71</v>
      </c>
      <c r="AA81" s="6">
        <v>45.619</v>
      </c>
      <c r="AB81" s="6">
        <v>20.893999999999998</v>
      </c>
      <c r="AC81" s="6">
        <v>49.25</v>
      </c>
      <c r="AD81" s="6">
        <v>23.006</v>
      </c>
      <c r="AE81" s="6">
        <v>748.61800000000005</v>
      </c>
      <c r="AF81" s="41">
        <f t="shared" si="27"/>
        <v>27.360884488627192</v>
      </c>
      <c r="AG81" s="6">
        <v>114.248</v>
      </c>
      <c r="AH81" s="6">
        <v>0.72099999999999997</v>
      </c>
      <c r="AI81" s="6">
        <f>1/2.183</f>
        <v>0.45808520384791573</v>
      </c>
      <c r="AK81" s="6">
        <v>0.45800000000000002</v>
      </c>
      <c r="AL81" s="6">
        <v>1</v>
      </c>
      <c r="AN81" s="6" t="e">
        <v>#VALUE!</v>
      </c>
      <c r="AO81" s="6">
        <v>47.886000000000003</v>
      </c>
      <c r="AQ81" s="6">
        <v>24.279</v>
      </c>
      <c r="AR81" s="6">
        <f t="shared" si="29"/>
        <v>1.9723217595452862</v>
      </c>
      <c r="AY81"/>
    </row>
    <row r="82" spans="1:54" ht="13.5" customHeight="1" x14ac:dyDescent="0.25">
      <c r="B82" t="s">
        <v>140</v>
      </c>
      <c r="C82">
        <v>1147</v>
      </c>
      <c r="D82">
        <v>600</v>
      </c>
      <c r="H82">
        <v>1810234</v>
      </c>
      <c r="I82" s="28">
        <f t="shared" si="23"/>
        <v>3620468</v>
      </c>
      <c r="J82" t="b">
        <v>0</v>
      </c>
      <c r="K82" t="s">
        <v>141</v>
      </c>
      <c r="L82" t="s">
        <v>60</v>
      </c>
      <c r="M82" s="3">
        <v>7.7859999999999996</v>
      </c>
      <c r="N82">
        <v>6.9210000000000003</v>
      </c>
      <c r="O82">
        <v>7.7779999999999996</v>
      </c>
      <c r="P82">
        <v>6.8890000000000002</v>
      </c>
      <c r="Q82">
        <v>42.320999999999998</v>
      </c>
      <c r="R82" s="28">
        <v>1446.8689999999999</v>
      </c>
      <c r="S82">
        <f t="shared" si="24"/>
        <v>3.6703123427283684</v>
      </c>
      <c r="T82" s="29">
        <f t="shared" si="25"/>
        <v>6.5054592458949427</v>
      </c>
      <c r="U82">
        <v>23.06</v>
      </c>
      <c r="V82" s="29">
        <v>1</v>
      </c>
      <c r="W82" s="30">
        <f>1/1.125</f>
        <v>0.88888888888888884</v>
      </c>
      <c r="Y82" s="3">
        <v>0.88900000000000001</v>
      </c>
      <c r="Z82" s="3">
        <v>1.0089999999999999</v>
      </c>
      <c r="AA82">
        <f>M82</f>
        <v>7.7859999999999996</v>
      </c>
      <c r="AB82">
        <f>N82</f>
        <v>6.9210000000000003</v>
      </c>
      <c r="AC82">
        <f>O82</f>
        <v>7.7779999999999996</v>
      </c>
      <c r="AD82">
        <f>P82</f>
        <v>6.8890000000000002</v>
      </c>
      <c r="AE82">
        <f>Q82</f>
        <v>42.320999999999998</v>
      </c>
      <c r="AF82" s="30">
        <f t="shared" si="27"/>
        <v>6.5054592458949427</v>
      </c>
      <c r="AG82">
        <f>U82</f>
        <v>23.06</v>
      </c>
      <c r="AH82">
        <f>V82</f>
        <v>1</v>
      </c>
      <c r="AI82">
        <f>W82</f>
        <v>0.88888888888888884</v>
      </c>
      <c r="AK82">
        <f>Y82</f>
        <v>0.88900000000000001</v>
      </c>
      <c r="AL82">
        <f>Z82</f>
        <v>1.0089999999999999</v>
      </c>
      <c r="AN82">
        <v>0</v>
      </c>
      <c r="AO82">
        <v>7.5579999999999998</v>
      </c>
      <c r="AQ82">
        <v>6.67</v>
      </c>
      <c r="AR82">
        <f t="shared" si="29"/>
        <v>1.1331334332833582</v>
      </c>
    </row>
    <row r="83" spans="1:54" x14ac:dyDescent="0.25">
      <c r="B83" t="s">
        <v>142</v>
      </c>
      <c r="C83">
        <v>1147</v>
      </c>
      <c r="D83">
        <v>500</v>
      </c>
      <c r="G83" t="s">
        <v>42</v>
      </c>
      <c r="H83">
        <v>6629429</v>
      </c>
      <c r="I83" s="28">
        <f t="shared" si="23"/>
        <v>13258858</v>
      </c>
      <c r="J83" t="b">
        <v>0</v>
      </c>
      <c r="K83" t="s">
        <v>43</v>
      </c>
      <c r="M83" s="3">
        <v>73.064999999999998</v>
      </c>
      <c r="N83">
        <v>48.765999999999998</v>
      </c>
      <c r="O83">
        <v>88.078000000000003</v>
      </c>
      <c r="P83">
        <v>60.1</v>
      </c>
      <c r="Q83">
        <v>2798.4349999999999</v>
      </c>
      <c r="R83" s="28">
        <v>252.70099999999999</v>
      </c>
      <c r="S83">
        <f t="shared" si="24"/>
        <v>29.84576228449755</v>
      </c>
      <c r="T83" s="29">
        <f t="shared" si="25"/>
        <v>52.900236294368291</v>
      </c>
      <c r="U83">
        <v>252.53800000000001</v>
      </c>
      <c r="V83" s="29">
        <v>0.55100000000000005</v>
      </c>
      <c r="W83" s="30">
        <f>1/1.498</f>
        <v>0.66755674232309747</v>
      </c>
      <c r="Y83" s="3">
        <v>0.66700000000000004</v>
      </c>
      <c r="Z83" s="3">
        <v>0.76500000000000001</v>
      </c>
      <c r="AA83">
        <v>77.456999999999994</v>
      </c>
      <c r="AB83">
        <v>58.106000000000002</v>
      </c>
      <c r="AC83">
        <v>86.468999999999994</v>
      </c>
      <c r="AD83">
        <v>58.924999999999997</v>
      </c>
      <c r="AE83">
        <v>3534.89</v>
      </c>
      <c r="AF83" s="30">
        <f t="shared" si="27"/>
        <v>59.45494092167614</v>
      </c>
      <c r="AG83">
        <v>234.25800000000001</v>
      </c>
      <c r="AH83">
        <v>0.80900000000000005</v>
      </c>
      <c r="AI83">
        <f>1/1.333</f>
        <v>0.75018754688672173</v>
      </c>
      <c r="AK83">
        <v>0.75</v>
      </c>
      <c r="AL83">
        <v>1</v>
      </c>
      <c r="AN83">
        <v>0.75430932497121117</v>
      </c>
      <c r="AO83">
        <v>65.620999999999995</v>
      </c>
      <c r="AQ83">
        <v>84.081000000000003</v>
      </c>
      <c r="AR83">
        <f t="shared" si="29"/>
        <v>0.78044980435532396</v>
      </c>
    </row>
    <row r="84" spans="1:54" ht="14.25" customHeight="1" x14ac:dyDescent="0.25">
      <c r="B84" t="s">
        <v>143</v>
      </c>
      <c r="C84">
        <v>1147</v>
      </c>
      <c r="D84">
        <v>600</v>
      </c>
      <c r="F84" t="s">
        <v>144</v>
      </c>
      <c r="H84">
        <v>1267376</v>
      </c>
      <c r="I84" s="28">
        <f t="shared" si="23"/>
        <v>2534752</v>
      </c>
      <c r="J84" t="b">
        <v>0</v>
      </c>
      <c r="K84" t="s">
        <v>43</v>
      </c>
      <c r="M84" s="3">
        <v>44.145000000000003</v>
      </c>
      <c r="N84">
        <v>39.052</v>
      </c>
      <c r="O84">
        <v>54.728000000000002</v>
      </c>
      <c r="P84">
        <v>41.850999999999999</v>
      </c>
      <c r="Q84">
        <v>1353.9960000000001</v>
      </c>
      <c r="R84" s="28">
        <v>500.71100000000001</v>
      </c>
      <c r="S84">
        <f t="shared" si="24"/>
        <v>20.760306179180205</v>
      </c>
      <c r="T84" s="29">
        <f t="shared" si="25"/>
        <v>36.796684633265535</v>
      </c>
      <c r="U84">
        <v>171.45599999999999</v>
      </c>
      <c r="V84" s="29">
        <v>0.57899999999999996</v>
      </c>
      <c r="W84" s="30">
        <f>1/1.13</f>
        <v>0.88495575221238942</v>
      </c>
      <c r="Y84" s="3">
        <v>0.88500000000000001</v>
      </c>
      <c r="Z84" s="3">
        <v>0.80900000000000005</v>
      </c>
      <c r="AA84">
        <v>52.868000000000002</v>
      </c>
      <c r="AB84">
        <v>43.015000000000001</v>
      </c>
      <c r="AC84">
        <v>60.718000000000004</v>
      </c>
      <c r="AD84">
        <v>42.124000000000002</v>
      </c>
      <c r="AE84">
        <v>1786.075</v>
      </c>
      <c r="AF84" s="30">
        <f t="shared" si="27"/>
        <v>42.26198054989851</v>
      </c>
      <c r="AG84">
        <v>164.18</v>
      </c>
      <c r="AH84">
        <v>0.83299999999999996</v>
      </c>
      <c r="AI84">
        <f>1/1.229</f>
        <v>0.81366965012205039</v>
      </c>
      <c r="AK84">
        <v>0.81399999999999995</v>
      </c>
      <c r="AL84">
        <v>1</v>
      </c>
      <c r="AN84">
        <v>0.81237067259195617</v>
      </c>
      <c r="AO84">
        <v>52.274000000000001</v>
      </c>
      <c r="AQ84">
        <v>48.905000000000001</v>
      </c>
      <c r="AR84">
        <f t="shared" si="29"/>
        <v>1.0688886616910336</v>
      </c>
      <c r="BA84" s="3"/>
      <c r="BB84" s="2"/>
    </row>
    <row r="85" spans="1:54" x14ac:dyDescent="0.25">
      <c r="B85" t="s">
        <v>145</v>
      </c>
      <c r="C85">
        <v>1147</v>
      </c>
      <c r="D85">
        <v>500</v>
      </c>
      <c r="H85">
        <v>7654668</v>
      </c>
      <c r="I85">
        <f>H85*2</f>
        <v>15309336</v>
      </c>
      <c r="J85" t="b">
        <v>0</v>
      </c>
      <c r="K85" t="s">
        <v>64</v>
      </c>
      <c r="M85">
        <v>33.43</v>
      </c>
      <c r="N85">
        <v>30.57</v>
      </c>
      <c r="O85">
        <v>34.487000000000002</v>
      </c>
      <c r="P85">
        <v>31.023</v>
      </c>
      <c r="Q85">
        <v>802.64200000000005</v>
      </c>
      <c r="R85">
        <v>369.67</v>
      </c>
      <c r="S85">
        <f t="shared" si="24"/>
        <v>15.984019634194965</v>
      </c>
      <c r="T85">
        <f t="shared" si="25"/>
        <v>28.330937153578244</v>
      </c>
      <c r="U85">
        <v>101.867</v>
      </c>
      <c r="V85">
        <v>0.97199999999999998</v>
      </c>
      <c r="W85">
        <f>1/1.094</f>
        <v>0.91407678244972568</v>
      </c>
      <c r="X85">
        <f>1/W85</f>
        <v>1.0940000000000001</v>
      </c>
      <c r="Y85">
        <v>0.91400000000000003</v>
      </c>
      <c r="Z85">
        <v>0.995</v>
      </c>
      <c r="AA85">
        <v>33.43</v>
      </c>
      <c r="AB85">
        <v>30.57</v>
      </c>
      <c r="AC85">
        <v>34.487000000000002</v>
      </c>
      <c r="AD85">
        <v>31.023</v>
      </c>
      <c r="AE85">
        <v>802.64200000000005</v>
      </c>
      <c r="AF85">
        <f>SQRT(AE85)</f>
        <v>28.330937153578244</v>
      </c>
      <c r="AG85">
        <v>101.867</v>
      </c>
      <c r="AH85">
        <v>0.97199999999999998</v>
      </c>
      <c r="AI85">
        <f>1/1.094</f>
        <v>0.91407678244972568</v>
      </c>
      <c r="AJ85">
        <f>1/AI85</f>
        <v>1.0940000000000001</v>
      </c>
      <c r="AK85">
        <v>0.91400000000000003</v>
      </c>
      <c r="AL85">
        <v>0.995</v>
      </c>
      <c r="AN85">
        <v>0.94798596930900725</v>
      </c>
      <c r="AO85">
        <v>33.445</v>
      </c>
      <c r="AP85">
        <v>0</v>
      </c>
      <c r="AQ85">
        <v>31.114000000000001</v>
      </c>
      <c r="AR85">
        <f>AO85/AQ85</f>
        <v>1.0749180433245484</v>
      </c>
    </row>
    <row r="86" spans="1:54" s="6" customFormat="1" x14ac:dyDescent="0.25">
      <c r="A86" s="6" t="s">
        <v>146</v>
      </c>
      <c r="B86" s="6" t="s">
        <v>147</v>
      </c>
      <c r="C86" s="6">
        <v>1156</v>
      </c>
      <c r="D86" s="6">
        <v>600</v>
      </c>
      <c r="E86" s="6">
        <v>5</v>
      </c>
      <c r="F86" s="6" t="s">
        <v>144</v>
      </c>
      <c r="G86" s="6" t="s">
        <v>47</v>
      </c>
      <c r="H86" s="6">
        <v>1579461</v>
      </c>
      <c r="I86" s="39">
        <f t="shared" si="23"/>
        <v>3158922</v>
      </c>
      <c r="J86" s="6" t="b">
        <v>0</v>
      </c>
      <c r="K86" s="6" t="s">
        <v>64</v>
      </c>
      <c r="M86" s="15">
        <v>48.360999999999997</v>
      </c>
      <c r="N86" s="6">
        <v>43.731999999999999</v>
      </c>
      <c r="O86" s="6">
        <v>48.351999999999997</v>
      </c>
      <c r="P86" s="6">
        <v>43.735999999999997</v>
      </c>
      <c r="Q86" s="6">
        <v>1661.0550000000001</v>
      </c>
      <c r="R86" s="39">
        <v>140.39699999999999</v>
      </c>
      <c r="S86" s="6">
        <f t="shared" si="24"/>
        <v>22.994134643317551</v>
      </c>
      <c r="T86" s="40">
        <f t="shared" si="25"/>
        <v>40.756042496788133</v>
      </c>
      <c r="U86" s="6">
        <v>144.74199999999999</v>
      </c>
      <c r="V86" s="40">
        <v>0.996</v>
      </c>
      <c r="W86" s="41">
        <f>1/1.106</f>
        <v>0.90415913200723319</v>
      </c>
      <c r="Y86" s="15">
        <v>0.90400000000000003</v>
      </c>
      <c r="Z86" s="15">
        <v>1</v>
      </c>
      <c r="AA86" s="6">
        <f>M86</f>
        <v>48.360999999999997</v>
      </c>
      <c r="AB86" s="6">
        <f>N86</f>
        <v>43.731999999999999</v>
      </c>
      <c r="AC86" s="6">
        <f>O86</f>
        <v>48.351999999999997</v>
      </c>
      <c r="AD86" s="6">
        <f>P86</f>
        <v>43.735999999999997</v>
      </c>
      <c r="AE86" s="6">
        <f>Q86</f>
        <v>1661.0550000000001</v>
      </c>
      <c r="AF86" s="41">
        <f t="shared" si="27"/>
        <v>40.756042496788133</v>
      </c>
      <c r="AG86" s="6">
        <f>U86</f>
        <v>144.74199999999999</v>
      </c>
      <c r="AH86" s="6">
        <f>V86</f>
        <v>0.996</v>
      </c>
      <c r="AI86" s="6">
        <f>W86</f>
        <v>0.90415913200723319</v>
      </c>
      <c r="AK86" s="6">
        <f>Y86</f>
        <v>0.90400000000000003</v>
      </c>
      <c r="AL86" s="6">
        <f>Z86</f>
        <v>1</v>
      </c>
      <c r="AN86" s="6">
        <v>0.91803742962456092</v>
      </c>
      <c r="AO86" s="6">
        <v>50.451999999999998</v>
      </c>
      <c r="AQ86" s="6">
        <v>44.014000000000003</v>
      </c>
      <c r="AR86" s="6">
        <f t="shared" si="29"/>
        <v>1.1462716408415503</v>
      </c>
      <c r="AY86"/>
    </row>
    <row r="87" spans="1:54" x14ac:dyDescent="0.25">
      <c r="B87" t="s">
        <v>148</v>
      </c>
      <c r="C87">
        <v>1156</v>
      </c>
      <c r="D87">
        <v>600</v>
      </c>
      <c r="H87">
        <v>472508</v>
      </c>
      <c r="I87" s="28">
        <f t="shared" si="23"/>
        <v>945016</v>
      </c>
      <c r="J87" t="b">
        <v>0</v>
      </c>
      <c r="K87" t="s">
        <v>43</v>
      </c>
      <c r="M87" s="3">
        <v>39.107999999999997</v>
      </c>
      <c r="N87">
        <v>29.936</v>
      </c>
      <c r="O87">
        <v>47.749000000000002</v>
      </c>
      <c r="P87">
        <v>36.158000000000001</v>
      </c>
      <c r="Q87">
        <v>919.50599999999997</v>
      </c>
      <c r="R87" s="28">
        <v>358.94200000000001</v>
      </c>
      <c r="S87">
        <f t="shared" si="24"/>
        <v>17.108122345988544</v>
      </c>
      <c r="T87" s="29">
        <f t="shared" si="25"/>
        <v>30.32335733391011</v>
      </c>
      <c r="U87">
        <v>155.04599999999999</v>
      </c>
      <c r="V87" s="29">
        <v>0.48099999999999998</v>
      </c>
      <c r="W87" s="30">
        <f>1/1.306</f>
        <v>0.76569678407350683</v>
      </c>
      <c r="Y87" s="3">
        <v>0.76500000000000001</v>
      </c>
      <c r="Z87" s="3">
        <v>0.755</v>
      </c>
      <c r="AA87">
        <v>43.601999999999997</v>
      </c>
      <c r="AB87">
        <v>35.537999999999997</v>
      </c>
      <c r="AC87">
        <v>46.24</v>
      </c>
      <c r="AD87">
        <v>36.534999999999997</v>
      </c>
      <c r="AE87">
        <v>1216.9880000000001</v>
      </c>
      <c r="AF87" s="30">
        <f t="shared" si="27"/>
        <v>34.885355093505929</v>
      </c>
      <c r="AG87">
        <v>135.74299999999999</v>
      </c>
      <c r="AH87">
        <v>0.83</v>
      </c>
      <c r="AI87">
        <f>1/1.227</f>
        <v>0.81499592502037488</v>
      </c>
      <c r="AK87">
        <v>0.81499999999999995</v>
      </c>
      <c r="AL87">
        <v>1</v>
      </c>
      <c r="AN87">
        <v>0.81824524723024583</v>
      </c>
      <c r="AO87">
        <v>45.558</v>
      </c>
      <c r="AQ87">
        <v>39.817</v>
      </c>
      <c r="AR87">
        <f t="shared" si="29"/>
        <v>1.1441846447497299</v>
      </c>
    </row>
    <row r="88" spans="1:54" x14ac:dyDescent="0.25">
      <c r="B88" t="s">
        <v>149</v>
      </c>
      <c r="C88">
        <v>1156</v>
      </c>
      <c r="D88">
        <v>600</v>
      </c>
      <c r="H88">
        <v>950230</v>
      </c>
      <c r="I88" s="28">
        <f t="shared" si="23"/>
        <v>1900460</v>
      </c>
      <c r="J88" t="b">
        <v>0</v>
      </c>
      <c r="K88" t="s">
        <v>43</v>
      </c>
      <c r="M88" s="3">
        <v>56.962000000000003</v>
      </c>
      <c r="N88">
        <v>25.536999999999999</v>
      </c>
      <c r="O88">
        <v>62.81</v>
      </c>
      <c r="P88">
        <v>32.427999999999997</v>
      </c>
      <c r="Q88">
        <v>1142.4690000000001</v>
      </c>
      <c r="R88" s="28">
        <v>1900.7370000000001</v>
      </c>
      <c r="S88">
        <f t="shared" si="24"/>
        <v>19.069849956371161</v>
      </c>
      <c r="T88" s="29">
        <f t="shared" si="25"/>
        <v>33.800428991360448</v>
      </c>
      <c r="U88">
        <v>166.44399999999999</v>
      </c>
      <c r="V88" s="29">
        <v>0.51800000000000002</v>
      </c>
      <c r="W88" s="30">
        <f>1/2.231</f>
        <v>0.44822949350067237</v>
      </c>
      <c r="Y88" s="3">
        <v>0.44800000000000001</v>
      </c>
      <c r="Z88" s="3">
        <v>0.72599999999999998</v>
      </c>
      <c r="AA88">
        <v>60.619</v>
      </c>
      <c r="AB88">
        <v>33.317999999999998</v>
      </c>
      <c r="AC88">
        <v>65.278000000000006</v>
      </c>
      <c r="AD88">
        <v>32.655999999999999</v>
      </c>
      <c r="AE88">
        <v>1586.2719999999999</v>
      </c>
      <c r="AF88" s="30">
        <f t="shared" si="27"/>
        <v>39.828030330409263</v>
      </c>
      <c r="AG88">
        <v>165.96899999999999</v>
      </c>
      <c r="AH88">
        <v>0.72399999999999998</v>
      </c>
      <c r="AI88">
        <f>1/1.819</f>
        <v>0.54975261132490383</v>
      </c>
      <c r="AK88">
        <v>0.55000000000000004</v>
      </c>
      <c r="AL88">
        <v>0.999</v>
      </c>
      <c r="AN88">
        <v>0.61547471655342434</v>
      </c>
      <c r="AO88">
        <v>49.113</v>
      </c>
      <c r="AQ88">
        <v>57.162999999999997</v>
      </c>
      <c r="AR88">
        <f t="shared" si="29"/>
        <v>0.85917464093906903</v>
      </c>
    </row>
    <row r="89" spans="1:54" x14ac:dyDescent="0.25">
      <c r="B89" t="s">
        <v>150</v>
      </c>
      <c r="C89">
        <v>1156</v>
      </c>
      <c r="D89">
        <v>500</v>
      </c>
      <c r="E89">
        <v>5</v>
      </c>
      <c r="F89" t="s">
        <v>49</v>
      </c>
      <c r="H89">
        <v>11393846</v>
      </c>
      <c r="I89" s="28">
        <f t="shared" si="23"/>
        <v>22787692</v>
      </c>
      <c r="J89" t="b">
        <v>0</v>
      </c>
      <c r="K89" t="s">
        <v>43</v>
      </c>
      <c r="M89" s="3">
        <v>74.822000000000003</v>
      </c>
      <c r="N89">
        <v>39.125999999999998</v>
      </c>
      <c r="O89">
        <v>80.108999999999995</v>
      </c>
      <c r="P89">
        <v>48.511000000000003</v>
      </c>
      <c r="Q89">
        <v>2299.239</v>
      </c>
      <c r="R89" s="28">
        <v>165.61289473647557</v>
      </c>
      <c r="S89">
        <f t="shared" si="24"/>
        <v>27.053105263524422</v>
      </c>
      <c r="T89" s="29">
        <f t="shared" si="25"/>
        <v>47.950380603286142</v>
      </c>
      <c r="U89">
        <v>247.89699999999999</v>
      </c>
      <c r="V89" s="29">
        <v>0.47</v>
      </c>
      <c r="W89" s="30">
        <f>1/1.912</f>
        <v>0.52301255230125521</v>
      </c>
      <c r="Y89" s="3">
        <v>0.52300000000000002</v>
      </c>
      <c r="Z89" s="3">
        <v>0.79100000000000004</v>
      </c>
      <c r="AA89">
        <v>78.037000000000006</v>
      </c>
      <c r="AB89">
        <v>48.786999999999999</v>
      </c>
      <c r="AC89">
        <v>82.706000000000003</v>
      </c>
      <c r="AD89">
        <v>50.140999999999998</v>
      </c>
      <c r="AE89">
        <v>2990.17</v>
      </c>
      <c r="AF89" s="30">
        <f t="shared" si="27"/>
        <v>54.682446909405947</v>
      </c>
      <c r="AG89">
        <v>211.19300000000001</v>
      </c>
      <c r="AH89">
        <v>0.84199999999999997</v>
      </c>
      <c r="AI89">
        <f>1/1.6</f>
        <v>0.625</v>
      </c>
      <c r="AK89">
        <v>0.625</v>
      </c>
      <c r="AL89">
        <v>0.99299999999999999</v>
      </c>
      <c r="AN89">
        <v>0.68055502612300089</v>
      </c>
      <c r="AO89">
        <v>50.137</v>
      </c>
      <c r="AQ89">
        <v>83.206000000000003</v>
      </c>
      <c r="AR89">
        <f t="shared" si="29"/>
        <v>0.60256471889046459</v>
      </c>
    </row>
    <row r="90" spans="1:54" x14ac:dyDescent="0.25">
      <c r="B90" t="s">
        <v>151</v>
      </c>
      <c r="C90">
        <v>1156</v>
      </c>
      <c r="D90">
        <v>500</v>
      </c>
      <c r="F90" t="s">
        <v>49</v>
      </c>
      <c r="H90">
        <v>2598411</v>
      </c>
      <c r="I90" s="28">
        <f t="shared" si="23"/>
        <v>5196822</v>
      </c>
      <c r="J90" t="b">
        <v>0</v>
      </c>
      <c r="K90" t="s">
        <v>64</v>
      </c>
      <c r="M90" s="3">
        <v>41.795000000000002</v>
      </c>
      <c r="N90">
        <v>35.768999999999998</v>
      </c>
      <c r="O90">
        <v>41.777999999999999</v>
      </c>
      <c r="P90">
        <v>35.777999999999999</v>
      </c>
      <c r="Q90">
        <v>1174.123</v>
      </c>
      <c r="R90" s="28">
        <v>1509.4727740936082</v>
      </c>
      <c r="S90">
        <f t="shared" si="24"/>
        <v>19.332225906391919</v>
      </c>
      <c r="T90" s="29">
        <f t="shared" si="25"/>
        <v>34.265478254359735</v>
      </c>
      <c r="U90">
        <v>122.006</v>
      </c>
      <c r="V90" s="29">
        <v>0.99099999999999999</v>
      </c>
      <c r="W90" s="30">
        <f>1/1.168</f>
        <v>0.85616438356164393</v>
      </c>
      <c r="Y90" s="3">
        <v>0.85599999999999998</v>
      </c>
      <c r="Z90" s="3">
        <v>1</v>
      </c>
      <c r="AA90">
        <f t="shared" ref="AA90:AE91" si="30">M90</f>
        <v>41.795000000000002</v>
      </c>
      <c r="AB90">
        <f t="shared" si="30"/>
        <v>35.768999999999998</v>
      </c>
      <c r="AC90">
        <f t="shared" si="30"/>
        <v>41.777999999999999</v>
      </c>
      <c r="AD90">
        <f t="shared" si="30"/>
        <v>35.777999999999999</v>
      </c>
      <c r="AE90">
        <f t="shared" si="30"/>
        <v>1174.123</v>
      </c>
      <c r="AF90" s="30">
        <f t="shared" si="27"/>
        <v>34.265478254359735</v>
      </c>
      <c r="AG90">
        <f t="shared" ref="AG90:AI91" si="31">U90</f>
        <v>122.006</v>
      </c>
      <c r="AH90">
        <f t="shared" si="31"/>
        <v>0.99099999999999999</v>
      </c>
      <c r="AI90">
        <f t="shared" si="31"/>
        <v>0.85616438356164393</v>
      </c>
      <c r="AK90">
        <f>Y90</f>
        <v>0.85599999999999998</v>
      </c>
      <c r="AL90">
        <f>Z90</f>
        <v>1</v>
      </c>
      <c r="AN90">
        <v>0.94489567722231038</v>
      </c>
      <c r="AO90">
        <v>38.042000000000002</v>
      </c>
      <c r="AQ90">
        <v>41.576999999999998</v>
      </c>
      <c r="AR90">
        <f t="shared" si="29"/>
        <v>0.9149770305697863</v>
      </c>
    </row>
    <row r="91" spans="1:54" s="6" customFormat="1" x14ac:dyDescent="0.25">
      <c r="A91" s="6" t="s">
        <v>152</v>
      </c>
      <c r="B91" s="6" t="s">
        <v>153</v>
      </c>
      <c r="C91" s="6">
        <v>1174.5</v>
      </c>
      <c r="D91" s="6">
        <v>450</v>
      </c>
      <c r="E91" s="6">
        <v>6</v>
      </c>
      <c r="F91" s="6" t="s">
        <v>154</v>
      </c>
      <c r="G91" s="6" t="s">
        <v>42</v>
      </c>
      <c r="H91" s="6">
        <v>6715323</v>
      </c>
      <c r="I91" s="39">
        <f t="shared" si="23"/>
        <v>13430646</v>
      </c>
      <c r="J91" s="6" t="b">
        <v>0</v>
      </c>
      <c r="K91" s="6" t="s">
        <v>43</v>
      </c>
      <c r="M91" s="15">
        <v>59.594000000000001</v>
      </c>
      <c r="N91" s="6">
        <v>24.608000000000001</v>
      </c>
      <c r="O91" s="6">
        <v>62.085999999999999</v>
      </c>
      <c r="P91" s="6">
        <v>26.184000000000001</v>
      </c>
      <c r="Q91" s="6">
        <v>1151.7929999999999</v>
      </c>
      <c r="R91" s="39">
        <v>339.928</v>
      </c>
      <c r="S91" s="6">
        <f t="shared" si="24"/>
        <v>19.147508943392268</v>
      </c>
      <c r="T91" s="40">
        <f t="shared" si="25"/>
        <v>33.938075961963428</v>
      </c>
      <c r="U91" s="6">
        <v>144.61000000000001</v>
      </c>
      <c r="V91" s="40">
        <v>0.69199999999999995</v>
      </c>
      <c r="W91" s="41">
        <f>1/2.422</f>
        <v>0.41288191577208916</v>
      </c>
      <c r="Y91" s="15">
        <v>0.41299999999999998</v>
      </c>
      <c r="Z91" s="15">
        <v>1</v>
      </c>
      <c r="AA91" s="6">
        <f t="shared" si="30"/>
        <v>59.594000000000001</v>
      </c>
      <c r="AB91" s="6">
        <f t="shared" si="30"/>
        <v>24.608000000000001</v>
      </c>
      <c r="AC91" s="6">
        <f t="shared" si="30"/>
        <v>62.085999999999999</v>
      </c>
      <c r="AD91" s="6">
        <f t="shared" si="30"/>
        <v>26.184000000000001</v>
      </c>
      <c r="AE91" s="6">
        <f t="shared" si="30"/>
        <v>1151.7929999999999</v>
      </c>
      <c r="AF91" s="41">
        <f>T91</f>
        <v>33.938075961963428</v>
      </c>
      <c r="AG91" s="6">
        <f t="shared" si="31"/>
        <v>144.61000000000001</v>
      </c>
      <c r="AH91" s="6">
        <f t="shared" si="31"/>
        <v>0.69199999999999995</v>
      </c>
      <c r="AI91" s="6">
        <f t="shared" si="31"/>
        <v>0.41288191577208916</v>
      </c>
      <c r="AK91" s="6">
        <f>Y91</f>
        <v>0.41299999999999998</v>
      </c>
      <c r="AL91" s="6">
        <f>Z91</f>
        <v>1</v>
      </c>
      <c r="AN91" s="6">
        <v>0.65736427167111355</v>
      </c>
      <c r="AO91" s="6">
        <v>62.006</v>
      </c>
      <c r="AQ91" s="6">
        <v>30.222999999999999</v>
      </c>
      <c r="AR91" s="6">
        <f t="shared" si="29"/>
        <v>2.0516163186976808</v>
      </c>
      <c r="AY91"/>
    </row>
    <row r="92" spans="1:54" x14ac:dyDescent="0.25">
      <c r="B92" t="s">
        <v>155</v>
      </c>
      <c r="C92">
        <v>1174.5</v>
      </c>
      <c r="D92">
        <v>500</v>
      </c>
      <c r="E92">
        <v>5</v>
      </c>
      <c r="G92" t="s">
        <v>47</v>
      </c>
      <c r="H92">
        <v>1876291</v>
      </c>
      <c r="I92" s="28">
        <f t="shared" si="23"/>
        <v>3752582</v>
      </c>
      <c r="J92" t="b">
        <v>0</v>
      </c>
      <c r="K92" t="s">
        <v>43</v>
      </c>
      <c r="M92" s="3">
        <v>63.713999999999999</v>
      </c>
      <c r="N92">
        <v>45.436999999999998</v>
      </c>
      <c r="O92">
        <v>82.146000000000001</v>
      </c>
      <c r="P92">
        <v>58.308999999999997</v>
      </c>
      <c r="Q92">
        <v>2273.703</v>
      </c>
      <c r="R92" s="28">
        <v>381.17899999999997</v>
      </c>
      <c r="S92">
        <f t="shared" si="24"/>
        <v>26.902456080174975</v>
      </c>
      <c r="T92" s="29">
        <f t="shared" si="25"/>
        <v>47.683361878122646</v>
      </c>
      <c r="U92">
        <v>237.00800000000001</v>
      </c>
      <c r="V92" s="29">
        <v>0.50900000000000001</v>
      </c>
      <c r="W92" s="30">
        <f>1/1.402</f>
        <v>0.71326676176890158</v>
      </c>
      <c r="Y92" s="3">
        <v>0.71299999999999997</v>
      </c>
      <c r="Z92" s="3">
        <v>0.77700000000000002</v>
      </c>
      <c r="AA92">
        <v>69.616</v>
      </c>
      <c r="AB92">
        <v>46.872</v>
      </c>
      <c r="AC92">
        <v>83.856999999999999</v>
      </c>
      <c r="AD92">
        <v>53.055</v>
      </c>
      <c r="AE92">
        <v>2562.808</v>
      </c>
      <c r="AF92" s="30">
        <f t="shared" ref="AF92:AF135" si="32">SQRT(AE92)</f>
        <v>50.624183944040027</v>
      </c>
      <c r="AG92">
        <v>221.38200000000001</v>
      </c>
      <c r="AH92">
        <v>0.65700000000000003</v>
      </c>
      <c r="AI92">
        <f>1/1.485</f>
        <v>0.67340067340067333</v>
      </c>
      <c r="AK92">
        <v>0.67300000000000004</v>
      </c>
      <c r="AL92">
        <v>1</v>
      </c>
      <c r="AN92">
        <v>0.73749735406679495</v>
      </c>
      <c r="AO92">
        <v>56.47</v>
      </c>
      <c r="AQ92">
        <v>89.212000000000003</v>
      </c>
      <c r="AR92">
        <f t="shared" si="29"/>
        <v>0.6329865937317849</v>
      </c>
    </row>
    <row r="93" spans="1:54" x14ac:dyDescent="0.25">
      <c r="B93" t="s">
        <v>156</v>
      </c>
      <c r="C93">
        <v>1174.5</v>
      </c>
      <c r="D93">
        <v>600</v>
      </c>
      <c r="E93">
        <v>4</v>
      </c>
      <c r="G93" t="s">
        <v>42</v>
      </c>
      <c r="H93">
        <v>161157</v>
      </c>
      <c r="I93" s="28">
        <f t="shared" si="23"/>
        <v>322314</v>
      </c>
      <c r="J93" t="b">
        <v>0</v>
      </c>
      <c r="K93" t="s">
        <v>43</v>
      </c>
      <c r="M93" s="3">
        <v>172.023</v>
      </c>
      <c r="N93">
        <v>104.405</v>
      </c>
      <c r="O93">
        <v>215.85499999999999</v>
      </c>
      <c r="P93">
        <v>128.85900000000001</v>
      </c>
      <c r="Q93">
        <v>14105.71</v>
      </c>
      <c r="R93" s="28">
        <v>1224.559</v>
      </c>
      <c r="S93">
        <f t="shared" si="24"/>
        <v>67.007364853734984</v>
      </c>
      <c r="T93" s="29">
        <f t="shared" si="25"/>
        <v>118.76746187403349</v>
      </c>
      <c r="U93">
        <v>811.96699999999998</v>
      </c>
      <c r="V93" s="29">
        <v>0.26900000000000002</v>
      </c>
      <c r="W93" s="30">
        <f>1/1.648</f>
        <v>0.60679611650485443</v>
      </c>
      <c r="Y93" s="3">
        <v>0.60699999999999998</v>
      </c>
      <c r="Z93" s="3">
        <v>0.71</v>
      </c>
      <c r="AA93">
        <v>206.131</v>
      </c>
      <c r="AB93">
        <v>123.179</v>
      </c>
      <c r="AC93">
        <v>220.76900000000001</v>
      </c>
      <c r="AD93">
        <v>128.93299999999999</v>
      </c>
      <c r="AE93">
        <v>19942.052</v>
      </c>
      <c r="AF93" s="30">
        <f t="shared" si="32"/>
        <v>141.21633050040637</v>
      </c>
      <c r="AG93">
        <v>575.49599999999998</v>
      </c>
      <c r="AH93">
        <v>0.75700000000000001</v>
      </c>
      <c r="AI93">
        <f>1/1.673</f>
        <v>0.59772863120143449</v>
      </c>
      <c r="AK93">
        <v>0.59799999999999998</v>
      </c>
      <c r="AL93">
        <v>1</v>
      </c>
      <c r="AN93">
        <v>0.70194755296772682</v>
      </c>
      <c r="AO93">
        <v>213.262</v>
      </c>
      <c r="AQ93">
        <v>152.488</v>
      </c>
      <c r="AR93">
        <f t="shared" si="29"/>
        <v>1.3985493940506795</v>
      </c>
    </row>
    <row r="94" spans="1:54" x14ac:dyDescent="0.25">
      <c r="B94" t="s">
        <v>157</v>
      </c>
      <c r="C94">
        <v>1174.5</v>
      </c>
      <c r="D94">
        <v>500</v>
      </c>
      <c r="E94">
        <v>5</v>
      </c>
      <c r="G94" t="s">
        <v>42</v>
      </c>
      <c r="H94">
        <v>1500413</v>
      </c>
      <c r="I94" s="28">
        <f t="shared" si="23"/>
        <v>3000826</v>
      </c>
      <c r="J94" t="s">
        <v>55</v>
      </c>
      <c r="K94" t="s">
        <v>43</v>
      </c>
      <c r="L94" t="s">
        <v>135</v>
      </c>
      <c r="M94" s="3">
        <v>55.295000000000002</v>
      </c>
      <c r="N94">
        <v>26.721</v>
      </c>
      <c r="O94">
        <v>58.957000000000001</v>
      </c>
      <c r="P94">
        <v>35.866</v>
      </c>
      <c r="Q94">
        <v>1160.444</v>
      </c>
      <c r="R94" s="28">
        <v>5</v>
      </c>
      <c r="S94">
        <f t="shared" si="24"/>
        <v>19.219281921098478</v>
      </c>
      <c r="T94" s="29">
        <f t="shared" si="25"/>
        <v>34.065290252689756</v>
      </c>
      <c r="U94">
        <v>184.87100000000001</v>
      </c>
      <c r="V94" s="29">
        <v>0.42699999999999999</v>
      </c>
      <c r="W94" s="30">
        <f>1/2.069</f>
        <v>0.48332527791203483</v>
      </c>
      <c r="Y94" s="3">
        <v>0.48299999999999998</v>
      </c>
      <c r="Z94" s="3">
        <v>0.745</v>
      </c>
      <c r="AA94">
        <v>63.046999999999997</v>
      </c>
      <c r="AB94">
        <v>40.44</v>
      </c>
      <c r="AC94">
        <v>67.507999999999996</v>
      </c>
      <c r="AD94">
        <v>43.91</v>
      </c>
      <c r="AE94">
        <v>2002.4690000000001</v>
      </c>
      <c r="AF94" s="30">
        <f t="shared" si="32"/>
        <v>44.748955295068065</v>
      </c>
      <c r="AG94">
        <v>182.411</v>
      </c>
      <c r="AH94">
        <v>0.75600000000000001</v>
      </c>
      <c r="AI94">
        <f>1/1.559</f>
        <v>0.64143681847338041</v>
      </c>
      <c r="AK94">
        <v>0.64100000000000001</v>
      </c>
      <c r="AL94">
        <v>1</v>
      </c>
      <c r="AN94">
        <v>0</v>
      </c>
      <c r="AO94">
        <v>40.929000000000002</v>
      </c>
      <c r="AQ94">
        <v>57.106999999999999</v>
      </c>
      <c r="AR94">
        <f t="shared" si="29"/>
        <v>0.71670723378920276</v>
      </c>
      <c r="BA94" s="33"/>
    </row>
    <row r="95" spans="1:54" x14ac:dyDescent="0.25">
      <c r="B95" t="s">
        <v>158</v>
      </c>
      <c r="C95">
        <v>1174.5</v>
      </c>
      <c r="D95">
        <v>450</v>
      </c>
      <c r="E95">
        <v>6</v>
      </c>
      <c r="G95" t="s">
        <v>42</v>
      </c>
      <c r="H95">
        <v>1208193</v>
      </c>
      <c r="I95" s="28">
        <f t="shared" si="23"/>
        <v>2416386</v>
      </c>
      <c r="J95" t="s">
        <v>55</v>
      </c>
      <c r="K95" t="s">
        <v>43</v>
      </c>
      <c r="M95" s="3">
        <v>71.290000000000006</v>
      </c>
      <c r="N95">
        <v>37.42</v>
      </c>
      <c r="O95">
        <v>95.010999999999996</v>
      </c>
      <c r="P95">
        <v>56.313000000000002</v>
      </c>
      <c r="Q95">
        <v>2095.16</v>
      </c>
      <c r="R95" s="28">
        <v>7.1150000000000002</v>
      </c>
      <c r="S95">
        <f t="shared" si="24"/>
        <v>25.82460340715479</v>
      </c>
      <c r="T95" s="29">
        <f t="shared" si="25"/>
        <v>45.772917757119217</v>
      </c>
      <c r="U95" t="s">
        <v>159</v>
      </c>
      <c r="V95" s="29">
        <v>0.35199999999999998</v>
      </c>
      <c r="W95" s="30">
        <f>1/1.905</f>
        <v>0.52493438320209973</v>
      </c>
      <c r="Y95" s="3">
        <v>0.52500000000000002</v>
      </c>
      <c r="Z95" s="3">
        <v>0.66900000000000004</v>
      </c>
      <c r="AA95">
        <v>77.825000000000003</v>
      </c>
      <c r="AB95">
        <v>54.347000000000001</v>
      </c>
      <c r="AC95">
        <v>96.808000000000007</v>
      </c>
      <c r="AD95">
        <v>62.798999999999999</v>
      </c>
      <c r="AE95">
        <v>3321.877</v>
      </c>
      <c r="AF95" s="30">
        <f t="shared" si="32"/>
        <v>57.635726767344572</v>
      </c>
      <c r="AG95">
        <v>246.46799999999999</v>
      </c>
      <c r="AH95">
        <v>0.68700000000000006</v>
      </c>
      <c r="AI95">
        <f>1/1.432</f>
        <v>0.6983240223463687</v>
      </c>
      <c r="AK95">
        <v>0.69799999999999995</v>
      </c>
      <c r="AL95">
        <v>0.997</v>
      </c>
      <c r="AN95">
        <v>0.67325921795257959</v>
      </c>
      <c r="AO95">
        <v>78.656999999999996</v>
      </c>
      <c r="AQ95">
        <v>70.117999999999995</v>
      </c>
      <c r="AR95">
        <f t="shared" si="29"/>
        <v>1.1217804272797285</v>
      </c>
      <c r="AX95">
        <v>48.765000000000001</v>
      </c>
      <c r="AY95">
        <f>T95/AX95</f>
        <v>0.93864283312045971</v>
      </c>
    </row>
    <row r="96" spans="1:54" x14ac:dyDescent="0.25">
      <c r="B96" t="s">
        <v>160</v>
      </c>
      <c r="C96">
        <v>1174.5</v>
      </c>
      <c r="D96">
        <v>450</v>
      </c>
      <c r="E96">
        <v>6</v>
      </c>
      <c r="G96" t="s">
        <v>42</v>
      </c>
      <c r="H96">
        <v>368677</v>
      </c>
      <c r="I96" s="28">
        <f t="shared" si="23"/>
        <v>737354</v>
      </c>
      <c r="J96" t="s">
        <v>55</v>
      </c>
      <c r="K96" t="s">
        <v>43</v>
      </c>
      <c r="M96" s="3">
        <v>54.527000000000001</v>
      </c>
      <c r="N96">
        <v>23.844999999999999</v>
      </c>
      <c r="O96">
        <v>58.148000000000003</v>
      </c>
      <c r="P96">
        <v>37.853999999999999</v>
      </c>
      <c r="Q96">
        <v>1021.1849999999999</v>
      </c>
      <c r="R96" s="28">
        <v>0</v>
      </c>
      <c r="S96">
        <f t="shared" si="24"/>
        <v>18.029234069216425</v>
      </c>
      <c r="T96" s="29">
        <f t="shared" si="25"/>
        <v>31.955985354859578</v>
      </c>
      <c r="U96">
        <v>174.60400000000001</v>
      </c>
      <c r="V96" s="29">
        <v>0.42099999999999999</v>
      </c>
      <c r="W96" s="30">
        <f>1/2.287</f>
        <v>0.43725404459991257</v>
      </c>
      <c r="Y96" s="3">
        <v>0.437</v>
      </c>
      <c r="Z96" s="3">
        <v>0.65200000000000002</v>
      </c>
      <c r="AA96">
        <v>52.914000000000001</v>
      </c>
      <c r="AB96">
        <v>39.442</v>
      </c>
      <c r="AC96">
        <v>57.076999999999998</v>
      </c>
      <c r="AD96">
        <v>43.481000000000002</v>
      </c>
      <c r="AE96">
        <v>1639.16</v>
      </c>
      <c r="AF96" s="30">
        <f t="shared" si="32"/>
        <v>40.486540973513655</v>
      </c>
      <c r="AG96">
        <v>160.96299999999999</v>
      </c>
      <c r="AH96">
        <v>0.79500000000000004</v>
      </c>
      <c r="AI96">
        <f>1/1.342</f>
        <v>0.7451564828614009</v>
      </c>
      <c r="AK96">
        <v>0.745</v>
      </c>
      <c r="AL96">
        <v>1</v>
      </c>
      <c r="AN96">
        <v>0.55118852948178132</v>
      </c>
      <c r="AO96">
        <v>25.956</v>
      </c>
      <c r="AQ96">
        <v>50.734000000000002</v>
      </c>
      <c r="AR96">
        <f t="shared" si="29"/>
        <v>0.51160957149051911</v>
      </c>
    </row>
    <row r="97" spans="1:51" x14ac:dyDescent="0.25">
      <c r="B97" t="s">
        <v>161</v>
      </c>
      <c r="C97">
        <v>1174.5</v>
      </c>
      <c r="D97">
        <v>600</v>
      </c>
      <c r="E97">
        <v>4</v>
      </c>
      <c r="G97" t="s">
        <v>42</v>
      </c>
      <c r="H97">
        <v>299546</v>
      </c>
      <c r="I97" s="28">
        <f t="shared" si="23"/>
        <v>599092</v>
      </c>
      <c r="J97" t="s">
        <v>55</v>
      </c>
      <c r="K97" t="s">
        <v>43</v>
      </c>
      <c r="M97" s="3">
        <v>44.372</v>
      </c>
      <c r="N97">
        <v>21.241</v>
      </c>
      <c r="O97">
        <v>57.143000000000001</v>
      </c>
      <c r="P97">
        <v>26.407</v>
      </c>
      <c r="Q97">
        <v>740.24900000000002</v>
      </c>
      <c r="R97" s="28">
        <v>3.12</v>
      </c>
      <c r="S97">
        <f t="shared" si="24"/>
        <v>15.350197879430247</v>
      </c>
      <c r="T97" s="29">
        <f t="shared" si="25"/>
        <v>27.207517343557829</v>
      </c>
      <c r="U97">
        <v>147.97900000000001</v>
      </c>
      <c r="V97" s="29">
        <v>0.42499999999999999</v>
      </c>
      <c r="W97" s="30">
        <f>1/2.089</f>
        <v>0.47869794159885115</v>
      </c>
      <c r="Y97" s="3">
        <v>0.47899999999999998</v>
      </c>
      <c r="Z97" s="3">
        <v>0.70699999999999996</v>
      </c>
      <c r="AA97">
        <v>45.387999999999998</v>
      </c>
      <c r="AB97">
        <v>33.505000000000003</v>
      </c>
      <c r="AC97">
        <v>53.706000000000003</v>
      </c>
      <c r="AD97">
        <v>35.396000000000001</v>
      </c>
      <c r="AE97">
        <v>1194.3489999999999</v>
      </c>
      <c r="AF97" s="30">
        <f t="shared" si="32"/>
        <v>34.559354739346624</v>
      </c>
      <c r="AG97">
        <v>140.72399999999999</v>
      </c>
      <c r="AH97">
        <v>0.75800000000000001</v>
      </c>
      <c r="AI97">
        <f>1/1.355</f>
        <v>0.73800738007380073</v>
      </c>
      <c r="AK97">
        <v>0.73799999999999999</v>
      </c>
      <c r="AL97">
        <v>0.99399999999999999</v>
      </c>
      <c r="AN97">
        <v>0.67862197047457307</v>
      </c>
      <c r="AO97">
        <v>37.78</v>
      </c>
      <c r="AP97">
        <v>0</v>
      </c>
      <c r="AQ97">
        <v>31.14</v>
      </c>
      <c r="AR97">
        <f>AO97/AQ97</f>
        <v>1.2132305716120746</v>
      </c>
    </row>
    <row r="98" spans="1:51" x14ac:dyDescent="0.25">
      <c r="B98" t="s">
        <v>162</v>
      </c>
      <c r="C98">
        <v>1174.5</v>
      </c>
      <c r="D98">
        <v>500</v>
      </c>
      <c r="E98">
        <v>5</v>
      </c>
      <c r="F98" t="s">
        <v>154</v>
      </c>
      <c r="G98" t="s">
        <v>47</v>
      </c>
      <c r="H98">
        <v>299031</v>
      </c>
      <c r="I98" s="28">
        <f t="shared" si="23"/>
        <v>598062</v>
      </c>
      <c r="J98" t="s">
        <v>55</v>
      </c>
      <c r="K98" t="s">
        <v>43</v>
      </c>
      <c r="M98" s="3">
        <v>38.83</v>
      </c>
      <c r="N98">
        <v>19.919</v>
      </c>
      <c r="O98">
        <v>50.978000000000002</v>
      </c>
      <c r="P98">
        <v>25.504000000000001</v>
      </c>
      <c r="Q98">
        <v>607.45699999999999</v>
      </c>
      <c r="R98" s="28">
        <v>1.78</v>
      </c>
      <c r="S98">
        <f t="shared" si="24"/>
        <v>13.90537912217955</v>
      </c>
      <c r="T98" s="29">
        <f t="shared" si="25"/>
        <v>24.64664277340831</v>
      </c>
      <c r="U98">
        <v>133.291</v>
      </c>
      <c r="V98" s="29">
        <v>0.43</v>
      </c>
      <c r="W98" s="30">
        <f>1/1.949</f>
        <v>0.51308363263211898</v>
      </c>
      <c r="Y98" s="3">
        <v>0.51300000000000001</v>
      </c>
      <c r="Z98" s="3">
        <v>0.76100000000000001</v>
      </c>
      <c r="AA98">
        <v>52.433999999999997</v>
      </c>
      <c r="AB98">
        <v>28.201000000000001</v>
      </c>
      <c r="AC98">
        <v>54.134999999999998</v>
      </c>
      <c r="AD98">
        <v>26.439</v>
      </c>
      <c r="AE98">
        <v>1161.3330000000001</v>
      </c>
      <c r="AF98" s="30">
        <f t="shared" si="32"/>
        <v>34.078336226993244</v>
      </c>
      <c r="AG98">
        <v>140.28100000000001</v>
      </c>
      <c r="AH98">
        <v>0.74199999999999999</v>
      </c>
      <c r="AI98">
        <f>1/1.859</f>
        <v>0.53792361484669182</v>
      </c>
      <c r="AK98">
        <v>0.53800000000000003</v>
      </c>
      <c r="AL98">
        <v>1</v>
      </c>
      <c r="AN98">
        <v>0.66097987664504121</v>
      </c>
      <c r="AO98">
        <v>49.662999999999997</v>
      </c>
      <c r="AQ98">
        <v>27.866</v>
      </c>
      <c r="AR98">
        <f t="shared" si="29"/>
        <v>1.7822077083183807</v>
      </c>
    </row>
    <row r="99" spans="1:51" ht="14.25" customHeight="1" x14ac:dyDescent="0.25">
      <c r="B99" t="s">
        <v>163</v>
      </c>
      <c r="C99">
        <v>1174.5</v>
      </c>
      <c r="D99">
        <v>500</v>
      </c>
      <c r="E99">
        <v>5</v>
      </c>
      <c r="F99" t="s">
        <v>154</v>
      </c>
      <c r="G99" t="s">
        <v>42</v>
      </c>
      <c r="H99">
        <v>184466</v>
      </c>
      <c r="I99" s="28">
        <f t="shared" si="23"/>
        <v>368932</v>
      </c>
      <c r="J99" t="s">
        <v>55</v>
      </c>
      <c r="K99" t="s">
        <v>43</v>
      </c>
      <c r="M99" s="3">
        <v>73.239000000000004</v>
      </c>
      <c r="N99">
        <v>22.693999999999999</v>
      </c>
      <c r="O99">
        <v>79.822000000000003</v>
      </c>
      <c r="P99">
        <v>25.071999999999999</v>
      </c>
      <c r="Q99">
        <v>1305.383</v>
      </c>
      <c r="R99" s="28">
        <v>1</v>
      </c>
      <c r="S99">
        <f t="shared" si="24"/>
        <v>20.384217280932209</v>
      </c>
      <c r="T99" s="29">
        <f t="shared" si="25"/>
        <v>36.130084417283058</v>
      </c>
      <c r="U99">
        <v>189.12799999999999</v>
      </c>
      <c r="V99" s="29">
        <v>0.45900000000000002</v>
      </c>
      <c r="W99" s="30">
        <f>1/3.227</f>
        <v>0.3098853424233034</v>
      </c>
      <c r="Y99" s="3">
        <v>0.31</v>
      </c>
      <c r="Z99" s="3">
        <v>0.87</v>
      </c>
      <c r="AA99">
        <v>72.453000000000003</v>
      </c>
      <c r="AB99">
        <v>30.631</v>
      </c>
      <c r="AC99">
        <v>74.233999999999995</v>
      </c>
      <c r="AD99">
        <v>33.343000000000004</v>
      </c>
      <c r="AE99">
        <v>1743.0619999999999</v>
      </c>
      <c r="AF99" s="30">
        <f t="shared" si="32"/>
        <v>41.749994011975616</v>
      </c>
      <c r="AG99">
        <v>183.38300000000001</v>
      </c>
      <c r="AH99">
        <v>0.65100000000000002</v>
      </c>
      <c r="AI99">
        <f>1/2.365</f>
        <v>0.42283298097251582</v>
      </c>
      <c r="AK99">
        <v>0.42299999999999999</v>
      </c>
      <c r="AL99">
        <v>1</v>
      </c>
      <c r="AN99">
        <v>0.56135740170627169</v>
      </c>
      <c r="AO99">
        <v>72.483000000000004</v>
      </c>
      <c r="AQ99">
        <v>32.411999999999999</v>
      </c>
      <c r="AR99">
        <f t="shared" si="29"/>
        <v>2.2363013698630141</v>
      </c>
    </row>
    <row r="100" spans="1:51" x14ac:dyDescent="0.25">
      <c r="B100" t="s">
        <v>164</v>
      </c>
      <c r="C100">
        <v>1174.5</v>
      </c>
      <c r="D100">
        <v>600</v>
      </c>
      <c r="E100">
        <v>4</v>
      </c>
      <c r="G100" t="s">
        <v>47</v>
      </c>
      <c r="H100">
        <v>29284</v>
      </c>
      <c r="I100" s="28">
        <f t="shared" si="23"/>
        <v>58568</v>
      </c>
      <c r="J100" t="s">
        <v>55</v>
      </c>
      <c r="K100" t="s">
        <v>43</v>
      </c>
      <c r="L100" t="s">
        <v>165</v>
      </c>
      <c r="M100" s="3">
        <v>58.542999999999999</v>
      </c>
      <c r="N100">
        <v>28.846</v>
      </c>
      <c r="O100">
        <v>68.052000000000007</v>
      </c>
      <c r="P100">
        <v>33.841999999999999</v>
      </c>
      <c r="Q100">
        <v>1326.337</v>
      </c>
      <c r="R100" s="28">
        <v>0</v>
      </c>
      <c r="S100">
        <f t="shared" si="24"/>
        <v>20.547169622878727</v>
      </c>
      <c r="T100" s="29">
        <f t="shared" si="25"/>
        <v>36.418909923280239</v>
      </c>
      <c r="U100">
        <v>165.50299999999999</v>
      </c>
      <c r="V100" s="29">
        <v>0.60799999999999998</v>
      </c>
      <c r="W100" s="30">
        <f>1/2.029</f>
        <v>0.49285362247412523</v>
      </c>
      <c r="Y100" s="3">
        <v>0.49299999999999999</v>
      </c>
      <c r="Z100" s="3">
        <v>0.90900000000000003</v>
      </c>
      <c r="AA100">
        <v>69.975999999999999</v>
      </c>
      <c r="AB100">
        <v>29.222000000000001</v>
      </c>
      <c r="AC100">
        <v>75.432000000000002</v>
      </c>
      <c r="AD100">
        <v>33.281999999999996</v>
      </c>
      <c r="AE100">
        <v>1606.0360000000001</v>
      </c>
      <c r="AF100" s="30">
        <f t="shared" si="32"/>
        <v>40.075378975126362</v>
      </c>
      <c r="AG100">
        <v>181.66</v>
      </c>
      <c r="AH100">
        <v>0.61199999999999999</v>
      </c>
      <c r="AI100">
        <f>1/2.395</f>
        <v>0.41753653444676408</v>
      </c>
      <c r="AK100">
        <v>0.41799999999999998</v>
      </c>
      <c r="AL100">
        <v>1</v>
      </c>
      <c r="AN100">
        <v>0</v>
      </c>
      <c r="AO100">
        <v>55.192</v>
      </c>
      <c r="AQ100">
        <v>32.741999999999997</v>
      </c>
      <c r="AR100">
        <f t="shared" si="29"/>
        <v>1.6856636735691162</v>
      </c>
    </row>
    <row r="101" spans="1:51" x14ac:dyDescent="0.25">
      <c r="B101" s="1" t="s">
        <v>166</v>
      </c>
      <c r="C101">
        <v>1174.5</v>
      </c>
      <c r="D101">
        <v>600</v>
      </c>
      <c r="E101">
        <v>4</v>
      </c>
      <c r="G101" t="s">
        <v>42</v>
      </c>
      <c r="H101">
        <v>15096</v>
      </c>
      <c r="I101">
        <f t="shared" si="23"/>
        <v>30192</v>
      </c>
      <c r="J101" t="s">
        <v>55</v>
      </c>
      <c r="M101">
        <v>75.908000000000001</v>
      </c>
      <c r="N101">
        <v>53.69</v>
      </c>
      <c r="O101">
        <v>81.462000000000003</v>
      </c>
      <c r="P101">
        <v>53.87</v>
      </c>
      <c r="Q101">
        <v>3200.8890000000001</v>
      </c>
      <c r="R101">
        <v>0</v>
      </c>
      <c r="S101">
        <f t="shared" si="24"/>
        <v>31.919815370345543</v>
      </c>
      <c r="T101">
        <f t="shared" si="25"/>
        <v>56.57639967336204</v>
      </c>
      <c r="U101">
        <v>221.828</v>
      </c>
      <c r="V101">
        <v>0.81699999999999995</v>
      </c>
      <c r="W101">
        <f>1/1.414</f>
        <v>0.70721357850070721</v>
      </c>
      <c r="Y101">
        <v>0.70699999999999996</v>
      </c>
      <c r="Z101">
        <v>0.95599999999999996</v>
      </c>
      <c r="AA101">
        <v>80.256</v>
      </c>
      <c r="AB101">
        <v>61.942</v>
      </c>
      <c r="AC101">
        <v>91.933999999999997</v>
      </c>
      <c r="AD101">
        <v>68.247</v>
      </c>
      <c r="AE101">
        <v>3904.4070000000002</v>
      </c>
      <c r="AF101">
        <f t="shared" si="32"/>
        <v>62.485254260505336</v>
      </c>
      <c r="AG101">
        <v>245.48500000000001</v>
      </c>
      <c r="AH101">
        <v>0.81399999999999995</v>
      </c>
      <c r="AI101">
        <f>1/1.296</f>
        <v>0.77160493827160492</v>
      </c>
      <c r="AK101">
        <v>0.77200000000000002</v>
      </c>
      <c r="AL101">
        <v>0.99299999999999999</v>
      </c>
      <c r="AN101">
        <v>0.83321729227152452</v>
      </c>
      <c r="AO101">
        <v>72.528999999999996</v>
      </c>
      <c r="AQ101">
        <v>70.003</v>
      </c>
      <c r="AR101">
        <f t="shared" si="29"/>
        <v>1.036084167821379</v>
      </c>
    </row>
    <row r="102" spans="1:51" x14ac:dyDescent="0.25">
      <c r="B102" t="s">
        <v>167</v>
      </c>
      <c r="C102">
        <v>1174.5</v>
      </c>
      <c r="D102">
        <v>600</v>
      </c>
      <c r="E102">
        <v>4</v>
      </c>
      <c r="F102" t="s">
        <v>154</v>
      </c>
      <c r="G102" t="s">
        <v>47</v>
      </c>
      <c r="H102">
        <v>20004</v>
      </c>
      <c r="I102">
        <f>H102*2</f>
        <v>40008</v>
      </c>
      <c r="J102" t="s">
        <v>55</v>
      </c>
      <c r="K102" t="s">
        <v>43</v>
      </c>
      <c r="M102">
        <v>67.078000000000003</v>
      </c>
      <c r="N102">
        <v>25.13</v>
      </c>
      <c r="O102">
        <v>73.09</v>
      </c>
      <c r="P102">
        <v>29.19</v>
      </c>
      <c r="Q102">
        <v>1324.08</v>
      </c>
      <c r="R102">
        <v>4.9400000000000004</v>
      </c>
      <c r="S102">
        <f t="shared" si="24"/>
        <v>20.529679834284643</v>
      </c>
      <c r="T102">
        <f t="shared" si="25"/>
        <v>36.387910080135129</v>
      </c>
      <c r="U102">
        <v>171.33</v>
      </c>
      <c r="V102">
        <v>0.56999999999999995</v>
      </c>
      <c r="W102">
        <f>1/2.669</f>
        <v>0.37467216185837393</v>
      </c>
      <c r="Y102">
        <v>0.375</v>
      </c>
      <c r="Z102">
        <v>0.91500000000000004</v>
      </c>
      <c r="AA102">
        <v>74.33</v>
      </c>
      <c r="AB102">
        <v>32.630000000000003</v>
      </c>
      <c r="AC102">
        <v>76.432000000000002</v>
      </c>
      <c r="AD102">
        <v>33.49</v>
      </c>
      <c r="AE102">
        <v>1905.06</v>
      </c>
      <c r="AF102">
        <f>SQRT(AE102)</f>
        <v>43.646993023574943</v>
      </c>
      <c r="AG102">
        <v>187.43</v>
      </c>
      <c r="AH102">
        <v>0.68</v>
      </c>
      <c r="AI102">
        <f>1/2.278</f>
        <v>0.43898156277436345</v>
      </c>
      <c r="AK102">
        <v>0.439</v>
      </c>
      <c r="AL102">
        <v>0.98699999999999999</v>
      </c>
      <c r="AN102">
        <v>0.6558898618934772</v>
      </c>
      <c r="AO102">
        <v>70.8</v>
      </c>
      <c r="AP102">
        <v>0</v>
      </c>
      <c r="AQ102">
        <v>29.91</v>
      </c>
      <c r="AR102">
        <f>AO102/AQ102</f>
        <v>2.3671013039117352</v>
      </c>
    </row>
    <row r="103" spans="1:51" x14ac:dyDescent="0.25">
      <c r="B103" t="s">
        <v>168</v>
      </c>
      <c r="C103">
        <v>1174.5</v>
      </c>
      <c r="D103">
        <v>450</v>
      </c>
      <c r="E103">
        <v>6</v>
      </c>
      <c r="F103" t="s">
        <v>154</v>
      </c>
      <c r="G103" t="s">
        <v>47</v>
      </c>
      <c r="H103">
        <v>3866117</v>
      </c>
      <c r="I103" s="28">
        <f t="shared" si="23"/>
        <v>7732234</v>
      </c>
      <c r="J103" t="s">
        <v>55</v>
      </c>
      <c r="K103" t="s">
        <v>43</v>
      </c>
      <c r="M103" s="3">
        <v>36.521999999999998</v>
      </c>
      <c r="N103">
        <v>22.753</v>
      </c>
      <c r="O103">
        <v>38.639000000000003</v>
      </c>
      <c r="P103">
        <v>22.35</v>
      </c>
      <c r="Q103">
        <v>652.66099999999994</v>
      </c>
      <c r="R103" s="28">
        <v>5.0650000000000004</v>
      </c>
      <c r="S103">
        <f t="shared" si="24"/>
        <v>14.413481488752083</v>
      </c>
      <c r="T103" s="29">
        <f t="shared" si="25"/>
        <v>25.547230769694</v>
      </c>
      <c r="U103">
        <v>105.82</v>
      </c>
      <c r="V103" s="29">
        <v>0.73199999999999998</v>
      </c>
      <c r="W103" s="30">
        <f>1/1.605</f>
        <v>0.62305295950155759</v>
      </c>
      <c r="Y103" s="3">
        <v>0.623</v>
      </c>
      <c r="Z103" s="3">
        <v>0.93700000000000006</v>
      </c>
      <c r="AA103">
        <v>43.048000000000002</v>
      </c>
      <c r="AB103">
        <v>33.536000000000001</v>
      </c>
      <c r="AC103">
        <v>46.500999999999998</v>
      </c>
      <c r="AD103">
        <v>32.828000000000003</v>
      </c>
      <c r="AE103">
        <v>1133.838</v>
      </c>
      <c r="AF103" s="30">
        <f t="shared" si="32"/>
        <v>33.672511043876725</v>
      </c>
      <c r="AG103">
        <v>132.048</v>
      </c>
      <c r="AH103">
        <v>0.81699999999999995</v>
      </c>
      <c r="AI103">
        <f>1/1.284</f>
        <v>0.77881619937694702</v>
      </c>
      <c r="AK103">
        <v>0.77900000000000003</v>
      </c>
      <c r="AL103">
        <v>1</v>
      </c>
      <c r="AN103">
        <v>0.74800610415229252</v>
      </c>
      <c r="AO103">
        <v>38.484999999999999</v>
      </c>
      <c r="AQ103">
        <v>25.759</v>
      </c>
      <c r="AR103">
        <f t="shared" si="29"/>
        <v>1.4940409177374898</v>
      </c>
    </row>
    <row r="104" spans="1:51" s="6" customFormat="1" x14ac:dyDescent="0.25">
      <c r="A104" s="6" t="s">
        <v>169</v>
      </c>
      <c r="B104" s="6" t="s">
        <v>170</v>
      </c>
      <c r="C104" s="6">
        <v>1161.9000000000001</v>
      </c>
      <c r="D104" s="6">
        <v>450</v>
      </c>
      <c r="E104" s="6">
        <v>6</v>
      </c>
      <c r="G104" s="6" t="s">
        <v>47</v>
      </c>
      <c r="H104" s="6">
        <v>1689405</v>
      </c>
      <c r="I104" s="39">
        <f t="shared" si="23"/>
        <v>3378810</v>
      </c>
      <c r="J104" s="6" t="b">
        <v>0</v>
      </c>
      <c r="K104" s="6" t="s">
        <v>43</v>
      </c>
      <c r="M104" s="15">
        <v>112.67700000000001</v>
      </c>
      <c r="N104" s="6">
        <v>54.360999999999997</v>
      </c>
      <c r="O104" s="6">
        <v>175.54</v>
      </c>
      <c r="P104" s="6">
        <v>95.861000000000004</v>
      </c>
      <c r="Q104" s="6">
        <v>4810.7160000000003</v>
      </c>
      <c r="R104" s="39">
        <v>639.31899999999996</v>
      </c>
      <c r="S104" s="6">
        <f t="shared" si="24"/>
        <v>39.131808831467794</v>
      </c>
      <c r="T104" s="40">
        <f t="shared" si="25"/>
        <v>69.359325256233575</v>
      </c>
      <c r="U104" s="6">
        <v>532.49099999999999</v>
      </c>
      <c r="V104" s="40">
        <v>0.21299999999999999</v>
      </c>
      <c r="W104" s="41">
        <f>1/2.073</f>
        <v>0.482392667631452</v>
      </c>
      <c r="Y104" s="15">
        <v>0.48199999999999998</v>
      </c>
      <c r="Z104" s="15">
        <v>0.45200000000000001</v>
      </c>
      <c r="AA104" s="6">
        <v>162.42400000000001</v>
      </c>
      <c r="AB104" s="6">
        <v>83.683999999999997</v>
      </c>
      <c r="AC104" s="6">
        <v>185.78100000000001</v>
      </c>
      <c r="AD104" s="6">
        <v>93.391999999999996</v>
      </c>
      <c r="AE104" s="6">
        <v>10675</v>
      </c>
      <c r="AF104" s="41">
        <f t="shared" si="32"/>
        <v>103.31989159885913</v>
      </c>
      <c r="AG104" s="6">
        <v>447.29300000000001</v>
      </c>
      <c r="AH104" s="6">
        <v>0.67100000000000004</v>
      </c>
      <c r="AI104" s="6">
        <f>1/1.941</f>
        <v>0.51519835136527559</v>
      </c>
      <c r="AK104" s="6">
        <v>0.51500000000000001</v>
      </c>
      <c r="AL104" s="6">
        <v>1</v>
      </c>
      <c r="AN104" s="6">
        <v>0.56689365087782539</v>
      </c>
      <c r="AO104" s="6">
        <v>187.40299999999999</v>
      </c>
      <c r="AQ104" s="6">
        <v>103.38</v>
      </c>
      <c r="AR104" s="6">
        <f t="shared" si="29"/>
        <v>1.8127587541110466</v>
      </c>
      <c r="AY104"/>
    </row>
    <row r="105" spans="1:51" x14ac:dyDescent="0.25">
      <c r="B105" t="s">
        <v>171</v>
      </c>
      <c r="C105">
        <v>1161.9000000000001</v>
      </c>
      <c r="D105">
        <v>450</v>
      </c>
      <c r="E105">
        <v>6</v>
      </c>
      <c r="G105" t="s">
        <v>47</v>
      </c>
      <c r="H105">
        <v>1703704</v>
      </c>
      <c r="I105" s="28">
        <f t="shared" si="23"/>
        <v>3407408</v>
      </c>
      <c r="J105" t="b">
        <v>0</v>
      </c>
      <c r="K105" t="s">
        <v>43</v>
      </c>
      <c r="M105" s="3">
        <v>92.82</v>
      </c>
      <c r="N105">
        <v>52.895000000000003</v>
      </c>
      <c r="O105">
        <v>115.411</v>
      </c>
      <c r="P105">
        <v>63.47</v>
      </c>
      <c r="Q105">
        <v>3856.049</v>
      </c>
      <c r="R105" s="28">
        <v>450</v>
      </c>
      <c r="S105">
        <f t="shared" si="24"/>
        <v>35.034533225221082</v>
      </c>
      <c r="T105" s="29">
        <f t="shared" si="25"/>
        <v>62.097093329720352</v>
      </c>
      <c r="U105">
        <v>345.92500000000001</v>
      </c>
      <c r="V105" s="29">
        <v>0.40500000000000003</v>
      </c>
      <c r="W105" s="30">
        <f>1/1.755</f>
        <v>0.56980056980056981</v>
      </c>
      <c r="Y105" s="3">
        <v>0.56999999999999995</v>
      </c>
      <c r="Z105" s="3">
        <v>0.76800000000000002</v>
      </c>
      <c r="AA105">
        <v>104.923</v>
      </c>
      <c r="AB105">
        <v>61.262</v>
      </c>
      <c r="AC105">
        <v>117.042</v>
      </c>
      <c r="AD105">
        <v>62.319000000000003</v>
      </c>
      <c r="AE105">
        <v>5048.3950000000004</v>
      </c>
      <c r="AF105" s="30">
        <f t="shared" si="32"/>
        <v>71.052058379754214</v>
      </c>
      <c r="AG105">
        <v>293.58600000000001</v>
      </c>
      <c r="AH105">
        <v>0.73599999999999999</v>
      </c>
      <c r="AI105">
        <f>1/1.713</f>
        <v>0.58377116170461174</v>
      </c>
      <c r="AK105">
        <v>0.58399999999999996</v>
      </c>
      <c r="AL105">
        <v>1</v>
      </c>
      <c r="AN105">
        <v>0.7355425568680346</v>
      </c>
      <c r="AO105">
        <v>112.82</v>
      </c>
      <c r="AQ105">
        <v>73.989999999999995</v>
      </c>
      <c r="AR105">
        <f t="shared" si="29"/>
        <v>1.5248006487363157</v>
      </c>
    </row>
    <row r="106" spans="1:51" x14ac:dyDescent="0.25">
      <c r="B106" t="s">
        <v>172</v>
      </c>
      <c r="C106">
        <v>1161.9000000000001</v>
      </c>
      <c r="D106">
        <v>450</v>
      </c>
      <c r="E106">
        <v>6</v>
      </c>
      <c r="F106" t="s">
        <v>154</v>
      </c>
      <c r="G106" t="s">
        <v>47</v>
      </c>
      <c r="H106">
        <v>1070548</v>
      </c>
      <c r="I106" s="28">
        <f t="shared" si="23"/>
        <v>2141096</v>
      </c>
      <c r="J106" t="s">
        <v>55</v>
      </c>
      <c r="K106" t="s">
        <v>43</v>
      </c>
      <c r="M106" s="3">
        <v>43.088999999999999</v>
      </c>
      <c r="N106">
        <v>20.079999999999998</v>
      </c>
      <c r="O106">
        <v>52.988999999999997</v>
      </c>
      <c r="P106">
        <v>28.835000000000001</v>
      </c>
      <c r="Q106">
        <v>692.4</v>
      </c>
      <c r="R106" s="28">
        <v>2.4180000000000001</v>
      </c>
      <c r="S106">
        <f t="shared" si="24"/>
        <v>14.845799580812637</v>
      </c>
      <c r="T106" s="29">
        <f t="shared" si="25"/>
        <v>26.313494636782853</v>
      </c>
      <c r="U106">
        <v>145.10599999999999</v>
      </c>
      <c r="V106" s="29">
        <v>0.4</v>
      </c>
      <c r="W106" s="30">
        <f>1/2.122</f>
        <v>0.47125353440150802</v>
      </c>
      <c r="Y106" s="3">
        <v>0.47099999999999997</v>
      </c>
      <c r="Z106" s="3">
        <v>0.70599999999999996</v>
      </c>
      <c r="AA106">
        <v>58.523000000000003</v>
      </c>
      <c r="AB106">
        <v>30.314</v>
      </c>
      <c r="AC106">
        <v>57.804000000000002</v>
      </c>
      <c r="AD106">
        <v>30.216999999999999</v>
      </c>
      <c r="AE106">
        <v>1393.3579999999999</v>
      </c>
      <c r="AF106" s="30">
        <f t="shared" si="32"/>
        <v>37.32771088614998</v>
      </c>
      <c r="AG106">
        <v>154.15299999999999</v>
      </c>
      <c r="AH106">
        <v>0.73699999999999999</v>
      </c>
      <c r="AI106">
        <f>1/1.931</f>
        <v>0.51786639047125838</v>
      </c>
      <c r="AK106">
        <v>0.51800000000000002</v>
      </c>
      <c r="AL106">
        <v>1</v>
      </c>
      <c r="AN106">
        <v>0.69440241077385478</v>
      </c>
      <c r="AO106">
        <v>53.673000000000002</v>
      </c>
      <c r="AQ106">
        <v>30.706</v>
      </c>
      <c r="AR106">
        <f t="shared" si="29"/>
        <v>1.7479645671855664</v>
      </c>
    </row>
    <row r="107" spans="1:51" x14ac:dyDescent="0.25">
      <c r="B107" t="s">
        <v>173</v>
      </c>
      <c r="C107">
        <v>1161.9000000000001</v>
      </c>
      <c r="D107">
        <v>450</v>
      </c>
      <c r="E107">
        <v>6</v>
      </c>
      <c r="F107" t="s">
        <v>49</v>
      </c>
      <c r="G107" t="s">
        <v>47</v>
      </c>
      <c r="H107">
        <v>130416</v>
      </c>
      <c r="I107" s="28">
        <f t="shared" si="23"/>
        <v>260832</v>
      </c>
      <c r="J107" t="s">
        <v>55</v>
      </c>
      <c r="K107" t="s">
        <v>43</v>
      </c>
      <c r="M107" s="3">
        <v>47.058999999999997</v>
      </c>
      <c r="N107">
        <v>41.87</v>
      </c>
      <c r="O107">
        <v>58.539000000000001</v>
      </c>
      <c r="P107">
        <v>47.113</v>
      </c>
      <c r="Q107">
        <v>1547.5060000000001</v>
      </c>
      <c r="R107" s="28">
        <v>10</v>
      </c>
      <c r="S107">
        <f t="shared" si="24"/>
        <v>22.194288876391898</v>
      </c>
      <c r="T107" s="29">
        <f t="shared" si="25"/>
        <v>39.338352787070278</v>
      </c>
      <c r="U107">
        <v>227.53200000000001</v>
      </c>
      <c r="V107" s="29">
        <v>0.376</v>
      </c>
      <c r="W107" s="30">
        <f>1/1.124</f>
        <v>0.88967971530249101</v>
      </c>
      <c r="Y107" s="3">
        <v>0.89</v>
      </c>
      <c r="Z107" s="3">
        <v>0.79600000000000004</v>
      </c>
      <c r="AA107">
        <v>60.048999999999999</v>
      </c>
      <c r="AB107">
        <v>51.37</v>
      </c>
      <c r="AC107">
        <v>74.481999999999999</v>
      </c>
      <c r="AD107">
        <v>52.292999999999999</v>
      </c>
      <c r="AE107">
        <v>2476.6419999999998</v>
      </c>
      <c r="AF107" s="30">
        <f t="shared" si="32"/>
        <v>49.765871840047168</v>
      </c>
      <c r="AG107">
        <v>196.768</v>
      </c>
      <c r="AH107">
        <v>0.80400000000000005</v>
      </c>
      <c r="AI107">
        <f>1/1.179</f>
        <v>0.84817642069550458</v>
      </c>
      <c r="AK107">
        <v>0.84799999999999998</v>
      </c>
      <c r="AL107">
        <v>1</v>
      </c>
      <c r="AN107">
        <v>0.7938261525960989</v>
      </c>
      <c r="AO107">
        <v>52.893000000000001</v>
      </c>
      <c r="AQ107">
        <v>53.115000000000002</v>
      </c>
      <c r="AR107">
        <f t="shared" si="29"/>
        <v>0.99582038972041798</v>
      </c>
    </row>
    <row r="108" spans="1:51" x14ac:dyDescent="0.25">
      <c r="B108" t="s">
        <v>174</v>
      </c>
      <c r="C108">
        <v>1161.9000000000001</v>
      </c>
      <c r="D108">
        <v>500</v>
      </c>
      <c r="E108">
        <v>5</v>
      </c>
      <c r="G108" t="s">
        <v>42</v>
      </c>
      <c r="H108">
        <v>75584</v>
      </c>
      <c r="I108" s="28">
        <f t="shared" ref="I108:I171" si="33">H108*2</f>
        <v>151168</v>
      </c>
      <c r="J108" t="s">
        <v>55</v>
      </c>
      <c r="K108" t="s">
        <v>43</v>
      </c>
      <c r="L108" t="s">
        <v>60</v>
      </c>
      <c r="M108" s="3">
        <v>39.573999999999998</v>
      </c>
      <c r="N108">
        <v>32.47</v>
      </c>
      <c r="O108">
        <v>50.514000000000003</v>
      </c>
      <c r="P108">
        <v>37.686</v>
      </c>
      <c r="Q108">
        <v>1009.202</v>
      </c>
      <c r="R108" s="28">
        <v>0</v>
      </c>
      <c r="S108">
        <f t="shared" ref="S108:S171" si="34">SQRT(Q108/PI())</f>
        <v>17.923140733600622</v>
      </c>
      <c r="T108" s="29">
        <f t="shared" ref="T108:T171" si="35">SQRT(Q108)</f>
        <v>31.767939813591941</v>
      </c>
      <c r="U108">
        <v>157.57300000000001</v>
      </c>
      <c r="V108" s="29">
        <v>0.51100000000000001</v>
      </c>
      <c r="W108" s="30">
        <f>1/1.219</f>
        <v>0.8203445447087776</v>
      </c>
      <c r="Y108" s="3">
        <v>0.82</v>
      </c>
      <c r="Z108" s="3">
        <v>0.753</v>
      </c>
      <c r="AA108">
        <v>50.81</v>
      </c>
      <c r="AB108">
        <v>41.976999999999997</v>
      </c>
      <c r="AC108">
        <v>59.264000000000003</v>
      </c>
      <c r="AD108">
        <v>38.188000000000002</v>
      </c>
      <c r="AE108">
        <v>1675.16</v>
      </c>
      <c r="AF108" s="30">
        <f t="shared" si="32"/>
        <v>40.928718523794515</v>
      </c>
      <c r="AG108">
        <v>162.566</v>
      </c>
      <c r="AH108">
        <v>0.79700000000000004</v>
      </c>
      <c r="AI108">
        <f>1/1.21</f>
        <v>0.82644628099173556</v>
      </c>
      <c r="AK108">
        <v>0.82599999999999996</v>
      </c>
      <c r="AL108">
        <v>1</v>
      </c>
      <c r="AN108">
        <v>0</v>
      </c>
      <c r="AO108">
        <v>46.067</v>
      </c>
      <c r="AQ108">
        <v>37.307000000000002</v>
      </c>
      <c r="AR108">
        <f t="shared" ref="AR108:AR120" si="36">AO108/AQ108</f>
        <v>1.2348084809821211</v>
      </c>
    </row>
    <row r="109" spans="1:51" x14ac:dyDescent="0.25">
      <c r="B109" t="s">
        <v>175</v>
      </c>
      <c r="C109">
        <v>1161.9000000000001</v>
      </c>
      <c r="D109">
        <v>500</v>
      </c>
      <c r="E109">
        <v>5</v>
      </c>
      <c r="F109" t="s">
        <v>49</v>
      </c>
      <c r="G109" t="s">
        <v>47</v>
      </c>
      <c r="H109">
        <v>41786</v>
      </c>
      <c r="I109" s="28">
        <f t="shared" si="33"/>
        <v>83572</v>
      </c>
      <c r="J109" t="s">
        <v>55</v>
      </c>
      <c r="K109" t="s">
        <v>43</v>
      </c>
      <c r="L109" t="s">
        <v>74</v>
      </c>
      <c r="M109" s="3">
        <v>79.757000000000005</v>
      </c>
      <c r="N109">
        <v>23.242999999999999</v>
      </c>
      <c r="O109">
        <v>89.308999999999997</v>
      </c>
      <c r="P109">
        <v>28.343</v>
      </c>
      <c r="Q109">
        <v>1455.9590000000001</v>
      </c>
      <c r="R109" s="28">
        <v>0</v>
      </c>
      <c r="S109">
        <f t="shared" si="34"/>
        <v>21.527799320373315</v>
      </c>
      <c r="T109" s="29">
        <f t="shared" si="35"/>
        <v>38.157030806916829</v>
      </c>
      <c r="U109">
        <v>201.172</v>
      </c>
      <c r="V109" s="29">
        <v>0.45200000000000001</v>
      </c>
      <c r="W109" s="30">
        <f>1/3.431</f>
        <v>0.29146021568055958</v>
      </c>
      <c r="Y109" s="3">
        <v>0.29099999999999998</v>
      </c>
      <c r="Z109" s="3">
        <v>1</v>
      </c>
      <c r="AA109">
        <v>81.393000000000001</v>
      </c>
      <c r="AB109">
        <v>24.045000000000002</v>
      </c>
      <c r="AC109">
        <v>89.308999999999997</v>
      </c>
      <c r="AD109">
        <v>29.896000000000001</v>
      </c>
      <c r="AE109">
        <v>1537.1089999999999</v>
      </c>
      <c r="AF109" s="30">
        <f t="shared" si="32"/>
        <v>39.205981686472285</v>
      </c>
      <c r="AG109">
        <v>1537.1089999999999</v>
      </c>
      <c r="AH109">
        <v>0.45700000000000002</v>
      </c>
      <c r="AI109">
        <f>1/3.385</f>
        <v>0.29542097488921715</v>
      </c>
      <c r="AK109">
        <v>0.29499999999999998</v>
      </c>
      <c r="AL109">
        <v>1</v>
      </c>
      <c r="AN109">
        <v>0</v>
      </c>
      <c r="AO109">
        <v>80.849000000000004</v>
      </c>
      <c r="AQ109">
        <v>32.003999999999998</v>
      </c>
      <c r="AR109">
        <f t="shared" si="36"/>
        <v>2.526215473065867</v>
      </c>
    </row>
    <row r="110" spans="1:51" x14ac:dyDescent="0.25">
      <c r="B110" s="1" t="s">
        <v>176</v>
      </c>
      <c r="C110">
        <v>1161.9000000000001</v>
      </c>
      <c r="D110">
        <v>500</v>
      </c>
      <c r="E110">
        <v>5</v>
      </c>
      <c r="F110" t="s">
        <v>154</v>
      </c>
      <c r="G110" t="s">
        <v>47</v>
      </c>
      <c r="H110">
        <v>32319</v>
      </c>
      <c r="I110">
        <f t="shared" si="33"/>
        <v>64638</v>
      </c>
      <c r="J110" t="s">
        <v>55</v>
      </c>
      <c r="L110" t="s">
        <v>60</v>
      </c>
      <c r="M110">
        <v>53.454000000000001</v>
      </c>
      <c r="N110">
        <v>22.673999999999999</v>
      </c>
      <c r="O110">
        <v>57.652999999999999</v>
      </c>
      <c r="P110">
        <v>24.641999999999999</v>
      </c>
      <c r="Q110">
        <v>951.91099999999994</v>
      </c>
      <c r="R110">
        <v>5</v>
      </c>
      <c r="S110">
        <f t="shared" si="34"/>
        <v>17.406972225723184</v>
      </c>
      <c r="T110">
        <f t="shared" si="35"/>
        <v>30.853054954088421</v>
      </c>
      <c r="U110">
        <v>138.32300000000001</v>
      </c>
      <c r="V110">
        <v>0.625</v>
      </c>
      <c r="W110">
        <f>1/2.357</f>
        <v>0.4242681374628765</v>
      </c>
      <c r="Y110">
        <v>0.42399999999999999</v>
      </c>
      <c r="Z110">
        <v>0.90300000000000002</v>
      </c>
      <c r="AA110">
        <v>57.392000000000003</v>
      </c>
      <c r="AB110">
        <v>28.954000000000001</v>
      </c>
      <c r="AC110">
        <v>62.203000000000003</v>
      </c>
      <c r="AD110">
        <v>30.12</v>
      </c>
      <c r="AE110">
        <v>1305.114</v>
      </c>
      <c r="AF110">
        <f>SQRT(AE110)</f>
        <v>36.126361566036515</v>
      </c>
      <c r="AG110">
        <v>155.892</v>
      </c>
      <c r="AH110">
        <v>0.67500000000000004</v>
      </c>
      <c r="AI110">
        <f>1/1.982</f>
        <v>0.50454086781029261</v>
      </c>
      <c r="AK110">
        <v>0.504</v>
      </c>
      <c r="AL110">
        <v>0.98099999999999998</v>
      </c>
      <c r="AN110">
        <v>0</v>
      </c>
      <c r="AO110">
        <v>42.444000000000003</v>
      </c>
      <c r="AQ110">
        <v>28.23</v>
      </c>
      <c r="AR110">
        <f>AO110/AQ110</f>
        <v>1.5035069075451648</v>
      </c>
    </row>
    <row r="111" spans="1:51" x14ac:dyDescent="0.25">
      <c r="B111" t="s">
        <v>177</v>
      </c>
      <c r="C111">
        <v>1161.9000000000001</v>
      </c>
      <c r="D111">
        <v>500</v>
      </c>
      <c r="E111">
        <v>5</v>
      </c>
      <c r="G111" t="s">
        <v>42</v>
      </c>
      <c r="H111">
        <v>86336</v>
      </c>
      <c r="I111" s="28">
        <f t="shared" si="33"/>
        <v>172672</v>
      </c>
      <c r="J111" t="s">
        <v>55</v>
      </c>
      <c r="K111" t="s">
        <v>43</v>
      </c>
      <c r="M111" s="3">
        <v>58.671999999999997</v>
      </c>
      <c r="N111">
        <v>42.581000000000003</v>
      </c>
      <c r="O111">
        <v>68.661000000000001</v>
      </c>
      <c r="P111">
        <v>51.585000000000001</v>
      </c>
      <c r="Q111">
        <v>1962.1479999999999</v>
      </c>
      <c r="R111" s="28">
        <v>0</v>
      </c>
      <c r="S111">
        <f t="shared" si="34"/>
        <v>24.991420659013215</v>
      </c>
      <c r="T111" s="29">
        <f t="shared" si="35"/>
        <v>44.296139786667638</v>
      </c>
      <c r="U111">
        <v>196.75700000000001</v>
      </c>
      <c r="V111" s="29">
        <v>0.63700000000000001</v>
      </c>
      <c r="W111" s="30">
        <f>1/1.378</f>
        <v>0.72568940493468803</v>
      </c>
      <c r="Y111" s="3">
        <v>0.72599999999999998</v>
      </c>
      <c r="Z111" s="3">
        <v>0.878</v>
      </c>
      <c r="AA111">
        <v>67.981999999999999</v>
      </c>
      <c r="AB111">
        <v>47.654000000000003</v>
      </c>
      <c r="AC111">
        <v>78.207999999999998</v>
      </c>
      <c r="AD111">
        <v>51.889000000000003</v>
      </c>
      <c r="AE111">
        <v>2544.37</v>
      </c>
      <c r="AF111" s="30">
        <f t="shared" si="32"/>
        <v>50.441748581903859</v>
      </c>
      <c r="AG111">
        <v>203.852</v>
      </c>
      <c r="AH111">
        <v>0.76900000000000002</v>
      </c>
      <c r="AI111">
        <f>1/1.427</f>
        <v>0.70077084793272593</v>
      </c>
      <c r="AK111">
        <v>0.70099999999999996</v>
      </c>
      <c r="AL111">
        <v>0.99199999999999999</v>
      </c>
      <c r="AN111">
        <v>0.8569403069367264</v>
      </c>
      <c r="AO111">
        <v>62.454000000000001</v>
      </c>
      <c r="AQ111">
        <v>52.670999999999999</v>
      </c>
      <c r="AR111">
        <f>AO111/AQ111</f>
        <v>1.1857378823261377</v>
      </c>
      <c r="AX111">
        <v>92.13000000000001</v>
      </c>
      <c r="AY111">
        <f>T111/AX111</f>
        <v>0.48080038843663991</v>
      </c>
    </row>
    <row r="112" spans="1:51" x14ac:dyDescent="0.25">
      <c r="B112" t="s">
        <v>178</v>
      </c>
      <c r="C112">
        <v>1161.9000000000001</v>
      </c>
      <c r="D112">
        <v>600</v>
      </c>
      <c r="E112">
        <v>4</v>
      </c>
      <c r="G112" t="s">
        <v>42</v>
      </c>
      <c r="H112">
        <v>27358</v>
      </c>
      <c r="I112" s="28">
        <f t="shared" si="33"/>
        <v>54716</v>
      </c>
      <c r="J112" t="s">
        <v>55</v>
      </c>
      <c r="K112" t="s">
        <v>43</v>
      </c>
      <c r="M112" s="3">
        <v>79.105999999999995</v>
      </c>
      <c r="N112">
        <v>26.135999999999999</v>
      </c>
      <c r="O112">
        <v>90.29</v>
      </c>
      <c r="P112">
        <v>40.140999999999998</v>
      </c>
      <c r="Q112">
        <v>1623.8019999999999</v>
      </c>
      <c r="R112" s="28">
        <v>6</v>
      </c>
      <c r="S112">
        <f t="shared" si="34"/>
        <v>22.734824164814025</v>
      </c>
      <c r="T112" s="29">
        <f t="shared" si="35"/>
        <v>40.2964266405844</v>
      </c>
      <c r="U112">
        <v>249.636</v>
      </c>
      <c r="V112" s="29">
        <v>0.32700000000000001</v>
      </c>
      <c r="W112" s="30">
        <f>1/3.027</f>
        <v>0.33036009250082587</v>
      </c>
      <c r="Y112" s="3">
        <v>0.33</v>
      </c>
      <c r="Z112" s="3">
        <v>0.59199999999999997</v>
      </c>
      <c r="AA112">
        <v>87.093000000000004</v>
      </c>
      <c r="AB112">
        <v>57.344000000000001</v>
      </c>
      <c r="AC112">
        <v>97.183000000000007</v>
      </c>
      <c r="AD112">
        <v>68.638999999999996</v>
      </c>
      <c r="AE112">
        <v>3922.4690000000001</v>
      </c>
      <c r="AF112" s="30">
        <f t="shared" si="32"/>
        <v>62.629617594234119</v>
      </c>
      <c r="AG112">
        <v>264.76600000000002</v>
      </c>
      <c r="AH112">
        <v>0.70299999999999996</v>
      </c>
      <c r="AI112">
        <f>1/1.519</f>
        <v>0.65832784726793947</v>
      </c>
      <c r="AK112">
        <v>0.65800000000000003</v>
      </c>
      <c r="AL112">
        <v>0.94399999999999995</v>
      </c>
      <c r="AN112">
        <v>0.57942747228342339</v>
      </c>
      <c r="AO112">
        <v>84.531000000000006</v>
      </c>
      <c r="AQ112">
        <v>64.063999999999993</v>
      </c>
      <c r="AR112">
        <f t="shared" si="36"/>
        <v>1.3194773976023979</v>
      </c>
      <c r="AX112">
        <v>18.979999999999997</v>
      </c>
      <c r="AY112">
        <f>T112/AX112</f>
        <v>2.1230994015060278</v>
      </c>
    </row>
    <row r="113" spans="1:51" x14ac:dyDescent="0.25">
      <c r="B113" t="s">
        <v>179</v>
      </c>
      <c r="C113">
        <v>1161.9000000000001</v>
      </c>
      <c r="D113">
        <v>600</v>
      </c>
      <c r="E113">
        <v>4</v>
      </c>
      <c r="G113" t="s">
        <v>42</v>
      </c>
      <c r="H113">
        <v>18214</v>
      </c>
      <c r="I113" s="28">
        <f t="shared" si="33"/>
        <v>36428</v>
      </c>
      <c r="J113" t="s">
        <v>55</v>
      </c>
      <c r="K113" t="s">
        <v>43</v>
      </c>
      <c r="L113" t="s">
        <v>180</v>
      </c>
      <c r="M113" s="3">
        <v>60.7</v>
      </c>
      <c r="N113">
        <v>41.356000000000002</v>
      </c>
      <c r="O113">
        <v>85.902000000000001</v>
      </c>
      <c r="P113">
        <v>47.238999999999997</v>
      </c>
      <c r="Q113">
        <v>1971.6025</v>
      </c>
      <c r="R113" s="28">
        <v>22.091000000000001</v>
      </c>
      <c r="S113">
        <f t="shared" si="34"/>
        <v>25.051558182569746</v>
      </c>
      <c r="T113" s="29">
        <f t="shared" si="35"/>
        <v>44.402730771879334</v>
      </c>
      <c r="U113">
        <v>228.589</v>
      </c>
      <c r="V113" s="29">
        <v>0.47399999999999998</v>
      </c>
      <c r="W113" s="30">
        <f>1/1.468</f>
        <v>0.68119891008174394</v>
      </c>
      <c r="Y113" s="3">
        <v>0.68100000000000005</v>
      </c>
      <c r="Z113" s="3">
        <v>0.78200000000000003</v>
      </c>
      <c r="AA113">
        <v>70.786000000000001</v>
      </c>
      <c r="AB113">
        <v>46.066000000000003</v>
      </c>
      <c r="AC113">
        <v>70.677000000000007</v>
      </c>
      <c r="AD113">
        <v>44.499000000000002</v>
      </c>
      <c r="AE113">
        <v>2470.123</v>
      </c>
      <c r="AF113" s="30">
        <f t="shared" si="32"/>
        <v>49.700331990842876</v>
      </c>
      <c r="AG113">
        <v>209.892</v>
      </c>
      <c r="AH113">
        <v>0.70499999999999996</v>
      </c>
      <c r="AI113">
        <f>1/1.588</f>
        <v>0.62972292191435764</v>
      </c>
      <c r="AK113">
        <v>0.63</v>
      </c>
      <c r="AL113">
        <v>1</v>
      </c>
      <c r="AN113">
        <v>0</v>
      </c>
      <c r="AO113">
        <v>78.102000000000004</v>
      </c>
      <c r="AQ113">
        <v>33.061</v>
      </c>
      <c r="AR113">
        <f t="shared" si="36"/>
        <v>2.362360485163788</v>
      </c>
    </row>
    <row r="114" spans="1:51" x14ac:dyDescent="0.25">
      <c r="B114" t="s">
        <v>181</v>
      </c>
      <c r="C114">
        <v>1161.9000000000001</v>
      </c>
      <c r="D114">
        <v>600</v>
      </c>
      <c r="E114">
        <v>4</v>
      </c>
      <c r="F114" t="s">
        <v>154</v>
      </c>
      <c r="G114" t="s">
        <v>47</v>
      </c>
      <c r="H114">
        <v>12782</v>
      </c>
      <c r="I114" s="28">
        <f t="shared" si="33"/>
        <v>25564</v>
      </c>
      <c r="J114" t="s">
        <v>55</v>
      </c>
      <c r="K114" t="s">
        <v>43</v>
      </c>
      <c r="L114" t="s">
        <v>180</v>
      </c>
      <c r="M114" s="3">
        <v>78.432000000000002</v>
      </c>
      <c r="N114">
        <v>59.741999999999997</v>
      </c>
      <c r="O114">
        <v>88.992999999999995</v>
      </c>
      <c r="P114">
        <v>61.6</v>
      </c>
      <c r="Q114">
        <v>3850.3719999999998</v>
      </c>
      <c r="R114" s="28">
        <v>0</v>
      </c>
      <c r="S114">
        <f t="shared" si="34"/>
        <v>35.008734239975809</v>
      </c>
      <c r="T114" s="29">
        <f t="shared" si="35"/>
        <v>62.051365818972911</v>
      </c>
      <c r="U114">
        <v>245.96799999999999</v>
      </c>
      <c r="V114" s="29">
        <v>0.8</v>
      </c>
      <c r="W114" s="30">
        <f>1/1.374</f>
        <v>0.72780203784570596</v>
      </c>
      <c r="Y114" s="3">
        <v>0.72799999999999998</v>
      </c>
      <c r="Z114" s="3">
        <v>0.95199999999999996</v>
      </c>
      <c r="AA114">
        <v>101.69199999999999</v>
      </c>
      <c r="AB114">
        <v>67.358999999999995</v>
      </c>
      <c r="AC114">
        <v>102.526</v>
      </c>
      <c r="AD114">
        <v>68.921999999999997</v>
      </c>
      <c r="AE114">
        <v>5549.8549999999996</v>
      </c>
      <c r="AF114" s="30">
        <f t="shared" si="32"/>
        <v>74.497348946120226</v>
      </c>
      <c r="AG114">
        <v>291.41500000000002</v>
      </c>
      <c r="AH114">
        <v>0.82099999999999995</v>
      </c>
      <c r="AI114">
        <f>1/1.488</f>
        <v>0.67204301075268813</v>
      </c>
      <c r="AK114">
        <v>0.67200000000000004</v>
      </c>
      <c r="AL114">
        <v>1</v>
      </c>
      <c r="AN114">
        <v>0</v>
      </c>
      <c r="AO114">
        <v>63.735999999999997</v>
      </c>
      <c r="AQ114">
        <v>97.522999999999996</v>
      </c>
      <c r="AR114">
        <f t="shared" si="36"/>
        <v>0.65354839371225248</v>
      </c>
    </row>
    <row r="115" spans="1:51" s="6" customFormat="1" x14ac:dyDescent="0.25">
      <c r="A115" s="6" t="s">
        <v>182</v>
      </c>
      <c r="B115" s="60" t="s">
        <v>183</v>
      </c>
      <c r="C115" s="6">
        <v>1144.8499999999999</v>
      </c>
      <c r="D115" s="6">
        <v>500</v>
      </c>
      <c r="E115" s="6">
        <v>5</v>
      </c>
      <c r="G115" s="6" t="s">
        <v>184</v>
      </c>
      <c r="H115" s="6">
        <v>33075</v>
      </c>
      <c r="I115" s="39">
        <f t="shared" si="33"/>
        <v>66150</v>
      </c>
      <c r="J115" s="6" t="s">
        <v>55</v>
      </c>
      <c r="K115" s="6" t="s">
        <v>43</v>
      </c>
      <c r="L115" s="6" t="s">
        <v>185</v>
      </c>
      <c r="M115" s="15">
        <v>243.73699999999999</v>
      </c>
      <c r="N115" s="6">
        <v>67.123000000000005</v>
      </c>
      <c r="O115" s="6">
        <v>311.108</v>
      </c>
      <c r="P115" s="6">
        <v>129.86500000000001</v>
      </c>
      <c r="Q115" s="6">
        <v>12849.383</v>
      </c>
      <c r="R115" s="39">
        <v>179</v>
      </c>
      <c r="S115" s="6">
        <f t="shared" si="34"/>
        <v>63.953777372895921</v>
      </c>
      <c r="T115" s="40">
        <f t="shared" si="35"/>
        <v>113.35511898454344</v>
      </c>
      <c r="U115" s="6">
        <v>953.03300000000002</v>
      </c>
      <c r="V115" s="40">
        <v>0.17799999999999999</v>
      </c>
      <c r="W115" s="41">
        <f>1/3.631</f>
        <v>0.27540622418066651</v>
      </c>
      <c r="X115" s="6">
        <f t="shared" ref="X115:X135" si="37">1/W115</f>
        <v>3.6309999999999998</v>
      </c>
      <c r="Y115" s="15">
        <v>0.27500000000000002</v>
      </c>
      <c r="Z115" s="15">
        <v>0.43099999999999999</v>
      </c>
      <c r="AA115" s="6">
        <v>867.654</v>
      </c>
      <c r="AB115" s="6">
        <v>313.03300000000002</v>
      </c>
      <c r="AC115" s="6">
        <v>316.51100000000002</v>
      </c>
      <c r="AD115" s="6">
        <v>186.85599999999999</v>
      </c>
      <c r="AE115" s="6">
        <v>45389.197999999997</v>
      </c>
      <c r="AF115" s="41">
        <f t="shared" si="32"/>
        <v>213.04740786970396</v>
      </c>
      <c r="AG115" s="6">
        <v>867.654</v>
      </c>
      <c r="AH115" s="6">
        <v>0.75800000000000001</v>
      </c>
      <c r="AI115" s="6">
        <f>1/1.696</f>
        <v>0.589622641509434</v>
      </c>
      <c r="AJ115" s="6">
        <f t="shared" ref="AJ115:AJ135" si="38">1/AI115</f>
        <v>1.696</v>
      </c>
      <c r="AK115" s="6">
        <v>0.59</v>
      </c>
      <c r="AL115" s="6">
        <v>0.998</v>
      </c>
      <c r="AN115" s="6">
        <v>0</v>
      </c>
      <c r="AO115" s="6">
        <v>179.48699999999999</v>
      </c>
      <c r="AQ115" s="6">
        <v>292.64299999999997</v>
      </c>
      <c r="AR115" s="6">
        <f t="shared" si="36"/>
        <v>0.61333091855947353</v>
      </c>
      <c r="AY115"/>
    </row>
    <row r="116" spans="1:51" ht="14.25" customHeight="1" x14ac:dyDescent="0.25">
      <c r="B116" s="1" t="s">
        <v>186</v>
      </c>
      <c r="C116">
        <v>1144.8499999999999</v>
      </c>
      <c r="D116">
        <v>500</v>
      </c>
      <c r="F116" t="s">
        <v>49</v>
      </c>
      <c r="G116" t="s">
        <v>187</v>
      </c>
      <c r="H116">
        <v>243315</v>
      </c>
      <c r="I116" s="28">
        <f t="shared" si="33"/>
        <v>486630</v>
      </c>
      <c r="J116" t="b">
        <v>0</v>
      </c>
      <c r="K116" t="s">
        <v>43</v>
      </c>
      <c r="M116" s="3">
        <v>125.771</v>
      </c>
      <c r="N116">
        <v>51.706000000000003</v>
      </c>
      <c r="O116">
        <v>133.798</v>
      </c>
      <c r="P116">
        <v>60.284999999999997</v>
      </c>
      <c r="Q116">
        <v>5107.567</v>
      </c>
      <c r="R116" s="28">
        <v>157.923</v>
      </c>
      <c r="S116">
        <f t="shared" si="34"/>
        <v>40.321074767993039</v>
      </c>
      <c r="T116" s="29">
        <f t="shared" si="35"/>
        <v>71.467244245178506</v>
      </c>
      <c r="U116">
        <v>392.02800000000002</v>
      </c>
      <c r="V116" s="29">
        <v>0.41799999999999998</v>
      </c>
      <c r="W116" s="30">
        <f>1/2.432</f>
        <v>0.41118421052631582</v>
      </c>
      <c r="X116">
        <f>1/W116</f>
        <v>2.4319999999999999</v>
      </c>
      <c r="Y116" s="3">
        <v>0.41099999999999998</v>
      </c>
      <c r="Z116" s="3">
        <v>0.77</v>
      </c>
      <c r="AA116">
        <v>137.113</v>
      </c>
      <c r="AB116">
        <v>62.564</v>
      </c>
      <c r="AC116">
        <v>135.15</v>
      </c>
      <c r="AD116">
        <v>61.872</v>
      </c>
      <c r="AE116">
        <v>6737.3410000000003</v>
      </c>
      <c r="AF116" s="30">
        <f>SQRT(AE116)</f>
        <v>82.081307250798588</v>
      </c>
      <c r="AG116">
        <v>337.00900000000001</v>
      </c>
      <c r="AH116">
        <v>0.745</v>
      </c>
      <c r="AI116">
        <f>1/2.192</f>
        <v>0.45620437956204374</v>
      </c>
      <c r="AJ116">
        <f>1/AI116</f>
        <v>2.1920000000000002</v>
      </c>
      <c r="AK116">
        <v>0.45600000000000002</v>
      </c>
      <c r="AL116">
        <v>1</v>
      </c>
      <c r="AN116">
        <v>0.65494281852952729</v>
      </c>
      <c r="AO116">
        <v>114.246</v>
      </c>
      <c r="AQ116">
        <v>118.902</v>
      </c>
      <c r="AR116">
        <f>AO116/AQ116</f>
        <v>0.96084170156935955</v>
      </c>
    </row>
    <row r="117" spans="1:51" x14ac:dyDescent="0.25">
      <c r="B117" s="1" t="s">
        <v>188</v>
      </c>
      <c r="C117">
        <v>1144.8499999999999</v>
      </c>
      <c r="D117">
        <v>450</v>
      </c>
      <c r="G117" t="s">
        <v>42</v>
      </c>
      <c r="H117">
        <v>47657</v>
      </c>
      <c r="I117" s="28">
        <f t="shared" si="33"/>
        <v>95314</v>
      </c>
      <c r="J117" t="s">
        <v>55</v>
      </c>
      <c r="K117" t="s">
        <v>43</v>
      </c>
      <c r="L117" t="s">
        <v>189</v>
      </c>
      <c r="M117" s="3">
        <v>89.471999999999994</v>
      </c>
      <c r="N117">
        <v>41.959000000000003</v>
      </c>
      <c r="O117">
        <v>120.84699999999999</v>
      </c>
      <c r="P117">
        <v>71.840999999999994</v>
      </c>
      <c r="Q117">
        <v>2948.4940000000001</v>
      </c>
      <c r="R117" s="28">
        <v>0</v>
      </c>
      <c r="S117">
        <f t="shared" si="34"/>
        <v>30.635515167099602</v>
      </c>
      <c r="T117" s="29">
        <f t="shared" si="35"/>
        <v>54.300036832400032</v>
      </c>
      <c r="U117">
        <v>378.31599999999997</v>
      </c>
      <c r="V117" s="29">
        <v>0.25900000000000001</v>
      </c>
      <c r="W117" s="30">
        <f>1/2.132</f>
        <v>0.4690431519699812</v>
      </c>
      <c r="X117">
        <f>1/W117</f>
        <v>2.1320000000000001</v>
      </c>
      <c r="Y117" s="3">
        <v>0.46899999999999997</v>
      </c>
      <c r="Z117" s="3">
        <v>0.51900000000000002</v>
      </c>
      <c r="AA117">
        <v>72.206999999999994</v>
      </c>
      <c r="AB117">
        <v>19.63</v>
      </c>
      <c r="AC117">
        <v>132.6</v>
      </c>
      <c r="AD117">
        <v>78.122</v>
      </c>
      <c r="AE117">
        <v>6749.4809999999998</v>
      </c>
      <c r="AF117" s="30">
        <f>SQRT(AE117)</f>
        <v>82.15522503164361</v>
      </c>
      <c r="AG117">
        <v>337.63099999999997</v>
      </c>
      <c r="AH117">
        <v>0.74399999999999999</v>
      </c>
      <c r="AI117">
        <f>1/1.648</f>
        <v>0.60679611650485443</v>
      </c>
      <c r="AJ117">
        <f>1/AI117</f>
        <v>1.6479999999999999</v>
      </c>
      <c r="AK117">
        <v>0.60699999999999998</v>
      </c>
      <c r="AL117">
        <v>1</v>
      </c>
      <c r="AN117">
        <v>0</v>
      </c>
      <c r="AO117">
        <v>108.681</v>
      </c>
      <c r="AQ117">
        <v>79.116</v>
      </c>
      <c r="AR117">
        <f>AO117/AQ117</f>
        <v>1.3736917943273168</v>
      </c>
    </row>
    <row r="118" spans="1:51" x14ac:dyDescent="0.25">
      <c r="B118" s="1" t="s">
        <v>190</v>
      </c>
      <c r="C118">
        <v>1144.8499999999999</v>
      </c>
      <c r="D118">
        <v>450</v>
      </c>
      <c r="E118">
        <v>6</v>
      </c>
      <c r="F118" t="s">
        <v>49</v>
      </c>
      <c r="G118" t="s">
        <v>187</v>
      </c>
      <c r="H118">
        <v>627114</v>
      </c>
      <c r="I118" s="28">
        <f>H118*2</f>
        <v>1254228</v>
      </c>
      <c r="J118" t="s">
        <v>55</v>
      </c>
      <c r="K118" t="s">
        <v>43</v>
      </c>
      <c r="M118" s="3">
        <v>112.941</v>
      </c>
      <c r="N118">
        <v>61.738</v>
      </c>
      <c r="O118">
        <v>136.096</v>
      </c>
      <c r="P118">
        <v>81.299000000000007</v>
      </c>
      <c r="Q118">
        <v>5476.3590000000004</v>
      </c>
      <c r="R118" s="28">
        <v>48.398000000000003</v>
      </c>
      <c r="S118">
        <f t="shared" si="34"/>
        <v>41.75139770105401</v>
      </c>
      <c r="T118" s="29">
        <f t="shared" si="35"/>
        <v>74.002425635920886</v>
      </c>
      <c r="U118">
        <v>380.60899999999998</v>
      </c>
      <c r="V118" s="29">
        <v>0.47499999999999998</v>
      </c>
      <c r="W118" s="30">
        <f>1/1.829</f>
        <v>0.54674685620557684</v>
      </c>
      <c r="X118">
        <f t="shared" si="37"/>
        <v>1.829</v>
      </c>
      <c r="Y118" s="3">
        <v>0.54700000000000004</v>
      </c>
      <c r="Z118" s="3">
        <v>0.73599999999999999</v>
      </c>
      <c r="AA118">
        <v>119.625</v>
      </c>
      <c r="AB118">
        <v>83.221000000000004</v>
      </c>
      <c r="AC118">
        <v>136.17099999999999</v>
      </c>
      <c r="AD118">
        <v>89.722999999999999</v>
      </c>
      <c r="AE118">
        <v>7818.8909999999996</v>
      </c>
      <c r="AF118" s="30">
        <f t="shared" si="32"/>
        <v>88.424493213136373</v>
      </c>
      <c r="AG118">
        <v>357.41800000000001</v>
      </c>
      <c r="AH118">
        <v>0.76900000000000002</v>
      </c>
      <c r="AI118">
        <f>1/1.437</f>
        <v>0.6958942240779401</v>
      </c>
      <c r="AJ118">
        <f t="shared" si="38"/>
        <v>1.4370000000000001</v>
      </c>
      <c r="AK118">
        <v>0.69599999999999995</v>
      </c>
      <c r="AL118">
        <v>1</v>
      </c>
      <c r="AN118">
        <v>0.70758773863965863</v>
      </c>
      <c r="AO118">
        <v>92.311999999999998</v>
      </c>
      <c r="AQ118">
        <v>133.51900000000001</v>
      </c>
      <c r="AR118">
        <f t="shared" si="36"/>
        <v>0.69137725716939158</v>
      </c>
    </row>
    <row r="119" spans="1:51" x14ac:dyDescent="0.25">
      <c r="B119" s="1" t="s">
        <v>191</v>
      </c>
      <c r="C119">
        <v>1144.8499999999999</v>
      </c>
      <c r="D119">
        <v>450</v>
      </c>
      <c r="F119" t="s">
        <v>49</v>
      </c>
      <c r="G119" t="s">
        <v>192</v>
      </c>
      <c r="H119">
        <v>285664</v>
      </c>
      <c r="I119" s="28">
        <f>H119*2</f>
        <v>571328</v>
      </c>
      <c r="J119" t="s">
        <v>55</v>
      </c>
      <c r="K119" t="s">
        <v>43</v>
      </c>
      <c r="M119" s="3">
        <v>141.85400000000001</v>
      </c>
      <c r="N119">
        <v>54.783999999999999</v>
      </c>
      <c r="O119">
        <v>171.77199999999999</v>
      </c>
      <c r="P119">
        <v>73.531000000000006</v>
      </c>
      <c r="Q119">
        <v>6103.6049999999996</v>
      </c>
      <c r="R119" s="28">
        <v>29.353999999999999</v>
      </c>
      <c r="S119">
        <f t="shared" si="34"/>
        <v>44.077633929928858</v>
      </c>
      <c r="T119" s="29">
        <f t="shared" si="35"/>
        <v>78.125571997906036</v>
      </c>
      <c r="U119">
        <v>526.99099999999999</v>
      </c>
      <c r="V119" s="29">
        <v>0.27600000000000002</v>
      </c>
      <c r="W119" s="30">
        <f>1/2.589</f>
        <v>0.38624951718810352</v>
      </c>
      <c r="X119">
        <f>1/W119</f>
        <v>2.589</v>
      </c>
      <c r="Y119" s="3">
        <v>0.38600000000000001</v>
      </c>
      <c r="Z119" s="3">
        <v>0.63700000000000001</v>
      </c>
      <c r="AA119">
        <v>162.18299999999999</v>
      </c>
      <c r="AB119">
        <v>75.602999999999994</v>
      </c>
      <c r="AC119">
        <v>169.887</v>
      </c>
      <c r="AD119">
        <v>73.516000000000005</v>
      </c>
      <c r="AE119">
        <v>9630.1229999999996</v>
      </c>
      <c r="AF119" s="30">
        <f>SQRT(AE119)</f>
        <v>98.133190104062137</v>
      </c>
      <c r="AG119">
        <v>409.13200000000001</v>
      </c>
      <c r="AH119">
        <v>0.72299999999999998</v>
      </c>
      <c r="AI119">
        <f>1/2.145</f>
        <v>0.46620046620046618</v>
      </c>
      <c r="AJ119">
        <f>1/AI119</f>
        <v>2.145</v>
      </c>
      <c r="AK119">
        <v>0.46600000000000003</v>
      </c>
      <c r="AL119">
        <v>1</v>
      </c>
      <c r="AN119">
        <v>0.65662943849084099</v>
      </c>
      <c r="AO119">
        <v>166.00399999999999</v>
      </c>
      <c r="AQ119">
        <v>100.22799999999999</v>
      </c>
      <c r="AR119">
        <f>AO119/AQ119</f>
        <v>1.6562637187213154</v>
      </c>
    </row>
    <row r="120" spans="1:51" x14ac:dyDescent="0.25">
      <c r="B120" s="1" t="s">
        <v>193</v>
      </c>
      <c r="C120">
        <v>1144.8499999999999</v>
      </c>
      <c r="D120">
        <v>500</v>
      </c>
      <c r="H120">
        <v>159766</v>
      </c>
      <c r="I120" s="28">
        <f t="shared" si="33"/>
        <v>319532</v>
      </c>
      <c r="J120" t="b">
        <v>0</v>
      </c>
      <c r="K120" t="s">
        <v>43</v>
      </c>
      <c r="L120" t="s">
        <v>194</v>
      </c>
      <c r="M120" s="3">
        <v>139.304</v>
      </c>
      <c r="N120">
        <v>71.947000000000003</v>
      </c>
      <c r="O120">
        <v>168.76499999999999</v>
      </c>
      <c r="P120">
        <v>82.623000000000005</v>
      </c>
      <c r="Q120">
        <v>7871.625</v>
      </c>
      <c r="R120" s="28">
        <v>287.50299999999999</v>
      </c>
      <c r="S120">
        <f t="shared" si="34"/>
        <v>50.056129073585794</v>
      </c>
      <c r="T120" s="29">
        <f t="shared" si="35"/>
        <v>88.722178737900705</v>
      </c>
      <c r="U120">
        <v>444.87900000000002</v>
      </c>
      <c r="V120" s="29">
        <v>0.5</v>
      </c>
      <c r="W120" s="30">
        <f>1/1.936</f>
        <v>0.51652892561983477</v>
      </c>
      <c r="X120">
        <f t="shared" si="37"/>
        <v>1.9359999999999997</v>
      </c>
      <c r="Y120" s="3">
        <v>0.51600000000000001</v>
      </c>
      <c r="Z120" s="3">
        <v>0.81399999999999995</v>
      </c>
      <c r="AA120">
        <v>231.267</v>
      </c>
      <c r="AB120">
        <v>73.433999999999997</v>
      </c>
      <c r="AC120">
        <v>234.39400000000001</v>
      </c>
      <c r="AD120">
        <v>81.006</v>
      </c>
      <c r="AE120">
        <v>13338.281000000001</v>
      </c>
      <c r="AF120" s="30">
        <f t="shared" si="32"/>
        <v>115.49147587592775</v>
      </c>
      <c r="AG120">
        <v>536.59500000000003</v>
      </c>
      <c r="AH120">
        <v>0.58199999999999996</v>
      </c>
      <c r="AI120">
        <f>1/3.149</f>
        <v>0.31756113051762463</v>
      </c>
      <c r="AJ120">
        <f t="shared" si="38"/>
        <v>3.149</v>
      </c>
      <c r="AK120">
        <v>0.318</v>
      </c>
      <c r="AL120">
        <v>0.996</v>
      </c>
      <c r="AN120">
        <v>0</v>
      </c>
      <c r="AO120">
        <v>214.98099999999999</v>
      </c>
      <c r="AQ120">
        <v>136.876</v>
      </c>
      <c r="AR120">
        <f t="shared" si="36"/>
        <v>1.5706259680294572</v>
      </c>
    </row>
    <row r="121" spans="1:51" x14ac:dyDescent="0.25">
      <c r="B121" s="1" t="s">
        <v>195</v>
      </c>
      <c r="C121">
        <v>1144.8499999999999</v>
      </c>
      <c r="D121">
        <v>600</v>
      </c>
      <c r="E121">
        <v>4</v>
      </c>
      <c r="F121" t="s">
        <v>49</v>
      </c>
      <c r="G121" t="s">
        <v>184</v>
      </c>
      <c r="H121">
        <v>66555</v>
      </c>
      <c r="I121" s="28">
        <f t="shared" si="33"/>
        <v>133110</v>
      </c>
      <c r="J121" t="s">
        <v>55</v>
      </c>
      <c r="K121" t="s">
        <v>43</v>
      </c>
      <c r="M121" s="3">
        <v>144.23099999999999</v>
      </c>
      <c r="N121">
        <v>59.093000000000004</v>
      </c>
      <c r="O121">
        <v>143.18100000000001</v>
      </c>
      <c r="P121">
        <v>78.497</v>
      </c>
      <c r="Q121">
        <v>6706.527</v>
      </c>
      <c r="R121" s="28">
        <v>57.817</v>
      </c>
      <c r="S121">
        <f t="shared" si="34"/>
        <v>46.203396477515795</v>
      </c>
      <c r="T121" s="29">
        <f t="shared" si="35"/>
        <v>81.893388011487232</v>
      </c>
      <c r="U121">
        <v>431.23099999999999</v>
      </c>
      <c r="V121" s="29">
        <v>0.45300000000000001</v>
      </c>
      <c r="W121" s="30">
        <f>1/2.447</f>
        <v>0.40866366979975477</v>
      </c>
      <c r="X121">
        <f>1/W121</f>
        <v>2.4470000000000001</v>
      </c>
      <c r="Y121" s="3">
        <v>0.40899999999999997</v>
      </c>
      <c r="Z121" s="3">
        <v>0.751</v>
      </c>
      <c r="AA121">
        <v>143.696</v>
      </c>
      <c r="AB121">
        <v>75.397999999999996</v>
      </c>
      <c r="AC121">
        <v>144.25299999999999</v>
      </c>
      <c r="AD121">
        <v>75.581999999999994</v>
      </c>
      <c r="AE121">
        <v>8509.33</v>
      </c>
      <c r="AF121" s="30">
        <f>SQRT(AE121)</f>
        <v>92.24602972486133</v>
      </c>
      <c r="AG121">
        <v>368.00299999999999</v>
      </c>
      <c r="AH121">
        <v>0.79</v>
      </c>
      <c r="AI121">
        <f>1/1.906</f>
        <v>0.52465897166841557</v>
      </c>
      <c r="AJ121">
        <f>1/AI121</f>
        <v>1.9059999999999999</v>
      </c>
      <c r="AK121">
        <v>0.52500000000000002</v>
      </c>
      <c r="AL121">
        <v>0.999</v>
      </c>
      <c r="AN121">
        <v>0.61973374001341208</v>
      </c>
      <c r="AO121">
        <v>123.146</v>
      </c>
      <c r="AQ121">
        <v>130.40700000000001</v>
      </c>
      <c r="AR121">
        <f>AO121/AQ121</f>
        <v>0.94432047359420879</v>
      </c>
    </row>
    <row r="122" spans="1:51" x14ac:dyDescent="0.25">
      <c r="B122" s="1" t="s">
        <v>196</v>
      </c>
      <c r="C122">
        <v>1144.8499999999999</v>
      </c>
      <c r="D122">
        <v>500</v>
      </c>
      <c r="F122" t="s">
        <v>49</v>
      </c>
      <c r="G122" t="s">
        <v>192</v>
      </c>
      <c r="H122">
        <v>70877</v>
      </c>
      <c r="I122" s="28">
        <f>H122*2</f>
        <v>141754</v>
      </c>
      <c r="J122" t="s">
        <v>55</v>
      </c>
      <c r="K122" t="s">
        <v>43</v>
      </c>
      <c r="L122" t="s">
        <v>189</v>
      </c>
      <c r="M122" s="3">
        <v>142.18799999999999</v>
      </c>
      <c r="N122">
        <v>84.073999999999998</v>
      </c>
      <c r="O122">
        <v>247.21199999999999</v>
      </c>
      <c r="P122">
        <v>167.03800000000001</v>
      </c>
      <c r="Q122">
        <v>9388.9650000000001</v>
      </c>
      <c r="R122" s="28">
        <v>32.634</v>
      </c>
      <c r="S122">
        <f t="shared" si="34"/>
        <v>54.66809289277974</v>
      </c>
      <c r="T122" s="29">
        <f t="shared" si="35"/>
        <v>96.896671769467915</v>
      </c>
      <c r="U122">
        <v>995.03</v>
      </c>
      <c r="V122" s="29">
        <v>0.11899999999999999</v>
      </c>
      <c r="W122" s="30">
        <f>1/1.691</f>
        <v>0.59136605558840916</v>
      </c>
      <c r="X122">
        <f t="shared" si="37"/>
        <v>1.6910000000000003</v>
      </c>
      <c r="Y122" s="3">
        <v>0.59099999999999997</v>
      </c>
      <c r="Z122" s="3">
        <v>0.34599999999999997</v>
      </c>
      <c r="AA122">
        <v>275.40800000000002</v>
      </c>
      <c r="AB122">
        <v>181.13</v>
      </c>
      <c r="AC122">
        <v>280.149</v>
      </c>
      <c r="AD122">
        <v>170.42599999999999</v>
      </c>
      <c r="AE122">
        <v>39179.313000000002</v>
      </c>
      <c r="AF122" s="30">
        <f t="shared" si="32"/>
        <v>197.93764927370438</v>
      </c>
      <c r="AG122">
        <v>776.65599999999995</v>
      </c>
      <c r="AH122">
        <v>0.81599999999999995</v>
      </c>
      <c r="AI122">
        <f>1/1.52</f>
        <v>0.65789473684210531</v>
      </c>
      <c r="AJ122">
        <f t="shared" si="38"/>
        <v>1.5199999999999998</v>
      </c>
      <c r="AK122">
        <v>0.65800000000000003</v>
      </c>
      <c r="AL122">
        <v>0.998</v>
      </c>
      <c r="AN122">
        <v>0</v>
      </c>
      <c r="AO122">
        <v>251.34200000000001</v>
      </c>
      <c r="AP122">
        <v>32.223999999999997</v>
      </c>
      <c r="AQ122">
        <v>166.92</v>
      </c>
      <c r="AR122">
        <f>AO122/AQ122</f>
        <v>1.5057632398753895</v>
      </c>
      <c r="AS122">
        <f>AQ122/(AP122*0.5)</f>
        <v>10.359980139026813</v>
      </c>
      <c r="AT122">
        <f>T122*SQRT(AS122)</f>
        <v>311.88057157511093</v>
      </c>
      <c r="AU122">
        <f>AT122+R122</f>
        <v>344.51457157511095</v>
      </c>
      <c r="AV122">
        <f>1+1.464*(AS122^1.65)</f>
        <v>70.323949846515291</v>
      </c>
      <c r="AW122">
        <f>AU122/AV122</f>
        <v>4.8989650371889972</v>
      </c>
    </row>
    <row r="123" spans="1:51" s="6" customFormat="1" x14ac:dyDescent="0.25">
      <c r="A123" s="6" t="s">
        <v>197</v>
      </c>
      <c r="B123" s="6" t="s">
        <v>198</v>
      </c>
      <c r="C123" s="6">
        <v>1148.67</v>
      </c>
      <c r="D123" s="6">
        <v>450</v>
      </c>
      <c r="E123" s="6">
        <v>6</v>
      </c>
      <c r="G123" s="6" t="s">
        <v>192</v>
      </c>
      <c r="H123" s="6">
        <v>40140</v>
      </c>
      <c r="I123" s="39">
        <f t="shared" si="33"/>
        <v>80280</v>
      </c>
      <c r="J123" s="6" t="s">
        <v>55</v>
      </c>
      <c r="K123" s="6" t="s">
        <v>43</v>
      </c>
      <c r="M123" s="15">
        <v>135</v>
      </c>
      <c r="N123" s="6">
        <v>77</v>
      </c>
      <c r="O123" s="6">
        <v>207.37200000000001</v>
      </c>
      <c r="P123" s="6">
        <v>126.876</v>
      </c>
      <c r="Q123" s="6">
        <v>8231</v>
      </c>
      <c r="R123" s="39">
        <v>40</v>
      </c>
      <c r="S123" s="6">
        <f t="shared" si="34"/>
        <v>51.186020290493197</v>
      </c>
      <c r="T123" s="40">
        <f t="shared" si="35"/>
        <v>90.724858776412546</v>
      </c>
      <c r="U123" s="6">
        <v>539</v>
      </c>
      <c r="V123" s="40">
        <v>0.36</v>
      </c>
      <c r="W123" s="41">
        <f>1/1.74</f>
        <v>0.57471264367816088</v>
      </c>
      <c r="X123" s="6">
        <f t="shared" si="37"/>
        <v>1.7400000000000002</v>
      </c>
      <c r="Y123" s="15">
        <v>0.56999999999999995</v>
      </c>
      <c r="Z123" s="15">
        <v>0.65</v>
      </c>
      <c r="AA123" s="6">
        <v>210.43700000000001</v>
      </c>
      <c r="AB123" s="6">
        <v>137.70699999999999</v>
      </c>
      <c r="AC123" s="6">
        <v>237.58</v>
      </c>
      <c r="AD123" s="6">
        <v>127.947</v>
      </c>
      <c r="AE123" s="6">
        <v>22759.768</v>
      </c>
      <c r="AF123" s="41">
        <f t="shared" si="32"/>
        <v>150.86340841966947</v>
      </c>
      <c r="AG123" s="6">
        <v>608.95100000000002</v>
      </c>
      <c r="AH123" s="6">
        <v>0.77100000000000002</v>
      </c>
      <c r="AI123" s="6">
        <f>1/1.528</f>
        <v>0.65445026178010468</v>
      </c>
      <c r="AJ123" s="6">
        <f t="shared" si="38"/>
        <v>1.528</v>
      </c>
      <c r="AK123" s="6">
        <v>0.65400000000000003</v>
      </c>
      <c r="AL123" s="6">
        <v>1</v>
      </c>
      <c r="AN123" s="6">
        <v>0.6877458526138136</v>
      </c>
      <c r="AO123" s="6">
        <v>124.12</v>
      </c>
      <c r="AP123" s="6">
        <v>0</v>
      </c>
      <c r="AQ123" s="6">
        <v>162</v>
      </c>
      <c r="AR123">
        <f t="shared" ref="AR123:AR167" si="39">AO123/AQ123</f>
        <v>0.76617283950617288</v>
      </c>
      <c r="AY123"/>
    </row>
    <row r="124" spans="1:51" x14ac:dyDescent="0.25">
      <c r="B124" s="33" t="s">
        <v>199</v>
      </c>
      <c r="C124">
        <v>1148.67</v>
      </c>
      <c r="D124">
        <v>500</v>
      </c>
      <c r="E124">
        <v>5</v>
      </c>
      <c r="F124" t="s">
        <v>49</v>
      </c>
      <c r="G124" t="s">
        <v>200</v>
      </c>
      <c r="H124">
        <v>39483</v>
      </c>
      <c r="I124">
        <f t="shared" si="33"/>
        <v>78966</v>
      </c>
      <c r="J124" t="s">
        <v>55</v>
      </c>
      <c r="K124" t="s">
        <v>43</v>
      </c>
      <c r="M124">
        <v>115.545</v>
      </c>
      <c r="N124">
        <v>46.222999999999999</v>
      </c>
      <c r="O124">
        <v>130.358</v>
      </c>
      <c r="P124">
        <v>69.924000000000007</v>
      </c>
      <c r="Q124">
        <v>4194.6670000000004</v>
      </c>
      <c r="R124">
        <v>34.026000000000003</v>
      </c>
      <c r="S124">
        <f t="shared" si="34"/>
        <v>36.540443009751577</v>
      </c>
      <c r="T124">
        <f t="shared" si="35"/>
        <v>64.766248926427721</v>
      </c>
      <c r="U124">
        <v>432.62299999999999</v>
      </c>
      <c r="V124">
        <v>0.28199999999999997</v>
      </c>
      <c r="W124">
        <f>1/2.5</f>
        <v>0.4</v>
      </c>
      <c r="X124">
        <f t="shared" si="37"/>
        <v>2.5</v>
      </c>
      <c r="Y124">
        <v>0.4</v>
      </c>
      <c r="Z124">
        <v>0.58299999999999996</v>
      </c>
      <c r="AA124">
        <v>135.792</v>
      </c>
      <c r="AB124">
        <v>116.19799999999999</v>
      </c>
      <c r="AC124">
        <v>148.291</v>
      </c>
      <c r="AD124">
        <v>114.797</v>
      </c>
      <c r="AE124">
        <v>12392.593000000001</v>
      </c>
      <c r="AF124">
        <f t="shared" si="32"/>
        <v>111.32202387667949</v>
      </c>
      <c r="AG124">
        <v>429.01799999999997</v>
      </c>
      <c r="AH124">
        <v>0.84599999999999997</v>
      </c>
      <c r="AI124">
        <f>1/1.169</f>
        <v>0.85543199315654406</v>
      </c>
      <c r="AJ124">
        <f t="shared" si="38"/>
        <v>1.169</v>
      </c>
      <c r="AK124">
        <v>0.85599999999999998</v>
      </c>
      <c r="AL124">
        <v>1</v>
      </c>
      <c r="AN124">
        <v>0</v>
      </c>
      <c r="AO124">
        <v>122.02</v>
      </c>
      <c r="AP124">
        <v>0</v>
      </c>
      <c r="AQ124">
        <v>85.397999999999996</v>
      </c>
      <c r="AR124">
        <f t="shared" si="39"/>
        <v>1.4288390828825031</v>
      </c>
    </row>
    <row r="125" spans="1:51" x14ac:dyDescent="0.25">
      <c r="B125" t="s">
        <v>201</v>
      </c>
      <c r="C125">
        <v>1148.67</v>
      </c>
      <c r="D125">
        <v>450</v>
      </c>
      <c r="E125">
        <v>6</v>
      </c>
      <c r="G125" t="s">
        <v>200</v>
      </c>
      <c r="H125">
        <v>59200</v>
      </c>
      <c r="I125" s="28">
        <f t="shared" si="33"/>
        <v>118400</v>
      </c>
      <c r="J125" t="s">
        <v>55</v>
      </c>
      <c r="K125" t="s">
        <v>43</v>
      </c>
      <c r="M125" s="3">
        <v>185.45599999999999</v>
      </c>
      <c r="N125">
        <v>48.465000000000003</v>
      </c>
      <c r="O125">
        <v>202.93</v>
      </c>
      <c r="P125">
        <v>82.241</v>
      </c>
      <c r="Q125">
        <v>7059.21</v>
      </c>
      <c r="R125" s="28">
        <v>0</v>
      </c>
      <c r="S125">
        <f t="shared" si="34"/>
        <v>47.402703843214233</v>
      </c>
      <c r="T125" s="29">
        <f t="shared" si="35"/>
        <v>84.019104970238757</v>
      </c>
      <c r="U125">
        <v>554.024</v>
      </c>
      <c r="V125" s="29">
        <v>0.28899999999999998</v>
      </c>
      <c r="W125" s="30">
        <f>1/3.827</f>
        <v>0.26130128037627387</v>
      </c>
      <c r="X125">
        <f t="shared" si="37"/>
        <v>3.8269999999999995</v>
      </c>
      <c r="Y125" s="3">
        <v>0.26100000000000001</v>
      </c>
      <c r="Z125" s="3">
        <v>0.57799999999999996</v>
      </c>
      <c r="AA125">
        <v>184.048</v>
      </c>
      <c r="AB125">
        <v>124.23399999999999</v>
      </c>
      <c r="AC125">
        <v>204.27500000000001</v>
      </c>
      <c r="AD125">
        <v>137.089</v>
      </c>
      <c r="AE125">
        <v>17958.238000000001</v>
      </c>
      <c r="AF125" s="30">
        <f t="shared" si="32"/>
        <v>134.00835048607979</v>
      </c>
      <c r="AG125">
        <v>546.19500000000005</v>
      </c>
      <c r="AH125">
        <v>0.75600000000000001</v>
      </c>
      <c r="AI125">
        <f>1/1.481</f>
        <v>0.67521944632005393</v>
      </c>
      <c r="AJ125">
        <f t="shared" si="38"/>
        <v>1.4810000000000001</v>
      </c>
      <c r="AK125">
        <v>0.67500000000000004</v>
      </c>
      <c r="AL125">
        <v>0.999</v>
      </c>
      <c r="AN125">
        <v>0.49061615572100509</v>
      </c>
      <c r="AO125">
        <v>186.785</v>
      </c>
      <c r="AP125">
        <v>52.601999999999997</v>
      </c>
      <c r="AQ125">
        <v>136.999</v>
      </c>
      <c r="AR125">
        <f t="shared" si="39"/>
        <v>1.363404112438777</v>
      </c>
    </row>
    <row r="126" spans="1:51" x14ac:dyDescent="0.25">
      <c r="B126" t="s">
        <v>202</v>
      </c>
      <c r="C126">
        <v>1148.67</v>
      </c>
      <c r="D126">
        <v>450</v>
      </c>
      <c r="E126">
        <v>6</v>
      </c>
      <c r="F126" t="s">
        <v>49</v>
      </c>
      <c r="G126" t="s">
        <v>192</v>
      </c>
      <c r="H126">
        <v>46179</v>
      </c>
      <c r="I126" s="28">
        <f t="shared" si="33"/>
        <v>92358</v>
      </c>
      <c r="J126" t="s">
        <v>55</v>
      </c>
      <c r="K126" t="s">
        <v>43</v>
      </c>
      <c r="M126" s="3">
        <v>152.92400000000001</v>
      </c>
      <c r="N126">
        <v>121.851</v>
      </c>
      <c r="O126">
        <v>202.85400000000001</v>
      </c>
      <c r="P126">
        <v>141.26</v>
      </c>
      <c r="Q126">
        <v>14635.008</v>
      </c>
      <c r="R126" s="28">
        <v>8.4510000000000005</v>
      </c>
      <c r="S126">
        <f t="shared" si="34"/>
        <v>68.252968659091053</v>
      </c>
      <c r="T126" s="29">
        <f t="shared" si="35"/>
        <v>120.97523713553943</v>
      </c>
      <c r="U126">
        <v>654.08000000000004</v>
      </c>
      <c r="V126" s="29">
        <v>0.43</v>
      </c>
      <c r="W126" s="30">
        <f>1/1.255</f>
        <v>0.79681274900398413</v>
      </c>
      <c r="X126">
        <f t="shared" si="37"/>
        <v>1.2549999999999999</v>
      </c>
      <c r="Y126" s="3">
        <v>0.79700000000000004</v>
      </c>
      <c r="Z126" s="3">
        <v>0.77200000000000002</v>
      </c>
      <c r="AA126">
        <v>179.96</v>
      </c>
      <c r="AB126">
        <v>137.73699999999999</v>
      </c>
      <c r="AC126">
        <v>210.5</v>
      </c>
      <c r="AD126">
        <v>151.52799999999999</v>
      </c>
      <c r="AE126">
        <v>19467.758000000002</v>
      </c>
      <c r="AF126" s="30">
        <f t="shared" si="32"/>
        <v>139.52690779917685</v>
      </c>
      <c r="AG126">
        <v>565.55700000000002</v>
      </c>
      <c r="AH126">
        <v>0.76500000000000001</v>
      </c>
      <c r="AI126">
        <f>1/1.307</f>
        <v>0.76511094108645761</v>
      </c>
      <c r="AJ126">
        <f t="shared" si="38"/>
        <v>1.3069999999999999</v>
      </c>
      <c r="AK126">
        <v>0.76500000000000001</v>
      </c>
      <c r="AL126">
        <v>0.98699999999999999</v>
      </c>
      <c r="AN126">
        <v>0.78568619477119528</v>
      </c>
      <c r="AO126">
        <v>152.756</v>
      </c>
      <c r="AP126">
        <v>133.518</v>
      </c>
      <c r="AQ126">
        <v>152.76300000000001</v>
      </c>
      <c r="AR126">
        <f t="shared" si="39"/>
        <v>0.99995417738588532</v>
      </c>
    </row>
    <row r="127" spans="1:51" ht="14.25" customHeight="1" x14ac:dyDescent="0.25">
      <c r="B127" s="33" t="s">
        <v>203</v>
      </c>
      <c r="C127">
        <v>1148.67</v>
      </c>
      <c r="D127">
        <v>450</v>
      </c>
      <c r="E127">
        <v>6</v>
      </c>
      <c r="F127" t="s">
        <v>49</v>
      </c>
      <c r="G127" t="s">
        <v>192</v>
      </c>
      <c r="H127">
        <v>37729</v>
      </c>
      <c r="I127">
        <f t="shared" si="33"/>
        <v>75458</v>
      </c>
      <c r="J127" t="s">
        <v>55</v>
      </c>
      <c r="K127" t="s">
        <v>43</v>
      </c>
      <c r="L127" t="s">
        <v>204</v>
      </c>
      <c r="M127">
        <v>176.98699999999999</v>
      </c>
      <c r="N127">
        <v>38.911999999999999</v>
      </c>
      <c r="O127">
        <v>238.04400000000001</v>
      </c>
      <c r="P127">
        <v>68.903000000000006</v>
      </c>
      <c r="Q127">
        <v>5409.0140000000001</v>
      </c>
      <c r="R127">
        <v>0</v>
      </c>
      <c r="S127">
        <f t="shared" si="34"/>
        <v>41.493886666670917</v>
      </c>
      <c r="T127">
        <f t="shared" si="35"/>
        <v>73.545999211377904</v>
      </c>
      <c r="U127">
        <v>662.37199999999996</v>
      </c>
      <c r="V127">
        <v>0.155</v>
      </c>
      <c r="W127">
        <f>1/4.548</f>
        <v>0.2198768689533861</v>
      </c>
      <c r="X127">
        <f t="shared" si="37"/>
        <v>4.548</v>
      </c>
      <c r="Y127">
        <v>0.22</v>
      </c>
      <c r="Z127">
        <v>0.434</v>
      </c>
      <c r="AA127">
        <v>357.40699999999998</v>
      </c>
      <c r="AB127">
        <v>228.22300000000001</v>
      </c>
      <c r="AC127">
        <v>417.60700000000003</v>
      </c>
      <c r="AD127">
        <v>230.244</v>
      </c>
      <c r="AE127">
        <v>64063.83</v>
      </c>
      <c r="AF127">
        <f t="shared" si="32"/>
        <v>253.10833648854793</v>
      </c>
      <c r="AG127">
        <v>1047.6959999999999</v>
      </c>
      <c r="AH127">
        <v>0.73299999999999998</v>
      </c>
      <c r="AI127">
        <f>1/1.566</f>
        <v>0.63856960408684549</v>
      </c>
      <c r="AJ127">
        <f t="shared" si="38"/>
        <v>1.5659999999999998</v>
      </c>
      <c r="AK127">
        <v>0.63900000000000001</v>
      </c>
      <c r="AL127">
        <v>0.99399999999999999</v>
      </c>
      <c r="AN127">
        <v>0</v>
      </c>
      <c r="AO127">
        <v>165.93</v>
      </c>
      <c r="AP127">
        <v>18.427</v>
      </c>
      <c r="AQ127">
        <v>208.13800000000001</v>
      </c>
      <c r="AR127">
        <f t="shared" si="39"/>
        <v>0.79721146547002475</v>
      </c>
    </row>
    <row r="128" spans="1:51" x14ac:dyDescent="0.25">
      <c r="B128" t="s">
        <v>205</v>
      </c>
      <c r="C128">
        <v>1148.67</v>
      </c>
      <c r="D128">
        <v>600</v>
      </c>
      <c r="E128">
        <v>4</v>
      </c>
      <c r="G128" t="s">
        <v>200</v>
      </c>
      <c r="H128">
        <v>15254</v>
      </c>
      <c r="I128" s="28">
        <f t="shared" si="33"/>
        <v>30508</v>
      </c>
      <c r="J128" t="s">
        <v>55</v>
      </c>
      <c r="K128" t="s">
        <v>43</v>
      </c>
      <c r="L128" t="s">
        <v>44</v>
      </c>
      <c r="M128" s="3">
        <v>205.46299999999999</v>
      </c>
      <c r="N128">
        <v>74.796999999999997</v>
      </c>
      <c r="O128">
        <v>256.83800000000002</v>
      </c>
      <c r="P128">
        <v>112.672</v>
      </c>
      <c r="Q128">
        <v>12069.984</v>
      </c>
      <c r="R128" s="28">
        <v>0</v>
      </c>
      <c r="S128">
        <f t="shared" si="34"/>
        <v>61.98383041794186</v>
      </c>
      <c r="T128" s="29">
        <f t="shared" si="35"/>
        <v>109.86347891815551</v>
      </c>
      <c r="U128">
        <v>901.76900000000001</v>
      </c>
      <c r="V128" s="29">
        <v>0.187</v>
      </c>
      <c r="W128" s="30">
        <f>1/2.747</f>
        <v>0.36403349108117949</v>
      </c>
      <c r="X128">
        <f t="shared" si="37"/>
        <v>2.7469999999999999</v>
      </c>
      <c r="Y128" s="3">
        <v>0.36399999999999999</v>
      </c>
      <c r="Z128" s="3">
        <v>0.50900000000000001</v>
      </c>
      <c r="AA128">
        <v>251.90899999999999</v>
      </c>
      <c r="AB128">
        <v>176.12100000000001</v>
      </c>
      <c r="AC128">
        <v>281.52999999999997</v>
      </c>
      <c r="AD128">
        <v>198.22800000000001</v>
      </c>
      <c r="AE128">
        <v>34845.328000000001</v>
      </c>
      <c r="AF128" s="30">
        <f t="shared" si="32"/>
        <v>186.66903331833055</v>
      </c>
      <c r="AG128">
        <v>745.72799999999995</v>
      </c>
      <c r="AH128">
        <v>0.78700000000000003</v>
      </c>
      <c r="AI128">
        <f>1/1.43</f>
        <v>0.69930069930069938</v>
      </c>
      <c r="AJ128">
        <f t="shared" si="38"/>
        <v>1.43</v>
      </c>
      <c r="AK128">
        <v>0.69899999999999995</v>
      </c>
      <c r="AL128">
        <v>0.998</v>
      </c>
      <c r="AN128">
        <v>0</v>
      </c>
      <c r="AO128">
        <v>186.37799999999999</v>
      </c>
      <c r="AP128">
        <v>30.009</v>
      </c>
      <c r="AQ128">
        <v>197.63399999999999</v>
      </c>
      <c r="AR128">
        <f t="shared" si="39"/>
        <v>0.94304623698351497</v>
      </c>
    </row>
    <row r="129" spans="1:51" x14ac:dyDescent="0.25">
      <c r="B129" t="s">
        <v>206</v>
      </c>
      <c r="C129">
        <v>1148.67</v>
      </c>
      <c r="D129">
        <v>600</v>
      </c>
      <c r="E129">
        <v>4</v>
      </c>
      <c r="G129" t="s">
        <v>200</v>
      </c>
      <c r="H129">
        <v>10294</v>
      </c>
      <c r="I129" s="28">
        <f t="shared" si="33"/>
        <v>20588</v>
      </c>
      <c r="J129" t="s">
        <v>55</v>
      </c>
      <c r="K129" t="s">
        <v>43</v>
      </c>
      <c r="L129" t="s">
        <v>204</v>
      </c>
      <c r="M129" s="3">
        <v>168.55500000000001</v>
      </c>
      <c r="N129">
        <v>97.86</v>
      </c>
      <c r="O129">
        <v>349.5</v>
      </c>
      <c r="P129">
        <v>203.30199999999999</v>
      </c>
      <c r="Q129">
        <v>12955.007</v>
      </c>
      <c r="R129" s="28">
        <v>23.73</v>
      </c>
      <c r="S129">
        <f t="shared" si="34"/>
        <v>64.216094584459213</v>
      </c>
      <c r="T129" s="29">
        <f t="shared" si="35"/>
        <v>113.82006413633758</v>
      </c>
      <c r="U129">
        <v>1475.433</v>
      </c>
      <c r="V129" s="29">
        <v>7.4999999999999997E-2</v>
      </c>
      <c r="W129" s="30">
        <f>1/1.722</f>
        <v>0.58072009291521487</v>
      </c>
      <c r="X129">
        <f t="shared" si="37"/>
        <v>1.722</v>
      </c>
      <c r="Y129" s="3">
        <v>0.58099999999999996</v>
      </c>
      <c r="Z129" s="3">
        <v>0.26500000000000001</v>
      </c>
      <c r="AA129">
        <v>297.94200000000001</v>
      </c>
      <c r="AB129">
        <v>240.58699999999999</v>
      </c>
      <c r="AC129">
        <v>364.03100000000001</v>
      </c>
      <c r="AD129">
        <v>245.392</v>
      </c>
      <c r="AE129">
        <v>56298.080000000002</v>
      </c>
      <c r="AF129" s="30">
        <f t="shared" si="32"/>
        <v>237.27216440197952</v>
      </c>
      <c r="AG129">
        <v>959.97400000000005</v>
      </c>
      <c r="AH129">
        <v>0.76800000000000002</v>
      </c>
      <c r="AI129">
        <f>1/1.238</f>
        <v>0.80775444264943463</v>
      </c>
      <c r="AJ129">
        <f t="shared" si="38"/>
        <v>1.238</v>
      </c>
      <c r="AK129">
        <v>0.80700000000000005</v>
      </c>
      <c r="AL129">
        <v>0.97899999999999998</v>
      </c>
      <c r="AN129">
        <v>0</v>
      </c>
      <c r="AO129">
        <v>250.74100000000001</v>
      </c>
      <c r="AP129">
        <v>0</v>
      </c>
      <c r="AQ129">
        <v>230.42099999999999</v>
      </c>
      <c r="AR129">
        <f t="shared" si="39"/>
        <v>1.0881864066209244</v>
      </c>
    </row>
    <row r="130" spans="1:51" x14ac:dyDescent="0.25">
      <c r="B130" t="s">
        <v>203</v>
      </c>
      <c r="C130">
        <v>1148.67</v>
      </c>
      <c r="D130">
        <v>450</v>
      </c>
      <c r="E130">
        <v>6</v>
      </c>
      <c r="F130" t="s">
        <v>49</v>
      </c>
      <c r="G130" t="s">
        <v>192</v>
      </c>
      <c r="H130">
        <v>37729</v>
      </c>
      <c r="I130" s="28">
        <f t="shared" si="33"/>
        <v>75458</v>
      </c>
      <c r="J130" t="s">
        <v>55</v>
      </c>
      <c r="K130" t="s">
        <v>43</v>
      </c>
      <c r="L130" t="s">
        <v>207</v>
      </c>
      <c r="M130" s="3">
        <v>271.77499999999998</v>
      </c>
      <c r="N130">
        <v>83.475999999999999</v>
      </c>
      <c r="O130">
        <v>420.529</v>
      </c>
      <c r="P130">
        <v>150.21899999999999</v>
      </c>
      <c r="Q130">
        <v>17817.952000000001</v>
      </c>
      <c r="R130" s="28">
        <v>0</v>
      </c>
      <c r="S130">
        <f t="shared" si="34"/>
        <v>75.310226882862636</v>
      </c>
      <c r="T130" s="29">
        <f t="shared" si="35"/>
        <v>133.48390165109799</v>
      </c>
      <c r="U130">
        <v>1409.011</v>
      </c>
      <c r="V130" s="29">
        <v>0.113</v>
      </c>
      <c r="W130" s="30">
        <f>1/3.256</f>
        <v>0.30712530712530717</v>
      </c>
      <c r="X130">
        <f t="shared" si="37"/>
        <v>3.2559999999999993</v>
      </c>
      <c r="Y130" s="3">
        <v>0.307</v>
      </c>
      <c r="Z130" s="3">
        <v>0.436</v>
      </c>
      <c r="AA130">
        <v>355.65300000000002</v>
      </c>
      <c r="AB130">
        <v>228.578</v>
      </c>
      <c r="AC130">
        <v>414.59399999999999</v>
      </c>
      <c r="AD130">
        <v>231.55799999999999</v>
      </c>
      <c r="AE130">
        <v>63848.504000000001</v>
      </c>
      <c r="AF130" s="30">
        <f t="shared" si="32"/>
        <v>252.68261515189366</v>
      </c>
      <c r="AG130">
        <v>1043.702</v>
      </c>
      <c r="AH130">
        <v>0.73699999999999999</v>
      </c>
      <c r="AI130">
        <f>1/1.556</f>
        <v>0.64267352185089976</v>
      </c>
      <c r="AJ130">
        <f t="shared" si="38"/>
        <v>1.556</v>
      </c>
      <c r="AK130">
        <v>0.64300000000000002</v>
      </c>
      <c r="AL130">
        <v>0.99099999999999999</v>
      </c>
      <c r="AN130">
        <v>0</v>
      </c>
      <c r="AO130">
        <v>375.73700000000002</v>
      </c>
      <c r="AP130">
        <v>68.462000000000003</v>
      </c>
      <c r="AQ130">
        <v>229.04</v>
      </c>
      <c r="AR130">
        <f t="shared" si="39"/>
        <v>1.6404863779252534</v>
      </c>
    </row>
    <row r="131" spans="1:51" x14ac:dyDescent="0.25">
      <c r="B131" t="s">
        <v>208</v>
      </c>
      <c r="C131">
        <v>1148.67</v>
      </c>
      <c r="D131">
        <v>450</v>
      </c>
      <c r="E131">
        <v>6</v>
      </c>
      <c r="F131" t="s">
        <v>49</v>
      </c>
      <c r="G131" t="s">
        <v>192</v>
      </c>
      <c r="H131">
        <v>40873</v>
      </c>
      <c r="I131" s="28">
        <f t="shared" si="33"/>
        <v>81746</v>
      </c>
      <c r="J131" t="s">
        <v>55</v>
      </c>
      <c r="K131" t="s">
        <v>43</v>
      </c>
      <c r="M131" s="3">
        <v>176.88300000000001</v>
      </c>
      <c r="N131">
        <v>103.867</v>
      </c>
      <c r="O131">
        <v>198.17</v>
      </c>
      <c r="P131">
        <v>128.72499999999999</v>
      </c>
      <c r="Q131">
        <v>14429.63</v>
      </c>
      <c r="R131" s="28">
        <v>12.59</v>
      </c>
      <c r="S131">
        <f t="shared" si="34"/>
        <v>67.772368137569245</v>
      </c>
      <c r="T131" s="29">
        <f t="shared" si="35"/>
        <v>120.12339489042091</v>
      </c>
      <c r="U131">
        <v>583.13800000000003</v>
      </c>
      <c r="V131" s="29">
        <v>0.53300000000000003</v>
      </c>
      <c r="W131" s="30">
        <f>1/1.703</f>
        <v>0.58719906048150317</v>
      </c>
      <c r="X131">
        <f t="shared" si="37"/>
        <v>1.7030000000000003</v>
      </c>
      <c r="Y131" s="3">
        <v>0.58699999999999997</v>
      </c>
      <c r="Z131" s="3">
        <v>0.80600000000000005</v>
      </c>
      <c r="AA131">
        <v>175.72300000000001</v>
      </c>
      <c r="AB131">
        <v>137.59200000000001</v>
      </c>
      <c r="AC131">
        <v>210.57900000000001</v>
      </c>
      <c r="AD131">
        <v>152.35599999999999</v>
      </c>
      <c r="AE131">
        <v>18989.383000000002</v>
      </c>
      <c r="AF131" s="30">
        <f t="shared" si="32"/>
        <v>137.80197023264944</v>
      </c>
      <c r="AG131">
        <v>562.53200000000004</v>
      </c>
      <c r="AH131">
        <v>0.754</v>
      </c>
      <c r="AI131">
        <f>1/1.277</f>
        <v>0.78308535630383713</v>
      </c>
      <c r="AJ131">
        <f t="shared" si="38"/>
        <v>1.2769999999999999</v>
      </c>
      <c r="AK131">
        <v>0.78300000000000003</v>
      </c>
      <c r="AL131">
        <v>0.99199999999999999</v>
      </c>
      <c r="AN131">
        <v>0.74766503590778433</v>
      </c>
      <c r="AO131">
        <v>163.56100000000001</v>
      </c>
      <c r="AP131">
        <v>94.972999999999999</v>
      </c>
      <c r="AQ131">
        <v>152.48099999999999</v>
      </c>
      <c r="AR131">
        <f t="shared" si="39"/>
        <v>1.0726647910231439</v>
      </c>
    </row>
    <row r="132" spans="1:51" x14ac:dyDescent="0.25">
      <c r="B132" t="s">
        <v>209</v>
      </c>
      <c r="C132">
        <v>1148.67</v>
      </c>
      <c r="D132">
        <v>600</v>
      </c>
      <c r="E132">
        <v>4</v>
      </c>
      <c r="G132" t="s">
        <v>184</v>
      </c>
      <c r="H132">
        <v>17240</v>
      </c>
      <c r="I132" s="28">
        <f t="shared" si="33"/>
        <v>34480</v>
      </c>
      <c r="J132" t="s">
        <v>55</v>
      </c>
      <c r="K132" t="s">
        <v>43</v>
      </c>
      <c r="L132" t="s">
        <v>44</v>
      </c>
      <c r="M132" s="3">
        <v>138.31200000000001</v>
      </c>
      <c r="N132">
        <v>92.692999999999998</v>
      </c>
      <c r="O132">
        <v>165.55600000000001</v>
      </c>
      <c r="P132">
        <v>101.637</v>
      </c>
      <c r="Q132">
        <v>10069.234</v>
      </c>
      <c r="R132" s="28">
        <v>6.0720000000000001</v>
      </c>
      <c r="S132">
        <f t="shared" si="34"/>
        <v>56.613926983543152</v>
      </c>
      <c r="T132" s="29">
        <f t="shared" si="35"/>
        <v>100.34557289686477</v>
      </c>
      <c r="U132">
        <v>457.274</v>
      </c>
      <c r="V132" s="29">
        <v>0.60499999999999998</v>
      </c>
      <c r="W132" s="30">
        <f>1/1.492</f>
        <v>0.67024128686327078</v>
      </c>
      <c r="X132">
        <f t="shared" si="37"/>
        <v>1.492</v>
      </c>
      <c r="Y132" s="3">
        <v>0.67</v>
      </c>
      <c r="Z132" s="3">
        <v>0.82499999999999996</v>
      </c>
      <c r="AA132">
        <v>154.77600000000001</v>
      </c>
      <c r="AB132">
        <v>116.15300000000001</v>
      </c>
      <c r="AC132">
        <v>175.166</v>
      </c>
      <c r="AD132">
        <v>108.044</v>
      </c>
      <c r="AE132">
        <v>14119.630999999999</v>
      </c>
      <c r="AF132" s="30">
        <f>SQRT(AE132)</f>
        <v>118.82605354045887</v>
      </c>
      <c r="AG132">
        <v>472.12299999999999</v>
      </c>
      <c r="AH132">
        <v>0.79600000000000004</v>
      </c>
      <c r="AI132">
        <f>1/1.333</f>
        <v>0.75018754688672173</v>
      </c>
      <c r="AJ132">
        <f t="shared" si="38"/>
        <v>1.333</v>
      </c>
      <c r="AK132">
        <v>0.75</v>
      </c>
      <c r="AL132">
        <v>0.998</v>
      </c>
      <c r="AN132">
        <v>0</v>
      </c>
      <c r="AO132">
        <v>139.577</v>
      </c>
      <c r="AP132">
        <v>0</v>
      </c>
      <c r="AQ132">
        <v>102.038</v>
      </c>
      <c r="AR132">
        <f t="shared" si="39"/>
        <v>1.3678923538289658</v>
      </c>
    </row>
    <row r="133" spans="1:51" x14ac:dyDescent="0.25">
      <c r="B133" t="s">
        <v>210</v>
      </c>
      <c r="C133">
        <v>1148.67</v>
      </c>
      <c r="D133">
        <v>500</v>
      </c>
      <c r="E133">
        <v>5</v>
      </c>
      <c r="G133" t="s">
        <v>200</v>
      </c>
      <c r="H133">
        <v>28412</v>
      </c>
      <c r="I133" s="28">
        <f t="shared" si="33"/>
        <v>56824</v>
      </c>
      <c r="J133" t="s">
        <v>55</v>
      </c>
      <c r="K133" t="s">
        <v>43</v>
      </c>
      <c r="M133" s="3">
        <v>147.41200000000001</v>
      </c>
      <c r="N133">
        <v>113.15300000000001</v>
      </c>
      <c r="O133">
        <v>164.85900000000001</v>
      </c>
      <c r="P133">
        <v>147.39400000000001</v>
      </c>
      <c r="Q133">
        <v>13100.549000000001</v>
      </c>
      <c r="R133" s="28">
        <v>9.6300000000000008</v>
      </c>
      <c r="S133">
        <f t="shared" si="34"/>
        <v>64.575802442828177</v>
      </c>
      <c r="T133" s="29">
        <f t="shared" si="35"/>
        <v>114.45762971510463</v>
      </c>
      <c r="U133">
        <v>594.35500000000002</v>
      </c>
      <c r="V133" s="29">
        <v>0.46600000000000003</v>
      </c>
      <c r="W133" s="30">
        <f>1/1.303</f>
        <v>0.76745970836531086</v>
      </c>
      <c r="X133">
        <f t="shared" si="37"/>
        <v>1.3029999999999999</v>
      </c>
      <c r="Y133" s="3">
        <v>0.76800000000000002</v>
      </c>
      <c r="Z133" s="3">
        <v>0.76700000000000002</v>
      </c>
      <c r="AA133">
        <v>161.38</v>
      </c>
      <c r="AB133">
        <v>159.08500000000001</v>
      </c>
      <c r="AC133">
        <v>187.541</v>
      </c>
      <c r="AD133">
        <v>157.006</v>
      </c>
      <c r="AE133">
        <v>20163.649000000001</v>
      </c>
      <c r="AF133" s="30">
        <f t="shared" si="32"/>
        <v>141.99876407912853</v>
      </c>
      <c r="AG133">
        <v>555.45399999999995</v>
      </c>
      <c r="AH133">
        <v>0.82099999999999995</v>
      </c>
      <c r="AI133">
        <f>1/1.014</f>
        <v>0.98619329388560162</v>
      </c>
      <c r="AJ133">
        <f t="shared" si="38"/>
        <v>1.014</v>
      </c>
      <c r="AK133">
        <v>0.95599999999999996</v>
      </c>
      <c r="AL133">
        <v>0.99099999999999999</v>
      </c>
      <c r="AN133">
        <v>0.73123862627282821</v>
      </c>
      <c r="AO133">
        <v>159.43100000000001</v>
      </c>
      <c r="AP133">
        <v>0</v>
      </c>
      <c r="AQ133">
        <v>161.89400000000001</v>
      </c>
      <c r="AR133">
        <f t="shared" si="39"/>
        <v>0.98478634168035883</v>
      </c>
    </row>
    <row r="134" spans="1:51" x14ac:dyDescent="0.25">
      <c r="B134" t="s">
        <v>211</v>
      </c>
      <c r="C134">
        <v>1148.67</v>
      </c>
      <c r="D134">
        <v>500</v>
      </c>
      <c r="E134">
        <v>5</v>
      </c>
      <c r="F134" t="s">
        <v>49</v>
      </c>
      <c r="G134" t="s">
        <v>184</v>
      </c>
      <c r="H134">
        <v>36297</v>
      </c>
      <c r="I134" s="28">
        <f t="shared" si="33"/>
        <v>72594</v>
      </c>
      <c r="J134" t="s">
        <v>55</v>
      </c>
      <c r="K134" t="s">
        <v>43</v>
      </c>
      <c r="L134" t="s">
        <v>212</v>
      </c>
      <c r="M134" s="3">
        <v>147.11099999999999</v>
      </c>
      <c r="N134">
        <v>101.374</v>
      </c>
      <c r="O134">
        <v>166.852</v>
      </c>
      <c r="P134">
        <v>119.504</v>
      </c>
      <c r="Q134">
        <v>11712.814</v>
      </c>
      <c r="R134" s="28">
        <v>0</v>
      </c>
      <c r="S134">
        <f t="shared" si="34"/>
        <v>61.059843524463034</v>
      </c>
      <c r="T134" s="29">
        <f t="shared" si="35"/>
        <v>108.22575479062273</v>
      </c>
      <c r="U134">
        <v>508.94799999999998</v>
      </c>
      <c r="V134" s="29">
        <v>0.56799999999999995</v>
      </c>
      <c r="W134" s="30">
        <f>1/1.451</f>
        <v>0.68917987594762231</v>
      </c>
      <c r="X134">
        <f t="shared" si="37"/>
        <v>1.4510000000000001</v>
      </c>
      <c r="Y134" s="3">
        <v>0.68899999999999995</v>
      </c>
      <c r="Z134" s="3">
        <v>0.83599999999999997</v>
      </c>
      <c r="AA134">
        <v>155.75299999999999</v>
      </c>
      <c r="AB134">
        <v>144.249</v>
      </c>
      <c r="AC134">
        <v>175.166</v>
      </c>
      <c r="AD134">
        <v>141.709</v>
      </c>
      <c r="AE134">
        <v>17645.701000000001</v>
      </c>
      <c r="AF134" s="30">
        <f t="shared" si="32"/>
        <v>132.83712207060194</v>
      </c>
      <c r="AG134">
        <v>512.72900000000004</v>
      </c>
      <c r="AH134">
        <v>0.84299999999999997</v>
      </c>
      <c r="AI134">
        <f>1/1.08</f>
        <v>0.92592592592592582</v>
      </c>
      <c r="AJ134">
        <f t="shared" si="38"/>
        <v>1.08</v>
      </c>
      <c r="AK134">
        <v>0.92600000000000005</v>
      </c>
      <c r="AL134">
        <v>0.99099999999999999</v>
      </c>
      <c r="AN134">
        <v>0</v>
      </c>
      <c r="AO134">
        <v>142.023</v>
      </c>
      <c r="AP134">
        <v>33.933</v>
      </c>
      <c r="AQ134">
        <v>143.37100000000001</v>
      </c>
      <c r="AR134">
        <f t="shared" si="39"/>
        <v>0.99059781964274496</v>
      </c>
    </row>
    <row r="135" spans="1:51" x14ac:dyDescent="0.25">
      <c r="B135" t="s">
        <v>213</v>
      </c>
      <c r="C135">
        <v>1148.67</v>
      </c>
      <c r="D135">
        <v>500</v>
      </c>
      <c r="E135">
        <v>5</v>
      </c>
      <c r="G135" t="s">
        <v>200</v>
      </c>
      <c r="H135">
        <v>45496</v>
      </c>
      <c r="I135" s="28">
        <f t="shared" si="33"/>
        <v>90992</v>
      </c>
      <c r="J135" t="s">
        <v>55</v>
      </c>
      <c r="K135" t="s">
        <v>43</v>
      </c>
      <c r="L135" t="s">
        <v>44</v>
      </c>
      <c r="M135" s="3">
        <v>89.028999999999996</v>
      </c>
      <c r="N135">
        <v>63.124000000000002</v>
      </c>
      <c r="O135">
        <v>110.58799999999999</v>
      </c>
      <c r="P135">
        <v>73.289000000000001</v>
      </c>
      <c r="Q135">
        <v>4413.8270000000002</v>
      </c>
      <c r="R135" s="28">
        <v>0</v>
      </c>
      <c r="S135">
        <f t="shared" si="34"/>
        <v>37.482859682859612</v>
      </c>
      <c r="T135" s="29">
        <f t="shared" si="35"/>
        <v>66.436638987835622</v>
      </c>
      <c r="U135">
        <v>291.71499999999997</v>
      </c>
      <c r="V135" s="29">
        <v>0.65200000000000002</v>
      </c>
      <c r="W135" s="30">
        <f>1/1.41</f>
        <v>0.70921985815602839</v>
      </c>
      <c r="X135">
        <f t="shared" si="37"/>
        <v>1.41</v>
      </c>
      <c r="Y135" s="3">
        <v>0.70899999999999996</v>
      </c>
      <c r="Z135" s="3">
        <v>0.878</v>
      </c>
      <c r="AA135">
        <v>95.24</v>
      </c>
      <c r="AB135">
        <v>70.296000000000006</v>
      </c>
      <c r="AC135">
        <v>113.79300000000001</v>
      </c>
      <c r="AD135">
        <v>74.120999999999995</v>
      </c>
      <c r="AE135">
        <v>5258.2719999999999</v>
      </c>
      <c r="AF135" s="30">
        <f t="shared" si="32"/>
        <v>72.51394348675295</v>
      </c>
      <c r="AG135">
        <v>5258.2719999999999</v>
      </c>
      <c r="AH135">
        <v>0.78400000000000003</v>
      </c>
      <c r="AI135">
        <f>1/1.355</f>
        <v>0.73800738007380073</v>
      </c>
      <c r="AJ135">
        <f t="shared" si="38"/>
        <v>1.355</v>
      </c>
      <c r="AK135">
        <v>0.73799999999999999</v>
      </c>
      <c r="AL135">
        <v>1</v>
      </c>
      <c r="AN135">
        <v>0</v>
      </c>
      <c r="AO135">
        <v>73.819000000000003</v>
      </c>
      <c r="AP135">
        <v>53.223999999999997</v>
      </c>
      <c r="AQ135">
        <v>87.756</v>
      </c>
      <c r="AR135">
        <f t="shared" si="39"/>
        <v>0.84118464834313322</v>
      </c>
    </row>
    <row r="136" spans="1:51" s="6" customFormat="1" x14ac:dyDescent="0.25">
      <c r="A136" s="6" t="s">
        <v>214</v>
      </c>
      <c r="B136" s="6" t="s">
        <v>215</v>
      </c>
      <c r="C136" s="6">
        <v>1189.2</v>
      </c>
      <c r="D136" s="6">
        <v>600</v>
      </c>
      <c r="F136" s="6" t="s">
        <v>49</v>
      </c>
      <c r="H136" s="6">
        <v>368449</v>
      </c>
      <c r="I136" s="6">
        <f t="shared" si="33"/>
        <v>736898</v>
      </c>
      <c r="J136" s="6" t="b">
        <v>0</v>
      </c>
      <c r="K136" s="6" t="s">
        <v>216</v>
      </c>
      <c r="M136" s="6">
        <v>74.98</v>
      </c>
      <c r="N136" s="6">
        <v>43.201999999999998</v>
      </c>
      <c r="O136" s="6">
        <v>81.510999999999996</v>
      </c>
      <c r="P136" s="6">
        <v>49.610999999999997</v>
      </c>
      <c r="Q136" s="6">
        <v>2544.1120000000001</v>
      </c>
      <c r="R136" s="6">
        <v>551.39800000000002</v>
      </c>
      <c r="S136" s="6">
        <f t="shared" si="34"/>
        <v>28.457266227781194</v>
      </c>
      <c r="T136" s="6">
        <f t="shared" si="35"/>
        <v>50.439191111674262</v>
      </c>
      <c r="U136" s="6">
        <v>219.78700000000001</v>
      </c>
      <c r="V136" s="6">
        <v>0.66200000000000003</v>
      </c>
      <c r="W136" s="6">
        <f>1/1.736</f>
        <v>0.57603686635944706</v>
      </c>
      <c r="Y136" s="6">
        <v>0.57599999999999996</v>
      </c>
      <c r="Z136" s="6">
        <v>0.86499999999999999</v>
      </c>
      <c r="AA136" s="6">
        <v>74.98</v>
      </c>
      <c r="AB136" s="6">
        <v>43.201999999999998</v>
      </c>
      <c r="AC136" s="6">
        <v>81.510999999999996</v>
      </c>
      <c r="AD136" s="6">
        <v>49.610999999999997</v>
      </c>
      <c r="AE136" s="6">
        <v>2544.1120000000001</v>
      </c>
      <c r="AF136" s="6">
        <f>SQRT(AE136)</f>
        <v>50.439191111674262</v>
      </c>
      <c r="AG136" s="6">
        <v>219.78700000000001</v>
      </c>
      <c r="AH136" s="6">
        <v>0.66200000000000003</v>
      </c>
      <c r="AI136" s="6">
        <f>1/1.736</f>
        <v>0.57603686635944706</v>
      </c>
      <c r="AK136" s="6">
        <v>0.57599999999999996</v>
      </c>
      <c r="AL136" s="6">
        <v>0.86499999999999999</v>
      </c>
      <c r="AN136" s="6">
        <v>0.71675921567448597</v>
      </c>
      <c r="AO136" s="6">
        <v>56.529000000000003</v>
      </c>
      <c r="AP136" s="6">
        <v>0</v>
      </c>
      <c r="AQ136" s="6">
        <v>78.41</v>
      </c>
      <c r="AR136" s="6">
        <f t="shared" si="39"/>
        <v>0.72094120647876558</v>
      </c>
      <c r="AY136"/>
    </row>
    <row r="137" spans="1:51" x14ac:dyDescent="0.25">
      <c r="B137" t="s">
        <v>217</v>
      </c>
      <c r="C137">
        <v>1189.2</v>
      </c>
      <c r="D137">
        <v>600</v>
      </c>
      <c r="G137" t="s">
        <v>192</v>
      </c>
      <c r="H137">
        <v>542256</v>
      </c>
      <c r="I137">
        <f t="shared" si="33"/>
        <v>1084512</v>
      </c>
      <c r="J137" t="b">
        <v>0</v>
      </c>
      <c r="K137" t="s">
        <v>43</v>
      </c>
      <c r="M137">
        <v>85.68</v>
      </c>
      <c r="N137">
        <v>42.3</v>
      </c>
      <c r="O137">
        <v>95.733999999999995</v>
      </c>
      <c r="P137">
        <v>46.8</v>
      </c>
      <c r="Q137">
        <v>2846.7109999999998</v>
      </c>
      <c r="R137">
        <v>1211.2529999999999</v>
      </c>
      <c r="S137">
        <f t="shared" si="34"/>
        <v>30.102097176245792</v>
      </c>
      <c r="T137">
        <f t="shared" si="35"/>
        <v>53.354578060368915</v>
      </c>
      <c r="U137">
        <v>256.53699999999998</v>
      </c>
      <c r="V137">
        <v>0.54400000000000004</v>
      </c>
      <c r="W137">
        <f>1/2.025</f>
        <v>0.49382716049382719</v>
      </c>
      <c r="Y137">
        <v>0.49399999999999999</v>
      </c>
      <c r="Z137">
        <v>0.86299999999999999</v>
      </c>
      <c r="AA137">
        <v>91.86</v>
      </c>
      <c r="AB137">
        <v>46.258000000000003</v>
      </c>
      <c r="AC137">
        <v>96.385000000000005</v>
      </c>
      <c r="AD137">
        <v>46.48</v>
      </c>
      <c r="AE137">
        <v>3337.3560000000002</v>
      </c>
      <c r="AF137">
        <f>SQRT(AE137)</f>
        <v>57.76985373012468</v>
      </c>
      <c r="AG137">
        <v>230.53200000000001</v>
      </c>
      <c r="AH137">
        <v>0.78900000000000003</v>
      </c>
      <c r="AI137">
        <f>1/1.986</f>
        <v>0.50352467270896273</v>
      </c>
      <c r="AK137">
        <v>0.504</v>
      </c>
      <c r="AL137">
        <v>0.999</v>
      </c>
      <c r="AN137">
        <v>0.68317507339342987</v>
      </c>
      <c r="AO137">
        <v>91.91</v>
      </c>
      <c r="AP137">
        <v>0</v>
      </c>
      <c r="AQ137">
        <v>47.685000000000002</v>
      </c>
      <c r="AR137">
        <f t="shared" si="39"/>
        <v>1.9274404949145432</v>
      </c>
    </row>
    <row r="138" spans="1:51" x14ac:dyDescent="0.25">
      <c r="B138" t="s">
        <v>218</v>
      </c>
      <c r="C138">
        <v>1189.2</v>
      </c>
      <c r="D138">
        <v>500</v>
      </c>
      <c r="G138" t="s">
        <v>42</v>
      </c>
      <c r="H138">
        <v>2256878</v>
      </c>
      <c r="I138">
        <f t="shared" si="33"/>
        <v>4513756</v>
      </c>
      <c r="J138" t="b">
        <v>0</v>
      </c>
      <c r="K138" t="s">
        <v>43</v>
      </c>
      <c r="M138">
        <v>76.141999999999996</v>
      </c>
      <c r="N138">
        <v>47.244</v>
      </c>
      <c r="O138">
        <v>94.043999999999997</v>
      </c>
      <c r="P138">
        <v>51.756</v>
      </c>
      <c r="Q138">
        <v>2825.2840000000001</v>
      </c>
      <c r="R138">
        <v>247.02699999999999</v>
      </c>
      <c r="S138">
        <f t="shared" si="34"/>
        <v>29.988594973370876</v>
      </c>
      <c r="T138">
        <f t="shared" si="35"/>
        <v>53.153400643797006</v>
      </c>
      <c r="U138">
        <v>252.107</v>
      </c>
      <c r="V138">
        <v>0.55900000000000005</v>
      </c>
      <c r="W138">
        <f>1/1.612</f>
        <v>0.6203473945409429</v>
      </c>
      <c r="Y138">
        <v>0.62</v>
      </c>
      <c r="Z138">
        <v>0.84899999999999998</v>
      </c>
      <c r="AA138">
        <v>82.191999999999993</v>
      </c>
      <c r="AB138">
        <v>51.73</v>
      </c>
      <c r="AC138">
        <v>94.102000000000004</v>
      </c>
      <c r="AD138">
        <v>53.228999999999999</v>
      </c>
      <c r="AE138">
        <v>3339.3580000000002</v>
      </c>
      <c r="AF138">
        <f t="shared" ref="AF138:AF167" si="40">SQRT(AE138)</f>
        <v>57.7871785087315</v>
      </c>
      <c r="AG138">
        <v>231.65600000000001</v>
      </c>
      <c r="AH138">
        <v>0.78200000000000003</v>
      </c>
      <c r="AI138">
        <f>1/1.589</f>
        <v>0.62932662051604782</v>
      </c>
      <c r="AK138">
        <v>0.629</v>
      </c>
      <c r="AL138">
        <v>0.99199999999999999</v>
      </c>
      <c r="AN138">
        <v>0.76814907970905966</v>
      </c>
      <c r="AO138">
        <v>84.236999999999995</v>
      </c>
      <c r="AP138">
        <v>0</v>
      </c>
      <c r="AQ138">
        <v>57.348999999999997</v>
      </c>
      <c r="AR138">
        <f t="shared" si="39"/>
        <v>1.4688486285724249</v>
      </c>
    </row>
    <row r="139" spans="1:51" x14ac:dyDescent="0.25">
      <c r="B139" t="s">
        <v>219</v>
      </c>
      <c r="C139">
        <v>1189.2</v>
      </c>
      <c r="D139">
        <v>500</v>
      </c>
      <c r="G139" t="s">
        <v>184</v>
      </c>
      <c r="H139">
        <v>8187786</v>
      </c>
      <c r="I139">
        <f t="shared" si="33"/>
        <v>16375572</v>
      </c>
      <c r="J139" t="b">
        <v>0</v>
      </c>
      <c r="K139" t="s">
        <v>43</v>
      </c>
      <c r="M139">
        <v>39.156999999999996</v>
      </c>
      <c r="N139">
        <v>17.309000000000001</v>
      </c>
      <c r="O139">
        <v>39.286000000000001</v>
      </c>
      <c r="P139">
        <v>19.995000000000001</v>
      </c>
      <c r="Q139">
        <v>532.303</v>
      </c>
      <c r="R139">
        <v>120.005</v>
      </c>
      <c r="S139">
        <f t="shared" si="34"/>
        <v>13.016808646718685</v>
      </c>
      <c r="T139">
        <f t="shared" si="35"/>
        <v>23.071692612376751</v>
      </c>
      <c r="U139">
        <v>105.402</v>
      </c>
      <c r="V139">
        <v>0.60199999999999998</v>
      </c>
      <c r="W139">
        <f>1/2.262</f>
        <v>0.44208664898320071</v>
      </c>
      <c r="Y139">
        <v>0.442</v>
      </c>
      <c r="Z139">
        <v>0.84499999999999997</v>
      </c>
      <c r="AA139">
        <v>38.439</v>
      </c>
      <c r="AB139">
        <v>20.355</v>
      </c>
      <c r="AC139">
        <v>39.542000000000002</v>
      </c>
      <c r="AD139">
        <v>20.579000000000001</v>
      </c>
      <c r="AE139">
        <v>614.51499999999999</v>
      </c>
      <c r="AF139">
        <f t="shared" si="40"/>
        <v>24.789413062837934</v>
      </c>
      <c r="AG139">
        <v>97.146000000000001</v>
      </c>
      <c r="AH139">
        <v>0.81799999999999995</v>
      </c>
      <c r="AI139">
        <f>1/1.888</f>
        <v>0.52966101694915257</v>
      </c>
      <c r="AK139">
        <v>0.53</v>
      </c>
      <c r="AL139">
        <v>0.997</v>
      </c>
      <c r="AN139">
        <v>0.64426537384280602</v>
      </c>
      <c r="AO139">
        <v>27.911999999999999</v>
      </c>
      <c r="AP139">
        <v>0</v>
      </c>
      <c r="AQ139">
        <v>33.85</v>
      </c>
      <c r="AR139">
        <f t="shared" si="39"/>
        <v>0.82457902511078285</v>
      </c>
    </row>
    <row r="140" spans="1:51" s="7" customFormat="1" x14ac:dyDescent="0.25">
      <c r="B140" s="7" t="s">
        <v>220</v>
      </c>
      <c r="C140" s="7">
        <v>1189.2</v>
      </c>
      <c r="D140" s="7">
        <v>500</v>
      </c>
      <c r="E140" s="7">
        <v>5</v>
      </c>
      <c r="F140" s="62" t="s">
        <v>49</v>
      </c>
      <c r="G140" s="7" t="s">
        <v>42</v>
      </c>
      <c r="H140" s="7">
        <v>2143254</v>
      </c>
      <c r="I140" s="7">
        <f t="shared" si="33"/>
        <v>4286508</v>
      </c>
      <c r="J140" s="7" t="b">
        <v>0</v>
      </c>
      <c r="K140" s="7" t="s">
        <v>216</v>
      </c>
      <c r="M140" s="7">
        <v>62.917999999999999</v>
      </c>
      <c r="N140" s="7">
        <v>29.812999999999999</v>
      </c>
      <c r="O140" s="7">
        <v>68.384</v>
      </c>
      <c r="P140" s="7">
        <v>30.506</v>
      </c>
      <c r="Q140" s="7">
        <v>1473.2349999999999</v>
      </c>
      <c r="R140" s="7">
        <v>231.08</v>
      </c>
      <c r="S140" s="7">
        <f t="shared" si="34"/>
        <v>21.65514408107175</v>
      </c>
      <c r="T140" s="7">
        <f t="shared" si="35"/>
        <v>38.382743518409413</v>
      </c>
      <c r="U140" s="7">
        <v>162.53299999999999</v>
      </c>
      <c r="V140" s="7">
        <v>0.70099999999999996</v>
      </c>
      <c r="W140" s="7">
        <f>1/2.11</f>
        <v>0.47393364928909953</v>
      </c>
      <c r="Y140" s="7">
        <v>0.47399999999999998</v>
      </c>
      <c r="Z140" s="7">
        <v>0.99399999999999999</v>
      </c>
      <c r="AA140" s="7">
        <v>62.917999999999999</v>
      </c>
      <c r="AB140" s="7">
        <v>29.812999999999999</v>
      </c>
      <c r="AC140" s="7">
        <v>68.384</v>
      </c>
      <c r="AD140" s="7">
        <v>30.506</v>
      </c>
      <c r="AE140" s="7">
        <v>1473.2349999999999</v>
      </c>
      <c r="AF140" s="7">
        <f t="shared" si="40"/>
        <v>38.382743518409413</v>
      </c>
      <c r="AG140" s="7">
        <v>162.53299999999999</v>
      </c>
      <c r="AH140" s="7">
        <v>0.70099999999999996</v>
      </c>
      <c r="AI140" s="7">
        <f>1/2.11</f>
        <v>0.47393364928909953</v>
      </c>
      <c r="AK140" s="7">
        <v>0.47399999999999998</v>
      </c>
      <c r="AL140" s="7">
        <v>0.99399999999999999</v>
      </c>
      <c r="AN140" s="7">
        <v>0.69259537251988967</v>
      </c>
      <c r="AO140" s="7">
        <v>33.555999999999997</v>
      </c>
      <c r="AP140" s="7">
        <v>0</v>
      </c>
      <c r="AQ140" s="7">
        <v>67.338999999999999</v>
      </c>
      <c r="AR140" s="7">
        <f t="shared" si="39"/>
        <v>0.49831449828479779</v>
      </c>
      <c r="AY140"/>
    </row>
    <row r="141" spans="1:51" x14ac:dyDescent="0.25">
      <c r="A141" t="s">
        <v>221</v>
      </c>
      <c r="B141" t="s">
        <v>222</v>
      </c>
      <c r="C141">
        <v>1193.95</v>
      </c>
      <c r="D141">
        <v>500</v>
      </c>
      <c r="E141">
        <v>5</v>
      </c>
      <c r="F141" t="s">
        <v>49</v>
      </c>
      <c r="G141" t="s">
        <v>223</v>
      </c>
      <c r="H141">
        <v>4054574</v>
      </c>
      <c r="I141">
        <f t="shared" si="33"/>
        <v>8109148</v>
      </c>
      <c r="J141" t="b">
        <v>0</v>
      </c>
      <c r="K141" t="s">
        <v>224</v>
      </c>
      <c r="M141">
        <v>78.052000000000007</v>
      </c>
      <c r="N141">
        <v>37.158000000000001</v>
      </c>
      <c r="O141">
        <v>99.076999999999998</v>
      </c>
      <c r="P141">
        <v>41.811999999999998</v>
      </c>
      <c r="Q141">
        <v>2277.8409999999999</v>
      </c>
      <c r="R141">
        <v>175.22800000000001</v>
      </c>
      <c r="S141">
        <f t="shared" si="34"/>
        <v>26.926925362075259</v>
      </c>
      <c r="T141">
        <f t="shared" si="35"/>
        <v>47.726732551055704</v>
      </c>
      <c r="U141">
        <v>237.74799999999999</v>
      </c>
      <c r="V141">
        <v>0.50600000000000001</v>
      </c>
      <c r="W141">
        <f>1/2.101</f>
        <v>0.47596382674916704</v>
      </c>
      <c r="Y141">
        <v>0.47599999999999998</v>
      </c>
      <c r="Z141">
        <v>0.84899999999999998</v>
      </c>
      <c r="AA141">
        <v>87.257999999999996</v>
      </c>
      <c r="AB141">
        <v>39.021999999999998</v>
      </c>
      <c r="AC141">
        <v>97.411000000000001</v>
      </c>
      <c r="AD141">
        <v>40.814</v>
      </c>
      <c r="AE141">
        <v>2674.2660000000001</v>
      </c>
      <c r="AF141">
        <f t="shared" si="40"/>
        <v>51.713305831284856</v>
      </c>
      <c r="AG141">
        <v>225.809</v>
      </c>
      <c r="AH141">
        <v>0.65900000000000003</v>
      </c>
      <c r="AI141">
        <f>1/2.236</f>
        <v>0.44722719141323786</v>
      </c>
      <c r="AK141">
        <v>0.44700000000000001</v>
      </c>
      <c r="AL141">
        <v>0.999</v>
      </c>
      <c r="AN141">
        <v>0.70251238595415477</v>
      </c>
      <c r="AO141">
        <v>44.176000000000002</v>
      </c>
      <c r="AP141">
        <v>0</v>
      </c>
      <c r="AQ141">
        <v>96.275999999999996</v>
      </c>
      <c r="AR141">
        <f t="shared" si="39"/>
        <v>0.45884748016120325</v>
      </c>
    </row>
    <row r="142" spans="1:51" x14ac:dyDescent="0.25">
      <c r="B142" t="s">
        <v>225</v>
      </c>
      <c r="C142">
        <v>1193.95</v>
      </c>
      <c r="D142">
        <v>500</v>
      </c>
      <c r="E142">
        <v>5</v>
      </c>
      <c r="F142" t="s">
        <v>49</v>
      </c>
      <c r="G142" t="s">
        <v>184</v>
      </c>
      <c r="H142">
        <v>9006720</v>
      </c>
      <c r="I142">
        <f t="shared" si="33"/>
        <v>18013440</v>
      </c>
      <c r="J142" t="b">
        <v>0</v>
      </c>
      <c r="K142" t="s">
        <v>43</v>
      </c>
      <c r="M142">
        <v>36.814</v>
      </c>
      <c r="N142">
        <v>26.792999999999999</v>
      </c>
      <c r="O142">
        <v>46.116999999999997</v>
      </c>
      <c r="P142">
        <v>31.422999999999998</v>
      </c>
      <c r="Q142">
        <v>774.67499999999995</v>
      </c>
      <c r="R142">
        <v>334.952</v>
      </c>
      <c r="S142">
        <f t="shared" si="34"/>
        <v>15.703079668632775</v>
      </c>
      <c r="T142">
        <f t="shared" si="35"/>
        <v>27.832984029744278</v>
      </c>
      <c r="U142">
        <v>125.23399999999999</v>
      </c>
      <c r="V142">
        <v>0.621</v>
      </c>
      <c r="W142">
        <f>1/1.374</f>
        <v>0.72780203784570596</v>
      </c>
      <c r="Y142">
        <v>0.72799999999999998</v>
      </c>
      <c r="Z142">
        <v>0.874</v>
      </c>
      <c r="AA142">
        <v>37.844999999999999</v>
      </c>
      <c r="AB142">
        <v>28.931000000000001</v>
      </c>
      <c r="AC142">
        <v>45.304000000000002</v>
      </c>
      <c r="AD142">
        <v>30.847000000000001</v>
      </c>
      <c r="AE142">
        <v>859.91700000000003</v>
      </c>
      <c r="AF142">
        <f t="shared" si="40"/>
        <v>29.324341424829989</v>
      </c>
      <c r="AG142">
        <v>117.148</v>
      </c>
      <c r="AH142">
        <v>0.78700000000000003</v>
      </c>
      <c r="AI142">
        <f>1/1.308</f>
        <v>0.76452599388379205</v>
      </c>
      <c r="AK142">
        <v>0.76400000000000001</v>
      </c>
      <c r="AL142">
        <v>1</v>
      </c>
      <c r="AN142">
        <v>0.82844658024145046</v>
      </c>
      <c r="AO142">
        <v>45.064999999999998</v>
      </c>
      <c r="AP142">
        <v>0</v>
      </c>
      <c r="AQ142">
        <v>33.722999999999999</v>
      </c>
      <c r="AR142">
        <f t="shared" si="39"/>
        <v>1.3363283219167927</v>
      </c>
    </row>
    <row r="143" spans="1:51" ht="14.25" customHeight="1" x14ac:dyDescent="0.25">
      <c r="B143" t="s">
        <v>226</v>
      </c>
      <c r="C143">
        <v>1193.95</v>
      </c>
      <c r="D143">
        <v>500</v>
      </c>
      <c r="F143" t="s">
        <v>49</v>
      </c>
      <c r="G143" t="s">
        <v>42</v>
      </c>
      <c r="H143">
        <v>3901995</v>
      </c>
      <c r="I143">
        <f t="shared" si="33"/>
        <v>7803990</v>
      </c>
      <c r="J143" t="b">
        <v>0</v>
      </c>
      <c r="K143" t="s">
        <v>43</v>
      </c>
      <c r="M143">
        <v>76.367000000000004</v>
      </c>
      <c r="N143">
        <v>42.948999999999998</v>
      </c>
      <c r="O143">
        <v>85.938999999999993</v>
      </c>
      <c r="P143">
        <v>61.081000000000003</v>
      </c>
      <c r="Q143">
        <v>2575.9879999999998</v>
      </c>
      <c r="R143">
        <v>211.34399999999999</v>
      </c>
      <c r="S143">
        <f t="shared" si="34"/>
        <v>28.634986416808555</v>
      </c>
      <c r="T143">
        <f t="shared" si="35"/>
        <v>50.754191945099471</v>
      </c>
      <c r="U143">
        <v>283.01900000000001</v>
      </c>
      <c r="V143">
        <v>0.40400000000000003</v>
      </c>
      <c r="W143">
        <f>1/1.778</f>
        <v>0.56242969628796402</v>
      </c>
      <c r="Y143">
        <v>0.56200000000000006</v>
      </c>
      <c r="Z143">
        <v>0.69099999999999995</v>
      </c>
      <c r="AA143">
        <v>81.738</v>
      </c>
      <c r="AB143">
        <v>54.302</v>
      </c>
      <c r="AC143">
        <v>86.643000000000001</v>
      </c>
      <c r="AD143">
        <v>60.798000000000002</v>
      </c>
      <c r="AE143">
        <v>3486.0239999999999</v>
      </c>
      <c r="AF143">
        <f t="shared" si="40"/>
        <v>59.042560920068496</v>
      </c>
      <c r="AG143">
        <v>237.84899999999999</v>
      </c>
      <c r="AH143">
        <v>0.77400000000000002</v>
      </c>
      <c r="AI143">
        <f>1/1.505</f>
        <v>0.66445182724252494</v>
      </c>
      <c r="AK143">
        <v>0.66400000000000003</v>
      </c>
      <c r="AL143">
        <v>0.95599999999999996</v>
      </c>
      <c r="AN143">
        <v>0.6560071540455813</v>
      </c>
      <c r="AO143">
        <v>78.671999999999997</v>
      </c>
      <c r="AP143">
        <v>0</v>
      </c>
      <c r="AQ143">
        <v>71.259</v>
      </c>
      <c r="AR143">
        <f t="shared" si="39"/>
        <v>1.1040289647623458</v>
      </c>
    </row>
    <row r="144" spans="1:51" x14ac:dyDescent="0.25">
      <c r="B144" t="s">
        <v>227</v>
      </c>
      <c r="C144">
        <v>1193.95</v>
      </c>
      <c r="D144">
        <v>600</v>
      </c>
      <c r="F144" t="s">
        <v>49</v>
      </c>
      <c r="G144" t="s">
        <v>192</v>
      </c>
      <c r="H144">
        <v>529778</v>
      </c>
      <c r="I144">
        <f t="shared" si="33"/>
        <v>1059556</v>
      </c>
      <c r="J144" t="b">
        <v>0</v>
      </c>
      <c r="K144" t="s">
        <v>43</v>
      </c>
      <c r="M144">
        <v>65.531000000000006</v>
      </c>
      <c r="N144">
        <v>35.26</v>
      </c>
      <c r="O144">
        <v>69.709000000000003</v>
      </c>
      <c r="P144">
        <v>40.436999999999998</v>
      </c>
      <c r="Q144">
        <v>1814.7650000000001</v>
      </c>
      <c r="R144">
        <v>1046.0419999999999</v>
      </c>
      <c r="S144">
        <f t="shared" si="34"/>
        <v>24.034509368828957</v>
      </c>
      <c r="T144">
        <f t="shared" si="35"/>
        <v>42.600058685405585</v>
      </c>
      <c r="U144">
        <v>185.26499999999999</v>
      </c>
      <c r="V144">
        <v>0.66400000000000003</v>
      </c>
      <c r="W144">
        <f>1/1.858</f>
        <v>0.53821313240043056</v>
      </c>
      <c r="Y144">
        <v>0.53800000000000003</v>
      </c>
      <c r="Z144">
        <v>0.84899999999999998</v>
      </c>
      <c r="AA144">
        <v>83.144000000000005</v>
      </c>
      <c r="AB144">
        <v>51.944000000000003</v>
      </c>
      <c r="AC144">
        <v>84.093000000000004</v>
      </c>
      <c r="AD144">
        <v>51.354999999999997</v>
      </c>
      <c r="AE144">
        <v>3392</v>
      </c>
      <c r="AF144">
        <f t="shared" si="40"/>
        <v>58.240879114244144</v>
      </c>
      <c r="AG144">
        <v>225.583</v>
      </c>
      <c r="AH144">
        <v>0.83799999999999997</v>
      </c>
      <c r="AI144">
        <f>1/1.601</f>
        <v>0.62460961898813239</v>
      </c>
      <c r="AK144">
        <v>0.625</v>
      </c>
      <c r="AL144">
        <v>0.998</v>
      </c>
      <c r="AN144">
        <v>0.7433542573402887</v>
      </c>
      <c r="AO144">
        <v>44.445</v>
      </c>
      <c r="AP144">
        <v>0</v>
      </c>
      <c r="AQ144">
        <v>70.003</v>
      </c>
      <c r="AR144">
        <f t="shared" si="39"/>
        <v>0.63490136137022701</v>
      </c>
    </row>
    <row r="145" spans="1:51" s="6" customFormat="1" x14ac:dyDescent="0.25">
      <c r="A145" s="6" t="s">
        <v>228</v>
      </c>
      <c r="B145" s="6" t="s">
        <v>229</v>
      </c>
      <c r="C145" s="6">
        <v>1163.93</v>
      </c>
      <c r="D145" s="6">
        <v>450</v>
      </c>
      <c r="E145" s="6">
        <v>6</v>
      </c>
      <c r="G145" s="6" t="s">
        <v>47</v>
      </c>
      <c r="H145" s="6">
        <v>8382145</v>
      </c>
      <c r="I145" s="39">
        <f t="shared" si="33"/>
        <v>16764290</v>
      </c>
      <c r="J145" s="6" t="b">
        <v>0</v>
      </c>
      <c r="K145" s="6" t="s">
        <v>43</v>
      </c>
      <c r="M145" s="15">
        <v>92.927000000000007</v>
      </c>
      <c r="N145" s="6">
        <v>39.530999999999999</v>
      </c>
      <c r="O145" s="6">
        <v>102.80200000000001</v>
      </c>
      <c r="P145" s="6">
        <v>59.715000000000003</v>
      </c>
      <c r="Q145" s="6">
        <v>2885.1849999999999</v>
      </c>
      <c r="R145" s="39">
        <v>137.84899999999999</v>
      </c>
      <c r="S145" s="6">
        <f t="shared" si="34"/>
        <v>30.3048330958806</v>
      </c>
      <c r="T145" s="40">
        <f t="shared" si="35"/>
        <v>53.713918121842497</v>
      </c>
      <c r="U145" s="6">
        <v>303.39299999999997</v>
      </c>
      <c r="V145" s="40">
        <v>0.39400000000000002</v>
      </c>
      <c r="W145" s="41">
        <f>1/2.351</f>
        <v>0.42535091450446622</v>
      </c>
      <c r="Y145" s="15">
        <v>0.42499999999999999</v>
      </c>
      <c r="Z145" s="15">
        <v>0.60899999999999999</v>
      </c>
      <c r="AA145" s="6">
        <v>102.553</v>
      </c>
      <c r="AB145" s="6">
        <v>55.317999999999998</v>
      </c>
      <c r="AC145" s="6">
        <v>104.99299999999999</v>
      </c>
      <c r="AD145" s="6">
        <v>56.74</v>
      </c>
      <c r="AE145" s="6">
        <v>4455.5559999999996</v>
      </c>
      <c r="AF145" s="41">
        <f t="shared" si="40"/>
        <v>66.749951310843656</v>
      </c>
      <c r="AG145" s="6">
        <v>270.85300000000001</v>
      </c>
      <c r="AH145" s="6">
        <v>0.76300000000000001</v>
      </c>
      <c r="AI145" s="6">
        <f>1/1.854</f>
        <v>0.53937432578209277</v>
      </c>
      <c r="AK145" s="6">
        <v>0.53900000000000003</v>
      </c>
      <c r="AL145" s="6">
        <v>1</v>
      </c>
      <c r="AN145" s="6">
        <v>0.60801208952129182</v>
      </c>
      <c r="AO145" s="6">
        <v>86.320999999999998</v>
      </c>
      <c r="AQ145" s="6">
        <v>82.025000000000006</v>
      </c>
      <c r="AR145" s="6">
        <f t="shared" si="39"/>
        <v>1.0523742761353245</v>
      </c>
      <c r="AY145"/>
    </row>
    <row r="146" spans="1:51" x14ac:dyDescent="0.25">
      <c r="B146" t="s">
        <v>230</v>
      </c>
      <c r="C146">
        <v>1163.93</v>
      </c>
      <c r="D146">
        <v>450</v>
      </c>
      <c r="E146">
        <v>6</v>
      </c>
      <c r="F146" t="s">
        <v>46</v>
      </c>
      <c r="G146" t="s">
        <v>42</v>
      </c>
      <c r="H146">
        <v>6442769</v>
      </c>
      <c r="I146" s="28">
        <f t="shared" si="33"/>
        <v>12885538</v>
      </c>
      <c r="J146" t="s">
        <v>55</v>
      </c>
      <c r="K146" t="s">
        <v>43</v>
      </c>
      <c r="M146" s="3">
        <v>84.802999999999997</v>
      </c>
      <c r="N146">
        <v>34.308999999999997</v>
      </c>
      <c r="O146">
        <v>105.038</v>
      </c>
      <c r="P146">
        <v>47.075000000000003</v>
      </c>
      <c r="Q146">
        <v>2285.136</v>
      </c>
      <c r="R146" s="28">
        <v>31.806000000000001</v>
      </c>
      <c r="S146">
        <f t="shared" si="34"/>
        <v>26.970008900155793</v>
      </c>
      <c r="T146" s="29">
        <f t="shared" si="35"/>
        <v>47.803096134037176</v>
      </c>
      <c r="U146">
        <v>303.13600000000002</v>
      </c>
      <c r="V146" s="29">
        <v>0.313</v>
      </c>
      <c r="W146" s="30">
        <f>1/2.472</f>
        <v>0.4045307443365696</v>
      </c>
      <c r="Y146" s="3">
        <v>0.40500000000000003</v>
      </c>
      <c r="Z146" s="3">
        <v>0.71399999999999997</v>
      </c>
      <c r="AA146">
        <v>94.272000000000006</v>
      </c>
      <c r="AB146">
        <v>40.555999999999997</v>
      </c>
      <c r="AC146">
        <v>104.354</v>
      </c>
      <c r="AD146">
        <v>47.524000000000001</v>
      </c>
      <c r="AE146">
        <v>3002.8150000000001</v>
      </c>
      <c r="AF146" s="30">
        <f t="shared" si="40"/>
        <v>54.797947041837254</v>
      </c>
      <c r="AG146">
        <v>238.613</v>
      </c>
      <c r="AH146">
        <v>0.66300000000000003</v>
      </c>
      <c r="AI146">
        <f>1/2.324</f>
        <v>0.43029259896729777</v>
      </c>
      <c r="AK146">
        <v>0.43</v>
      </c>
      <c r="AL146">
        <v>0.95399999999999996</v>
      </c>
      <c r="AN146">
        <v>0.66334646460162983</v>
      </c>
      <c r="AO146">
        <v>61.366</v>
      </c>
      <c r="AQ146">
        <v>84.445999999999998</v>
      </c>
      <c r="AR146">
        <f t="shared" si="39"/>
        <v>0.72668924519811473</v>
      </c>
    </row>
    <row r="147" spans="1:51" x14ac:dyDescent="0.25">
      <c r="B147" t="s">
        <v>231</v>
      </c>
      <c r="C147">
        <v>1163.93</v>
      </c>
      <c r="D147">
        <v>450</v>
      </c>
      <c r="E147">
        <v>6</v>
      </c>
      <c r="F147" t="s">
        <v>46</v>
      </c>
      <c r="G147" t="s">
        <v>47</v>
      </c>
      <c r="H147">
        <v>4551738</v>
      </c>
      <c r="I147" s="28">
        <f t="shared" si="33"/>
        <v>9103476</v>
      </c>
      <c r="J147" t="b">
        <v>0</v>
      </c>
      <c r="K147" t="s">
        <v>43</v>
      </c>
      <c r="M147" s="3">
        <v>48.037999999999997</v>
      </c>
      <c r="N147">
        <v>39.18</v>
      </c>
      <c r="O147">
        <v>56.481999999999999</v>
      </c>
      <c r="P147">
        <v>43.79</v>
      </c>
      <c r="Q147">
        <v>1478.222</v>
      </c>
      <c r="R147" s="28">
        <v>282.30099999999999</v>
      </c>
      <c r="S147">
        <f t="shared" si="34"/>
        <v>21.69176517885014</v>
      </c>
      <c r="T147" s="29">
        <f t="shared" si="35"/>
        <v>38.447652724191109</v>
      </c>
      <c r="U147">
        <v>161.059</v>
      </c>
      <c r="V147" s="29">
        <v>0.71599999999999997</v>
      </c>
      <c r="W147" s="30">
        <f>1/1.226</f>
        <v>0.81566068515497558</v>
      </c>
      <c r="Y147" s="3">
        <v>0.81599999999999995</v>
      </c>
      <c r="Z147" s="3">
        <v>0.88700000000000001</v>
      </c>
      <c r="AA147">
        <v>49.76</v>
      </c>
      <c r="AB147">
        <v>41.136000000000003</v>
      </c>
      <c r="AC147">
        <v>57.139000000000003</v>
      </c>
      <c r="AD147">
        <v>42.186</v>
      </c>
      <c r="AE147">
        <v>1607.654</v>
      </c>
      <c r="AF147" s="30">
        <f t="shared" si="40"/>
        <v>40.095560851545649</v>
      </c>
      <c r="AG147">
        <v>158.66800000000001</v>
      </c>
      <c r="AH147">
        <v>0.80200000000000005</v>
      </c>
      <c r="AI147">
        <f>1/1.21</f>
        <v>0.82644628099173556</v>
      </c>
      <c r="AK147">
        <v>0.82699999999999996</v>
      </c>
      <c r="AL147">
        <v>1</v>
      </c>
      <c r="AN147">
        <v>0.77315632529281919</v>
      </c>
      <c r="AO147">
        <v>46.667000000000002</v>
      </c>
      <c r="AQ147">
        <v>62</v>
      </c>
      <c r="AR147">
        <f t="shared" si="39"/>
        <v>0.75269354838709679</v>
      </c>
    </row>
    <row r="148" spans="1:51" x14ac:dyDescent="0.25">
      <c r="B148" t="s">
        <v>232</v>
      </c>
      <c r="C148">
        <v>1163.93</v>
      </c>
      <c r="D148">
        <v>500</v>
      </c>
      <c r="E148">
        <v>5</v>
      </c>
      <c r="F148" t="s">
        <v>46</v>
      </c>
      <c r="G148" t="s">
        <v>47</v>
      </c>
      <c r="H148">
        <v>2821322</v>
      </c>
      <c r="I148" s="28">
        <f t="shared" si="33"/>
        <v>5642644</v>
      </c>
      <c r="J148" t="b">
        <v>0</v>
      </c>
      <c r="K148" t="s">
        <v>43</v>
      </c>
      <c r="M148" s="3">
        <v>85.682000000000002</v>
      </c>
      <c r="N148">
        <v>48.395000000000003</v>
      </c>
      <c r="O148">
        <v>104.911</v>
      </c>
      <c r="P148">
        <v>70.948999999999998</v>
      </c>
      <c r="Q148">
        <v>3256.7339999999999</v>
      </c>
      <c r="R148" s="28">
        <v>1375.0519999999999</v>
      </c>
      <c r="S148">
        <f t="shared" si="34"/>
        <v>32.197059320237329</v>
      </c>
      <c r="T148" s="29">
        <f t="shared" si="35"/>
        <v>57.067801779987988</v>
      </c>
      <c r="U148">
        <v>338.29300000000001</v>
      </c>
      <c r="V148" s="29">
        <v>0.35799999999999998</v>
      </c>
      <c r="W148" s="30">
        <f>1/1.77</f>
        <v>0.56497175141242939</v>
      </c>
      <c r="Y148" s="3">
        <v>0.56499999999999995</v>
      </c>
      <c r="Z148" s="3">
        <v>0.64700000000000002</v>
      </c>
      <c r="AA148">
        <v>99.192999999999998</v>
      </c>
      <c r="AB148">
        <v>64.299000000000007</v>
      </c>
      <c r="AC148">
        <v>107.577</v>
      </c>
      <c r="AD148">
        <v>70.867000000000004</v>
      </c>
      <c r="AE148">
        <v>5009.3069999999998</v>
      </c>
      <c r="AF148" s="30">
        <f t="shared" si="40"/>
        <v>70.77645795036652</v>
      </c>
      <c r="AG148">
        <v>280.077</v>
      </c>
      <c r="AH148">
        <v>0.80200000000000005</v>
      </c>
      <c r="AI148">
        <f>1/1.543</f>
        <v>0.64808813998703829</v>
      </c>
      <c r="AK148">
        <v>0.64800000000000002</v>
      </c>
      <c r="AL148">
        <v>1</v>
      </c>
      <c r="AN148">
        <v>0.60829681093871335</v>
      </c>
      <c r="AO148">
        <v>105.77500000000001</v>
      </c>
      <c r="AQ148">
        <v>74.893000000000001</v>
      </c>
      <c r="AR148">
        <f t="shared" si="39"/>
        <v>1.4123482835511998</v>
      </c>
    </row>
    <row r="149" spans="1:51" x14ac:dyDescent="0.25">
      <c r="B149" t="s">
        <v>233</v>
      </c>
      <c r="C149">
        <v>1163.93</v>
      </c>
      <c r="D149">
        <v>450</v>
      </c>
      <c r="E149">
        <v>6</v>
      </c>
      <c r="F149" t="s">
        <v>49</v>
      </c>
      <c r="G149" t="s">
        <v>47</v>
      </c>
      <c r="H149">
        <v>2780641</v>
      </c>
      <c r="I149" s="28">
        <f t="shared" si="33"/>
        <v>5561282</v>
      </c>
      <c r="J149" t="s">
        <v>55</v>
      </c>
      <c r="K149" t="s">
        <v>43</v>
      </c>
      <c r="M149" s="3">
        <v>68.201999999999998</v>
      </c>
      <c r="N149">
        <v>44.125</v>
      </c>
      <c r="O149">
        <v>89.787999999999997</v>
      </c>
      <c r="P149">
        <v>53.465000000000003</v>
      </c>
      <c r="Q149">
        <v>2363.623</v>
      </c>
      <c r="R149" s="28">
        <v>26.702999999999999</v>
      </c>
      <c r="S149">
        <f t="shared" si="34"/>
        <v>27.429264811718703</v>
      </c>
      <c r="T149" s="29">
        <f t="shared" si="35"/>
        <v>48.617106043037978</v>
      </c>
      <c r="U149">
        <v>273.017</v>
      </c>
      <c r="V149" s="29">
        <v>0.39800000000000002</v>
      </c>
      <c r="W149" s="30">
        <f>1/1.546</f>
        <v>0.64683053040103489</v>
      </c>
      <c r="Y149" s="3">
        <v>0.64700000000000002</v>
      </c>
      <c r="Z149" s="3">
        <v>0.71199999999999997</v>
      </c>
      <c r="AA149">
        <v>84.007000000000005</v>
      </c>
      <c r="AB149">
        <v>51.136000000000003</v>
      </c>
      <c r="AC149">
        <v>93.614000000000004</v>
      </c>
      <c r="AD149">
        <v>52.042000000000002</v>
      </c>
      <c r="AE149">
        <v>3373.8890000000001</v>
      </c>
      <c r="AF149" s="30">
        <f t="shared" si="40"/>
        <v>58.085187440517053</v>
      </c>
      <c r="AG149">
        <v>235.31899999999999</v>
      </c>
      <c r="AH149">
        <v>0.76600000000000001</v>
      </c>
      <c r="AI149">
        <f>1/1.643</f>
        <v>0.60864272671941566</v>
      </c>
      <c r="AK149">
        <v>0.60899999999999999</v>
      </c>
      <c r="AL149">
        <v>1</v>
      </c>
      <c r="AN149">
        <v>0.73968612405457945</v>
      </c>
      <c r="AO149">
        <v>85.334000000000003</v>
      </c>
      <c r="AQ149">
        <v>68.006</v>
      </c>
      <c r="AR149">
        <f t="shared" si="39"/>
        <v>1.2548010469664441</v>
      </c>
    </row>
    <row r="150" spans="1:51" x14ac:dyDescent="0.25">
      <c r="B150" t="s">
        <v>234</v>
      </c>
      <c r="C150">
        <v>1163.93</v>
      </c>
      <c r="D150">
        <v>450</v>
      </c>
      <c r="E150">
        <v>6</v>
      </c>
      <c r="G150" t="s">
        <v>47</v>
      </c>
      <c r="H150">
        <v>2555343</v>
      </c>
      <c r="I150" s="28">
        <f t="shared" si="33"/>
        <v>5110686</v>
      </c>
      <c r="J150" t="s">
        <v>55</v>
      </c>
      <c r="K150" t="s">
        <v>43</v>
      </c>
      <c r="M150" s="3">
        <v>67.350999999999999</v>
      </c>
      <c r="N150">
        <v>39.072000000000003</v>
      </c>
      <c r="O150">
        <v>78.054000000000002</v>
      </c>
      <c r="P150">
        <v>48.426000000000002</v>
      </c>
      <c r="Q150">
        <v>2066.81</v>
      </c>
      <c r="R150" s="28">
        <v>5.8</v>
      </c>
      <c r="S150">
        <f t="shared" si="34"/>
        <v>25.649289578144661</v>
      </c>
      <c r="T150" s="29">
        <f t="shared" si="35"/>
        <v>45.462182085773222</v>
      </c>
      <c r="U150">
        <v>207.58199999999999</v>
      </c>
      <c r="V150" s="29">
        <v>0.60299999999999998</v>
      </c>
      <c r="W150" s="30">
        <f>1/1.724</f>
        <v>0.58004640371229699</v>
      </c>
      <c r="Y150" s="3">
        <v>0.57999999999999996</v>
      </c>
      <c r="Z150" s="3">
        <v>0.85299999999999998</v>
      </c>
      <c r="AA150">
        <v>80.277000000000001</v>
      </c>
      <c r="AB150">
        <v>54.454000000000001</v>
      </c>
      <c r="AC150">
        <v>85.021000000000001</v>
      </c>
      <c r="AD150">
        <v>53.55</v>
      </c>
      <c r="AE150">
        <v>3433.3040000000001</v>
      </c>
      <c r="AF150" s="30">
        <f t="shared" si="40"/>
        <v>58.594402463033958</v>
      </c>
      <c r="AG150">
        <v>232.40299999999999</v>
      </c>
      <c r="AH150">
        <v>0.79900000000000004</v>
      </c>
      <c r="AI150">
        <f>1/1.474</f>
        <v>0.67842605156037994</v>
      </c>
      <c r="AK150">
        <v>0.67800000000000005</v>
      </c>
      <c r="AL150">
        <v>1</v>
      </c>
      <c r="AN150">
        <v>0.74841377485072258</v>
      </c>
      <c r="AO150">
        <v>75.064999999999998</v>
      </c>
      <c r="AP150">
        <v>6.2960000000000003</v>
      </c>
      <c r="AQ150">
        <v>53.258000000000003</v>
      </c>
      <c r="AR150">
        <f t="shared" si="39"/>
        <v>1.4094596117015283</v>
      </c>
      <c r="AS150">
        <f>AQ150/(AP150*0.5)</f>
        <v>16.918043202033036</v>
      </c>
      <c r="AT150">
        <f>T150*SQRT(AS150)</f>
        <v>186.99299684852878</v>
      </c>
      <c r="AU150">
        <f>AT150+R150</f>
        <v>192.79299684852879</v>
      </c>
      <c r="AV150">
        <f>1+1.464*(AS150^1.65)</f>
        <v>156.71081958916523</v>
      </c>
      <c r="AW150">
        <f>AU150/AV150</f>
        <v>1.2302468799152284</v>
      </c>
    </row>
    <row r="151" spans="1:51" x14ac:dyDescent="0.25">
      <c r="B151" t="s">
        <v>235</v>
      </c>
      <c r="C151">
        <v>1163.93</v>
      </c>
      <c r="D151">
        <v>500</v>
      </c>
      <c r="E151">
        <v>5</v>
      </c>
      <c r="G151" t="s">
        <v>47</v>
      </c>
      <c r="H151">
        <v>1077178</v>
      </c>
      <c r="I151" s="28">
        <f t="shared" si="33"/>
        <v>2154356</v>
      </c>
      <c r="J151" t="s">
        <v>55</v>
      </c>
      <c r="K151" t="s">
        <v>43</v>
      </c>
      <c r="M151" s="3">
        <v>46.942999999999998</v>
      </c>
      <c r="N151">
        <v>29.02</v>
      </c>
      <c r="O151">
        <v>54.959000000000003</v>
      </c>
      <c r="P151">
        <v>28.815000000000001</v>
      </c>
      <c r="Q151">
        <v>1032.5</v>
      </c>
      <c r="R151" s="28">
        <v>4.6500000000000004</v>
      </c>
      <c r="S151">
        <f t="shared" si="34"/>
        <v>18.128843247288668</v>
      </c>
      <c r="T151" s="29">
        <f t="shared" si="35"/>
        <v>32.132538026119256</v>
      </c>
      <c r="U151">
        <v>144.886</v>
      </c>
      <c r="V151" s="29">
        <v>0.66</v>
      </c>
      <c r="W151" s="30">
        <f>1/1.549</f>
        <v>0.64557779212395094</v>
      </c>
      <c r="Y151" s="3">
        <v>0.61799999999999999</v>
      </c>
      <c r="Z151" s="3">
        <v>0.877</v>
      </c>
      <c r="AA151">
        <v>55.311999999999998</v>
      </c>
      <c r="AB151">
        <v>31.782</v>
      </c>
      <c r="AC151">
        <v>56.055999999999997</v>
      </c>
      <c r="AD151">
        <v>29.163</v>
      </c>
      <c r="AE151">
        <v>1380.691</v>
      </c>
      <c r="AF151" s="30">
        <f t="shared" si="40"/>
        <v>37.157650625409566</v>
      </c>
      <c r="AG151">
        <v>151.39099999999999</v>
      </c>
      <c r="AH151">
        <v>0.75700000000000001</v>
      </c>
      <c r="AI151">
        <f>1/1.74</f>
        <v>0.57471264367816088</v>
      </c>
      <c r="AK151">
        <v>0.57499999999999996</v>
      </c>
      <c r="AL151">
        <v>1</v>
      </c>
      <c r="AN151">
        <v>0.76317770945421082</v>
      </c>
      <c r="AO151">
        <v>29.890999999999998</v>
      </c>
      <c r="AQ151">
        <v>51.011000000000003</v>
      </c>
      <c r="AR151">
        <f t="shared" si="39"/>
        <v>0.58597165317284505</v>
      </c>
    </row>
    <row r="152" spans="1:51" x14ac:dyDescent="0.25">
      <c r="B152" t="s">
        <v>236</v>
      </c>
      <c r="C152">
        <v>1163.93</v>
      </c>
      <c r="D152">
        <v>500</v>
      </c>
      <c r="E152">
        <v>5</v>
      </c>
      <c r="G152" t="s">
        <v>47</v>
      </c>
      <c r="H152">
        <v>107346</v>
      </c>
      <c r="I152" s="28">
        <f t="shared" si="33"/>
        <v>214692</v>
      </c>
      <c r="J152" t="s">
        <v>55</v>
      </c>
      <c r="K152" t="s">
        <v>43</v>
      </c>
      <c r="M152" s="3">
        <v>42.2</v>
      </c>
      <c r="N152">
        <v>37.479999999999997</v>
      </c>
      <c r="O152">
        <v>50.017000000000003</v>
      </c>
      <c r="P152">
        <v>41.420999999999999</v>
      </c>
      <c r="Q152">
        <v>1242.2</v>
      </c>
      <c r="R152" s="28">
        <v>0</v>
      </c>
      <c r="S152">
        <f t="shared" si="34"/>
        <v>19.884781633638948</v>
      </c>
      <c r="T152" s="29">
        <f t="shared" si="35"/>
        <v>35.244857780958633</v>
      </c>
      <c r="U152">
        <v>149.43600000000001</v>
      </c>
      <c r="V152" s="29">
        <v>0.75</v>
      </c>
      <c r="W152" s="30">
        <f>1/1.106</f>
        <v>0.90415913200723319</v>
      </c>
      <c r="Y152" s="3">
        <v>0.92700000000000005</v>
      </c>
      <c r="Z152" s="3">
        <v>0.92400000000000004</v>
      </c>
      <c r="AA152">
        <v>51.524999999999999</v>
      </c>
      <c r="AB152">
        <v>43.289000000000001</v>
      </c>
      <c r="AC152">
        <v>59.136000000000003</v>
      </c>
      <c r="AD152">
        <v>41.277000000000001</v>
      </c>
      <c r="AE152">
        <v>1751.799</v>
      </c>
      <c r="AF152" s="30">
        <f t="shared" si="40"/>
        <v>41.854497966168459</v>
      </c>
      <c r="AG152">
        <v>164.041</v>
      </c>
      <c r="AH152">
        <v>0.81799999999999995</v>
      </c>
      <c r="AI152">
        <f>1/1.19</f>
        <v>0.84033613445378152</v>
      </c>
      <c r="AK152">
        <v>0.84</v>
      </c>
      <c r="AL152">
        <v>1.0009999999999999</v>
      </c>
      <c r="AN152">
        <v>0.90951708196373915</v>
      </c>
      <c r="AO152">
        <v>45</v>
      </c>
      <c r="AP152">
        <v>16.899999999999999</v>
      </c>
      <c r="AQ152">
        <v>40</v>
      </c>
      <c r="AR152">
        <f t="shared" si="39"/>
        <v>1.125</v>
      </c>
    </row>
    <row r="153" spans="1:51" x14ac:dyDescent="0.25">
      <c r="B153" s="1" t="s">
        <v>237</v>
      </c>
      <c r="C153">
        <v>1163.93</v>
      </c>
      <c r="D153">
        <v>600</v>
      </c>
      <c r="E153">
        <v>4</v>
      </c>
      <c r="F153" t="s">
        <v>49</v>
      </c>
      <c r="G153" t="s">
        <v>42</v>
      </c>
      <c r="H153">
        <v>78071</v>
      </c>
      <c r="I153">
        <f t="shared" si="33"/>
        <v>156142</v>
      </c>
      <c r="J153" t="s">
        <v>55</v>
      </c>
      <c r="K153" t="s">
        <v>43</v>
      </c>
      <c r="M153">
        <v>32.067999999999998</v>
      </c>
      <c r="N153">
        <v>19.396999999999998</v>
      </c>
      <c r="O153">
        <v>34.762999999999998</v>
      </c>
      <c r="P153">
        <v>18.904</v>
      </c>
      <c r="Q153">
        <v>488.524</v>
      </c>
      <c r="R153">
        <v>0</v>
      </c>
      <c r="S153">
        <f t="shared" si="34"/>
        <v>12.470044861108166</v>
      </c>
      <c r="T153">
        <f t="shared" si="35"/>
        <v>22.102579035035706</v>
      </c>
      <c r="U153">
        <v>90.86</v>
      </c>
      <c r="V153">
        <v>0.74399999999999999</v>
      </c>
      <c r="W153">
        <f>1/1.653</f>
        <v>0.60496067755595884</v>
      </c>
      <c r="Y153">
        <v>0.60499999999999998</v>
      </c>
      <c r="Z153">
        <v>0.97899999999999998</v>
      </c>
      <c r="AA153">
        <v>32.276000000000003</v>
      </c>
      <c r="AB153">
        <v>19.856000000000002</v>
      </c>
      <c r="AC153">
        <v>34.692</v>
      </c>
      <c r="AD153">
        <v>19.62</v>
      </c>
      <c r="AE153">
        <v>503.42099999999999</v>
      </c>
      <c r="AF153" s="30">
        <f t="shared" si="40"/>
        <v>22.437045260015857</v>
      </c>
      <c r="AG153">
        <v>93.314999999999998</v>
      </c>
      <c r="AH153">
        <v>0.72699999999999998</v>
      </c>
      <c r="AI153">
        <f>1/1.625</f>
        <v>0.61538461538461542</v>
      </c>
      <c r="AK153">
        <v>0.61499999999999999</v>
      </c>
      <c r="AL153">
        <v>0.96599999999999997</v>
      </c>
      <c r="AN153">
        <v>0.74300770351830014</v>
      </c>
      <c r="AO153">
        <v>24.158000000000001</v>
      </c>
      <c r="AP153">
        <v>6.4</v>
      </c>
      <c r="AQ153">
        <v>18.657</v>
      </c>
      <c r="AR153">
        <f t="shared" si="39"/>
        <v>1.2948491182934021</v>
      </c>
    </row>
    <row r="154" spans="1:51" x14ac:dyDescent="0.25">
      <c r="B154" t="s">
        <v>238</v>
      </c>
      <c r="C154">
        <v>1163.93</v>
      </c>
      <c r="D154">
        <v>600</v>
      </c>
      <c r="E154">
        <v>4</v>
      </c>
      <c r="G154" t="s">
        <v>42</v>
      </c>
      <c r="H154">
        <v>47522</v>
      </c>
      <c r="I154" s="28">
        <f t="shared" si="33"/>
        <v>95044</v>
      </c>
      <c r="J154" t="s">
        <v>55</v>
      </c>
      <c r="K154" t="s">
        <v>43</v>
      </c>
      <c r="M154" s="3">
        <v>35.902999999999999</v>
      </c>
      <c r="N154">
        <v>25.55</v>
      </c>
      <c r="O154">
        <v>46.999000000000002</v>
      </c>
      <c r="P154">
        <v>30.670999999999999</v>
      </c>
      <c r="Q154">
        <v>748.428</v>
      </c>
      <c r="R154" s="28">
        <v>0</v>
      </c>
      <c r="S154">
        <f t="shared" si="34"/>
        <v>15.434766972544875</v>
      </c>
      <c r="T154" s="29">
        <f t="shared" si="35"/>
        <v>27.357412158316436</v>
      </c>
      <c r="U154">
        <v>133.101</v>
      </c>
      <c r="V154" s="29">
        <v>0.53100000000000003</v>
      </c>
      <c r="W154" s="30">
        <f>1/1.455</f>
        <v>0.6872852233676976</v>
      </c>
      <c r="Y154" s="3">
        <v>0.68700000000000006</v>
      </c>
      <c r="Z154" s="3">
        <v>0.82099999999999995</v>
      </c>
      <c r="AA154">
        <v>40.866999999999997</v>
      </c>
      <c r="AB154">
        <v>34.073</v>
      </c>
      <c r="AC154">
        <v>46.216000000000001</v>
      </c>
      <c r="AD154">
        <v>34.814999999999998</v>
      </c>
      <c r="AE154">
        <v>1088.5119999999999</v>
      </c>
      <c r="AF154" s="30">
        <f t="shared" si="40"/>
        <v>32.992605232081928</v>
      </c>
      <c r="AG154">
        <v>137.08099999999999</v>
      </c>
      <c r="AH154">
        <v>0.77100000000000002</v>
      </c>
      <c r="AI154">
        <f>1/1.244</f>
        <v>0.8038585209003215</v>
      </c>
      <c r="AK154">
        <v>0.80400000000000005</v>
      </c>
      <c r="AL154">
        <v>0.99299999999999999</v>
      </c>
      <c r="AN154">
        <v>0.88493267365990658</v>
      </c>
      <c r="AO154">
        <v>35.055999999999997</v>
      </c>
      <c r="AQ154">
        <v>43.286999999999999</v>
      </c>
      <c r="AR154">
        <f t="shared" si="39"/>
        <v>0.80985053249243422</v>
      </c>
      <c r="AX154">
        <v>26.799999999999997</v>
      </c>
      <c r="AY154">
        <f>T154/AX154</f>
        <v>1.0207989611312105</v>
      </c>
    </row>
    <row r="155" spans="1:51" x14ac:dyDescent="0.25">
      <c r="B155" t="s">
        <v>239</v>
      </c>
      <c r="C155">
        <v>1163.93</v>
      </c>
      <c r="D155">
        <v>600</v>
      </c>
      <c r="E155">
        <v>4</v>
      </c>
      <c r="G155" t="s">
        <v>42</v>
      </c>
      <c r="H155">
        <v>48798</v>
      </c>
      <c r="I155" s="28">
        <f t="shared" si="33"/>
        <v>97596</v>
      </c>
      <c r="J155" t="s">
        <v>55</v>
      </c>
      <c r="K155" t="s">
        <v>43</v>
      </c>
      <c r="M155" s="3">
        <v>55.48</v>
      </c>
      <c r="N155">
        <v>24.082999999999998</v>
      </c>
      <c r="O155">
        <v>66.533000000000001</v>
      </c>
      <c r="P155">
        <v>36.747999999999998</v>
      </c>
      <c r="Q155">
        <v>1049.3900000000001</v>
      </c>
      <c r="R155" s="28">
        <v>0</v>
      </c>
      <c r="S155">
        <f t="shared" si="34"/>
        <v>18.276520770168705</v>
      </c>
      <c r="T155" s="29">
        <f t="shared" si="35"/>
        <v>32.394289620240173</v>
      </c>
      <c r="U155">
        <v>178.99</v>
      </c>
      <c r="V155" s="29">
        <v>0.41199999999999998</v>
      </c>
      <c r="W155" s="30">
        <f>1/2.304</f>
        <v>0.43402777777777779</v>
      </c>
      <c r="Y155" s="3">
        <v>0.434</v>
      </c>
      <c r="Z155" s="3">
        <v>0.65</v>
      </c>
      <c r="AA155">
        <v>59.209000000000003</v>
      </c>
      <c r="AB155">
        <v>36.33</v>
      </c>
      <c r="AC155">
        <v>68.224000000000004</v>
      </c>
      <c r="AD155">
        <v>39.999000000000002</v>
      </c>
      <c r="AE155">
        <v>1689.4090000000001</v>
      </c>
      <c r="AF155" s="30">
        <f t="shared" si="40"/>
        <v>41.102420853278218</v>
      </c>
      <c r="AG155">
        <v>174.64</v>
      </c>
      <c r="AH155">
        <v>0.69599999999999995</v>
      </c>
      <c r="AI155">
        <f>1/1.63</f>
        <v>0.61349693251533743</v>
      </c>
      <c r="AK155">
        <v>0.61399999999999999</v>
      </c>
      <c r="AL155">
        <v>1</v>
      </c>
      <c r="AN155">
        <v>0.65087967547388437</v>
      </c>
      <c r="AO155">
        <v>38.454999999999998</v>
      </c>
      <c r="AQ155">
        <v>54.924999999999997</v>
      </c>
      <c r="AR155">
        <f t="shared" si="39"/>
        <v>0.70013654984069185</v>
      </c>
    </row>
    <row r="156" spans="1:51" x14ac:dyDescent="0.25">
      <c r="B156" t="s">
        <v>240</v>
      </c>
      <c r="C156">
        <v>1163.93</v>
      </c>
      <c r="D156">
        <v>600</v>
      </c>
      <c r="E156">
        <v>4</v>
      </c>
      <c r="G156" t="s">
        <v>42</v>
      </c>
      <c r="H156">
        <v>39348</v>
      </c>
      <c r="I156" s="28">
        <f t="shared" si="33"/>
        <v>78696</v>
      </c>
      <c r="J156" t="s">
        <v>55</v>
      </c>
      <c r="K156" t="s">
        <v>43</v>
      </c>
      <c r="M156" s="3">
        <v>63.856999999999999</v>
      </c>
      <c r="N156">
        <v>38.183999999999997</v>
      </c>
      <c r="O156">
        <v>91.308000000000007</v>
      </c>
      <c r="P156">
        <v>46.987000000000002</v>
      </c>
      <c r="Q156">
        <v>1915.0619999999999</v>
      </c>
      <c r="R156" s="28">
        <v>0</v>
      </c>
      <c r="S156">
        <f t="shared" si="34"/>
        <v>24.689738096118042</v>
      </c>
      <c r="T156" s="29">
        <f t="shared" si="35"/>
        <v>43.761421366313044</v>
      </c>
      <c r="U156">
        <v>243.14400000000001</v>
      </c>
      <c r="V156" s="29">
        <v>0.40699999999999997</v>
      </c>
      <c r="W156" s="30">
        <f>1/1.672</f>
        <v>0.59808612440191389</v>
      </c>
      <c r="Y156" s="3">
        <v>0.59799999999999998</v>
      </c>
      <c r="Z156" s="3">
        <v>0.76200000000000001</v>
      </c>
      <c r="AA156">
        <v>84.649000000000001</v>
      </c>
      <c r="AB156">
        <v>46.588000000000001</v>
      </c>
      <c r="AC156">
        <v>88.825000000000003</v>
      </c>
      <c r="AD156">
        <v>50.514000000000003</v>
      </c>
      <c r="AE156">
        <v>3097.3330000000001</v>
      </c>
      <c r="AF156" s="30">
        <f t="shared" si="40"/>
        <v>55.653688107797493</v>
      </c>
      <c r="AG156">
        <v>232.02500000000001</v>
      </c>
      <c r="AH156">
        <v>0.72299999999999998</v>
      </c>
      <c r="AI156">
        <f>1/1.817</f>
        <v>0.55035773252614206</v>
      </c>
      <c r="AK156">
        <v>0.55000000000000004</v>
      </c>
      <c r="AL156">
        <v>0.996</v>
      </c>
      <c r="AN156">
        <v>0.82499442999494998</v>
      </c>
      <c r="AO156">
        <v>86</v>
      </c>
      <c r="AP156">
        <v>14.608000000000001</v>
      </c>
      <c r="AQ156">
        <v>44.222000000000001</v>
      </c>
      <c r="AR156">
        <f t="shared" si="39"/>
        <v>1.9447333906200532</v>
      </c>
      <c r="AS156">
        <f>AQ156/(AP156*0.5)</f>
        <v>6.0544906900328588</v>
      </c>
      <c r="AT156">
        <f>T156*SQRT(AS156)</f>
        <v>107.67880501675204</v>
      </c>
      <c r="AU156">
        <f>AT156+R156</f>
        <v>107.67880501675204</v>
      </c>
      <c r="AV156">
        <f>1+1.464*(AS156^1.65)</f>
        <v>29.573875140456231</v>
      </c>
      <c r="AW156">
        <f>AU156/AV156</f>
        <v>3.641011010743413</v>
      </c>
      <c r="AX156">
        <v>23.1</v>
      </c>
      <c r="AY156">
        <f>T156/AX156</f>
        <v>1.8944338253815169</v>
      </c>
    </row>
    <row r="157" spans="1:51" s="6" customFormat="1" x14ac:dyDescent="0.25">
      <c r="A157" s="6" t="s">
        <v>241</v>
      </c>
      <c r="B157" s="6" t="s">
        <v>242</v>
      </c>
      <c r="C157" s="6">
        <v>1170</v>
      </c>
      <c r="D157" s="6">
        <v>450</v>
      </c>
      <c r="E157" s="6">
        <v>6</v>
      </c>
      <c r="F157" s="6" t="s">
        <v>46</v>
      </c>
      <c r="G157" s="6" t="s">
        <v>47</v>
      </c>
      <c r="H157" s="6">
        <v>6008519</v>
      </c>
      <c r="I157" s="39">
        <f t="shared" si="33"/>
        <v>12017038</v>
      </c>
      <c r="J157" s="6" t="b">
        <v>0</v>
      </c>
      <c r="K157" s="6" t="s">
        <v>43</v>
      </c>
      <c r="M157" s="15">
        <v>130.25299999999999</v>
      </c>
      <c r="N157" s="6">
        <v>75.263999999999996</v>
      </c>
      <c r="O157" s="6">
        <v>157.99799999999999</v>
      </c>
      <c r="P157" s="6">
        <v>93.367000000000004</v>
      </c>
      <c r="Q157" s="6">
        <v>7699.5060000000003</v>
      </c>
      <c r="R157" s="39">
        <v>936.63199999999995</v>
      </c>
      <c r="S157" s="6">
        <f t="shared" si="34"/>
        <v>49.505846912576025</v>
      </c>
      <c r="T157" s="40">
        <f t="shared" si="35"/>
        <v>87.746829002534326</v>
      </c>
      <c r="U157" s="6">
        <v>425.88200000000001</v>
      </c>
      <c r="V157" s="40">
        <v>0.53300000000000003</v>
      </c>
      <c r="W157" s="41">
        <f>1/1.731</f>
        <v>0.57770075101097629</v>
      </c>
      <c r="Y157" s="15">
        <v>0.57799999999999996</v>
      </c>
      <c r="Z157" s="15">
        <v>0.78600000000000003</v>
      </c>
      <c r="AA157" s="6">
        <v>148.22999999999999</v>
      </c>
      <c r="AB157" s="6">
        <v>84.515000000000001</v>
      </c>
      <c r="AC157" s="6">
        <v>163.02099999999999</v>
      </c>
      <c r="AD157" s="6">
        <v>94.093999999999994</v>
      </c>
      <c r="AE157" s="6">
        <v>9839.24</v>
      </c>
      <c r="AF157" s="41">
        <f t="shared" si="40"/>
        <v>99.192943297393896</v>
      </c>
      <c r="AG157" s="6">
        <v>415.59100000000001</v>
      </c>
      <c r="AH157" s="6">
        <v>0.71599999999999997</v>
      </c>
      <c r="AI157" s="6">
        <f>1/1.754</f>
        <v>0.5701254275940707</v>
      </c>
      <c r="AK157" s="6">
        <v>0.56999999999999995</v>
      </c>
      <c r="AL157" s="6">
        <v>0.999</v>
      </c>
      <c r="AN157" s="6">
        <v>0.74771906875706184</v>
      </c>
      <c r="AO157" s="6">
        <v>158.56700000000001</v>
      </c>
      <c r="AQ157" s="6">
        <v>94.778000000000006</v>
      </c>
      <c r="AR157" s="6">
        <f t="shared" si="39"/>
        <v>1.6730359366097618</v>
      </c>
      <c r="AY157"/>
    </row>
    <row r="158" spans="1:51" x14ac:dyDescent="0.25">
      <c r="B158" t="s">
        <v>243</v>
      </c>
      <c r="C158">
        <v>1170</v>
      </c>
      <c r="D158">
        <v>450</v>
      </c>
      <c r="E158">
        <v>6</v>
      </c>
      <c r="G158" t="s">
        <v>42</v>
      </c>
      <c r="H158">
        <v>6341163</v>
      </c>
      <c r="I158" s="28">
        <f t="shared" si="33"/>
        <v>12682326</v>
      </c>
      <c r="J158" t="b">
        <v>0</v>
      </c>
      <c r="K158" t="s">
        <v>43</v>
      </c>
      <c r="M158" s="3">
        <v>115.041</v>
      </c>
      <c r="N158">
        <v>38.396999999999998</v>
      </c>
      <c r="O158">
        <v>131.55099999999999</v>
      </c>
      <c r="P158">
        <v>74.593999999999994</v>
      </c>
      <c r="Q158">
        <v>3469.2840000000001</v>
      </c>
      <c r="R158" s="28">
        <v>631.20500000000004</v>
      </c>
      <c r="S158">
        <f t="shared" si="34"/>
        <v>33.231120883582101</v>
      </c>
      <c r="T158" s="29">
        <f t="shared" si="35"/>
        <v>58.9006281800118</v>
      </c>
      <c r="U158">
        <v>437.18599999999998</v>
      </c>
      <c r="V158" s="29">
        <v>0.22800000000000001</v>
      </c>
      <c r="W158" s="30">
        <f>1/2.996</f>
        <v>0.33377837116154874</v>
      </c>
      <c r="Y158" s="3">
        <v>0.33400000000000002</v>
      </c>
      <c r="Z158" s="3">
        <v>0.52400000000000002</v>
      </c>
      <c r="AA158">
        <v>128.18100000000001</v>
      </c>
      <c r="AB158">
        <v>67.070999999999998</v>
      </c>
      <c r="AC158">
        <v>128.64699999999999</v>
      </c>
      <c r="AD158">
        <v>76.432000000000002</v>
      </c>
      <c r="AE158">
        <v>6752.2470000000003</v>
      </c>
      <c r="AF158" s="30">
        <f t="shared" si="40"/>
        <v>82.172057294435561</v>
      </c>
      <c r="AG158">
        <v>336.34199999999998</v>
      </c>
      <c r="AH158">
        <v>0.75</v>
      </c>
      <c r="AI158">
        <f>1/1.911</f>
        <v>0.52328623757195181</v>
      </c>
      <c r="AK158">
        <v>0.52300000000000002</v>
      </c>
      <c r="AL158">
        <v>1</v>
      </c>
      <c r="AN158">
        <v>0.50914090417979208</v>
      </c>
      <c r="AO158">
        <v>83.149000000000001</v>
      </c>
      <c r="AQ158">
        <v>128.56800000000001</v>
      </c>
      <c r="AR158">
        <f t="shared" si="39"/>
        <v>0.64673169062286096</v>
      </c>
    </row>
    <row r="159" spans="1:51" x14ac:dyDescent="0.25">
      <c r="B159" t="s">
        <v>244</v>
      </c>
      <c r="C159">
        <v>1170</v>
      </c>
      <c r="D159">
        <v>500</v>
      </c>
      <c r="E159">
        <v>5</v>
      </c>
      <c r="G159" t="s">
        <v>42</v>
      </c>
      <c r="H159">
        <v>2670323</v>
      </c>
      <c r="I159" s="28">
        <f t="shared" si="33"/>
        <v>5340646</v>
      </c>
      <c r="J159" t="b">
        <v>0</v>
      </c>
      <c r="K159" t="s">
        <v>43</v>
      </c>
      <c r="M159" s="3">
        <v>83.884</v>
      </c>
      <c r="N159">
        <v>61.430999999999997</v>
      </c>
      <c r="O159">
        <v>114.473</v>
      </c>
      <c r="P159">
        <v>84.528000000000006</v>
      </c>
      <c r="Q159">
        <v>4047.21</v>
      </c>
      <c r="R159" s="28">
        <v>288.04300000000001</v>
      </c>
      <c r="S159">
        <f t="shared" si="34"/>
        <v>35.892435894794041</v>
      </c>
      <c r="T159" s="29">
        <f t="shared" si="35"/>
        <v>63.617686220107061</v>
      </c>
      <c r="U159">
        <v>392.596</v>
      </c>
      <c r="V159" s="29">
        <v>0.33</v>
      </c>
      <c r="W159" s="30">
        <f>1/1.365</f>
        <v>0.73260073260073255</v>
      </c>
      <c r="Y159" s="3">
        <v>0.73199999999999998</v>
      </c>
      <c r="Z159" s="3">
        <v>0.68799999999999994</v>
      </c>
      <c r="AA159">
        <v>98.236000000000004</v>
      </c>
      <c r="AB159">
        <v>74.751000000000005</v>
      </c>
      <c r="AC159">
        <v>113.303</v>
      </c>
      <c r="AD159">
        <v>83.944000000000003</v>
      </c>
      <c r="AE159">
        <v>5767.3310000000001</v>
      </c>
      <c r="AF159" s="30">
        <f t="shared" si="40"/>
        <v>75.942945689510893</v>
      </c>
      <c r="AG159">
        <v>321.363</v>
      </c>
      <c r="AH159">
        <v>0.70199999999999996</v>
      </c>
      <c r="AI159">
        <f>1/1.314</f>
        <v>0.76103500761035003</v>
      </c>
      <c r="AK159">
        <v>0.76100000000000001</v>
      </c>
      <c r="AL159">
        <v>1</v>
      </c>
      <c r="AN159">
        <v>0.59982902137996219</v>
      </c>
      <c r="AO159">
        <v>90.320999999999998</v>
      </c>
      <c r="AQ159">
        <v>110.786</v>
      </c>
      <c r="AR159">
        <f t="shared" si="39"/>
        <v>0.81527449316700662</v>
      </c>
    </row>
    <row r="160" spans="1:51" x14ac:dyDescent="0.25">
      <c r="B160" t="s">
        <v>245</v>
      </c>
      <c r="C160">
        <v>1170</v>
      </c>
      <c r="D160">
        <v>500</v>
      </c>
      <c r="E160">
        <v>5</v>
      </c>
      <c r="F160" t="s">
        <v>46</v>
      </c>
      <c r="G160" t="s">
        <v>47</v>
      </c>
      <c r="H160">
        <v>1579364</v>
      </c>
      <c r="I160" s="28">
        <f t="shared" si="33"/>
        <v>3158728</v>
      </c>
      <c r="J160" t="b">
        <v>0</v>
      </c>
      <c r="K160" t="s">
        <v>43</v>
      </c>
      <c r="M160" s="3">
        <v>163.346</v>
      </c>
      <c r="N160">
        <v>47.701999999999998</v>
      </c>
      <c r="O160">
        <v>249.4</v>
      </c>
      <c r="P160">
        <v>72.619</v>
      </c>
      <c r="Q160">
        <v>6119.7529999999997</v>
      </c>
      <c r="R160" s="28">
        <v>558.99800000000005</v>
      </c>
      <c r="S160">
        <f t="shared" si="34"/>
        <v>44.135902402725513</v>
      </c>
      <c r="T160" s="29">
        <f t="shared" si="35"/>
        <v>78.228850176900849</v>
      </c>
      <c r="U160">
        <v>612.10799999999995</v>
      </c>
      <c r="V160" s="29">
        <v>0.20499999999999999</v>
      </c>
      <c r="W160" s="30">
        <f>1/3.424</f>
        <v>0.29205607476635514</v>
      </c>
      <c r="Y160" s="3">
        <v>0.29199999999999998</v>
      </c>
      <c r="Z160" s="3">
        <v>0.55100000000000005</v>
      </c>
      <c r="AA160">
        <v>210.209</v>
      </c>
      <c r="AB160">
        <v>63.634999999999998</v>
      </c>
      <c r="AC160">
        <v>246.529</v>
      </c>
      <c r="AD160">
        <v>74.516999999999996</v>
      </c>
      <c r="AE160">
        <v>10506.036</v>
      </c>
      <c r="AF160" s="30">
        <f t="shared" si="40"/>
        <v>102.49895609224515</v>
      </c>
      <c r="AG160">
        <v>525.89400000000001</v>
      </c>
      <c r="AH160">
        <v>0.47699999999999998</v>
      </c>
      <c r="AI160">
        <f>1/3.303</f>
        <v>0.30275507114744171</v>
      </c>
      <c r="AK160">
        <v>0.30299999999999999</v>
      </c>
      <c r="AL160">
        <v>0.93899999999999995</v>
      </c>
      <c r="AN160">
        <v>0.53446553134536878</v>
      </c>
      <c r="AO160">
        <v>211.82900000000001</v>
      </c>
      <c r="AQ160">
        <v>120.401</v>
      </c>
      <c r="AR160">
        <f t="shared" si="39"/>
        <v>1.7593624637669123</v>
      </c>
    </row>
    <row r="161" spans="1:51" x14ac:dyDescent="0.25">
      <c r="B161" t="s">
        <v>246</v>
      </c>
      <c r="C161">
        <v>1170</v>
      </c>
      <c r="D161">
        <v>450</v>
      </c>
      <c r="E161">
        <v>6</v>
      </c>
      <c r="G161" t="s">
        <v>42</v>
      </c>
      <c r="H161">
        <v>1061416</v>
      </c>
      <c r="I161" s="28">
        <f t="shared" si="33"/>
        <v>2122832</v>
      </c>
      <c r="J161" t="s">
        <v>55</v>
      </c>
      <c r="K161" t="s">
        <v>43</v>
      </c>
      <c r="M161" s="3">
        <v>50.070999999999998</v>
      </c>
      <c r="N161">
        <v>39.375</v>
      </c>
      <c r="O161">
        <v>72.016999999999996</v>
      </c>
      <c r="P161">
        <v>55.877000000000002</v>
      </c>
      <c r="Q161">
        <v>1548.441</v>
      </c>
      <c r="R161" s="28">
        <v>6.44</v>
      </c>
      <c r="S161">
        <f t="shared" si="34"/>
        <v>22.200992736188962</v>
      </c>
      <c r="T161" s="29">
        <f t="shared" si="35"/>
        <v>39.350235069183512</v>
      </c>
      <c r="U161">
        <v>211.35599999999999</v>
      </c>
      <c r="V161" s="29">
        <v>0.436</v>
      </c>
      <c r="W161" s="30">
        <f>1/1.272</f>
        <v>0.78616352201257855</v>
      </c>
      <c r="Y161" s="3">
        <v>0.78600000000000003</v>
      </c>
      <c r="Z161" s="3">
        <v>0.69799999999999995</v>
      </c>
      <c r="AA161">
        <v>57.73</v>
      </c>
      <c r="AB161">
        <v>49.460999999999999</v>
      </c>
      <c r="AC161">
        <v>69.147000000000006</v>
      </c>
      <c r="AD161">
        <v>54.408999999999999</v>
      </c>
      <c r="AE161">
        <v>2242.596</v>
      </c>
      <c r="AF161" s="30">
        <f t="shared" si="40"/>
        <v>47.356055578985881</v>
      </c>
      <c r="AG161">
        <v>192.65199999999999</v>
      </c>
      <c r="AH161">
        <v>0.75900000000000001</v>
      </c>
      <c r="AI161">
        <f>1/1.167</f>
        <v>0.85689802913453295</v>
      </c>
      <c r="AK161">
        <v>0.85699999999999998</v>
      </c>
      <c r="AL161">
        <v>1</v>
      </c>
      <c r="AN161">
        <v>0.78380872209393071</v>
      </c>
      <c r="AO161">
        <v>56</v>
      </c>
      <c r="AQ161">
        <v>67.576999999999998</v>
      </c>
      <c r="AR161">
        <f t="shared" si="39"/>
        <v>0.8286843156695326</v>
      </c>
    </row>
    <row r="162" spans="1:51" x14ac:dyDescent="0.25">
      <c r="B162" t="s">
        <v>247</v>
      </c>
      <c r="C162">
        <v>1170</v>
      </c>
      <c r="D162">
        <v>600</v>
      </c>
      <c r="E162">
        <v>4</v>
      </c>
      <c r="G162" t="s">
        <v>47</v>
      </c>
      <c r="H162">
        <v>178218</v>
      </c>
      <c r="I162" s="28">
        <f t="shared" si="33"/>
        <v>356436</v>
      </c>
      <c r="J162" t="s">
        <v>55</v>
      </c>
      <c r="K162" t="s">
        <v>43</v>
      </c>
      <c r="M162" s="3">
        <v>45.292999999999999</v>
      </c>
      <c r="N162">
        <v>39.354999999999997</v>
      </c>
      <c r="O162">
        <v>68.492000000000004</v>
      </c>
      <c r="P162">
        <v>41.072000000000003</v>
      </c>
      <c r="Q162">
        <v>1399.96</v>
      </c>
      <c r="R162" s="28">
        <v>18.895</v>
      </c>
      <c r="S162">
        <f t="shared" si="34"/>
        <v>21.109739654052099</v>
      </c>
      <c r="T162" s="29">
        <f t="shared" si="35"/>
        <v>37.416039341437518</v>
      </c>
      <c r="U162">
        <v>214.68700000000001</v>
      </c>
      <c r="V162" s="29">
        <v>0.38200000000000001</v>
      </c>
      <c r="W162" s="30">
        <f>1/1.151</f>
        <v>0.86880973066898348</v>
      </c>
      <c r="Y162" s="3">
        <v>0.86899999999999999</v>
      </c>
      <c r="Z162" s="3">
        <v>0.71399999999999997</v>
      </c>
      <c r="AA162">
        <v>60.24</v>
      </c>
      <c r="AB162">
        <v>42.872999999999998</v>
      </c>
      <c r="AC162">
        <v>67.070999999999998</v>
      </c>
      <c r="AD162">
        <v>39.847999999999999</v>
      </c>
      <c r="AE162">
        <v>2028.4069999999999</v>
      </c>
      <c r="AF162" s="30">
        <f t="shared" si="40"/>
        <v>45.037839646235255</v>
      </c>
      <c r="AG162">
        <v>179.352</v>
      </c>
      <c r="AH162">
        <v>0.79200000000000004</v>
      </c>
      <c r="AI162">
        <f>1/1.405</f>
        <v>0.71174377224199292</v>
      </c>
      <c r="AK162">
        <v>0.71199999999999997</v>
      </c>
      <c r="AL162">
        <v>0.995</v>
      </c>
      <c r="AN162">
        <v>0.80154940262986474</v>
      </c>
      <c r="AO162">
        <v>37.228000000000002</v>
      </c>
      <c r="AQ162">
        <v>64.775000000000006</v>
      </c>
      <c r="AR162">
        <f t="shared" si="39"/>
        <v>0.57472790428406018</v>
      </c>
    </row>
    <row r="163" spans="1:51" x14ac:dyDescent="0.25">
      <c r="B163" s="1" t="s">
        <v>248</v>
      </c>
      <c r="C163">
        <v>1170</v>
      </c>
      <c r="D163">
        <v>450</v>
      </c>
      <c r="E163">
        <v>6</v>
      </c>
      <c r="F163" t="s">
        <v>49</v>
      </c>
      <c r="G163" t="s">
        <v>47</v>
      </c>
      <c r="H163">
        <v>1836354</v>
      </c>
      <c r="I163">
        <f t="shared" si="33"/>
        <v>3672708</v>
      </c>
      <c r="J163" t="s">
        <v>55</v>
      </c>
      <c r="M163">
        <v>56.704999999999998</v>
      </c>
      <c r="N163">
        <v>17.637</v>
      </c>
      <c r="O163">
        <v>63.213999999999999</v>
      </c>
      <c r="P163">
        <v>23.585000000000001</v>
      </c>
      <c r="Q163">
        <v>785.45600000000002</v>
      </c>
      <c r="R163">
        <v>3.827</v>
      </c>
      <c r="S163">
        <f t="shared" si="34"/>
        <v>15.811970464251933</v>
      </c>
      <c r="T163">
        <f t="shared" si="35"/>
        <v>28.025987939767617</v>
      </c>
      <c r="U163">
        <v>170.67</v>
      </c>
      <c r="V163">
        <v>0.33900000000000002</v>
      </c>
      <c r="W163">
        <f>1/3.215</f>
        <v>0.31104199066874028</v>
      </c>
      <c r="Y163">
        <v>0.311</v>
      </c>
      <c r="Z163">
        <v>0.67900000000000005</v>
      </c>
      <c r="AA163">
        <v>62.466000000000001</v>
      </c>
      <c r="AB163">
        <v>30.474</v>
      </c>
      <c r="AC163">
        <v>68.98</v>
      </c>
      <c r="AD163">
        <v>34.674999999999997</v>
      </c>
      <c r="AE163">
        <v>1495.0640000000001</v>
      </c>
      <c r="AF163">
        <f t="shared" si="40"/>
        <v>38.66605746646534</v>
      </c>
      <c r="AG163">
        <v>171.03399999999999</v>
      </c>
      <c r="AH163">
        <v>0.64200000000000002</v>
      </c>
      <c r="AI163">
        <f>1/2.05</f>
        <v>0.48780487804878053</v>
      </c>
      <c r="AK163">
        <v>0.48799999999999999</v>
      </c>
      <c r="AL163">
        <v>0.997</v>
      </c>
      <c r="AN163">
        <v>0.58855469100340796</v>
      </c>
      <c r="AO163">
        <v>39.110999999999997</v>
      </c>
      <c r="AP163">
        <v>0</v>
      </c>
      <c r="AQ163">
        <v>58.904000000000003</v>
      </c>
      <c r="AR163">
        <f t="shared" si="39"/>
        <v>0.66397867716963188</v>
      </c>
    </row>
    <row r="164" spans="1:51" x14ac:dyDescent="0.25">
      <c r="B164" t="s">
        <v>249</v>
      </c>
      <c r="C164">
        <v>1170</v>
      </c>
      <c r="D164">
        <v>500</v>
      </c>
      <c r="E164">
        <v>5</v>
      </c>
      <c r="F164" t="s">
        <v>46</v>
      </c>
      <c r="G164" t="s">
        <v>47</v>
      </c>
      <c r="H164">
        <v>200869</v>
      </c>
      <c r="I164" s="28">
        <f t="shared" si="33"/>
        <v>401738</v>
      </c>
      <c r="J164" t="s">
        <v>55</v>
      </c>
      <c r="K164" t="s">
        <v>43</v>
      </c>
      <c r="M164" s="3">
        <v>54.08</v>
      </c>
      <c r="N164">
        <v>31.542000000000002</v>
      </c>
      <c r="O164">
        <v>65.966999999999999</v>
      </c>
      <c r="P164">
        <v>40.213999999999999</v>
      </c>
      <c r="Q164">
        <v>1339.73</v>
      </c>
      <c r="R164" s="28">
        <v>0</v>
      </c>
      <c r="S164">
        <f t="shared" si="34"/>
        <v>20.650648992634828</v>
      </c>
      <c r="T164" s="29">
        <f t="shared" si="35"/>
        <v>36.602322330693717</v>
      </c>
      <c r="U164">
        <v>182.93299999999999</v>
      </c>
      <c r="V164" s="29">
        <v>0.503</v>
      </c>
      <c r="W164" s="30">
        <f>1/1.715</f>
        <v>0.58309037900874627</v>
      </c>
      <c r="Y164" s="3">
        <v>0.28299999999999997</v>
      </c>
      <c r="Z164" s="3">
        <v>0.79200000000000004</v>
      </c>
      <c r="AA164">
        <v>57.210999999999999</v>
      </c>
      <c r="AB164">
        <v>39.674999999999997</v>
      </c>
      <c r="AC164">
        <v>68.941999999999993</v>
      </c>
      <c r="AD164">
        <v>43.656999999999996</v>
      </c>
      <c r="AE164">
        <v>1782.7550000000001</v>
      </c>
      <c r="AF164" s="30">
        <f t="shared" si="40"/>
        <v>42.222683477012687</v>
      </c>
      <c r="AG164">
        <v>178.24100000000001</v>
      </c>
      <c r="AH164">
        <v>0.70499999999999996</v>
      </c>
      <c r="AI164">
        <f>1/1.442</f>
        <v>0.69348127600554788</v>
      </c>
      <c r="AK164">
        <v>0.69299999999999995</v>
      </c>
      <c r="AL164">
        <v>0.99099999999999999</v>
      </c>
      <c r="AN164">
        <v>0.72558870447854507</v>
      </c>
      <c r="AO164">
        <v>42.226999999999997</v>
      </c>
      <c r="AQ164">
        <v>59.557000000000002</v>
      </c>
      <c r="AR164">
        <f t="shared" si="39"/>
        <v>0.70901825142300645</v>
      </c>
    </row>
    <row r="165" spans="1:51" x14ac:dyDescent="0.25">
      <c r="B165" t="s">
        <v>250</v>
      </c>
      <c r="C165">
        <v>1170</v>
      </c>
      <c r="D165">
        <v>500</v>
      </c>
      <c r="E165">
        <v>5</v>
      </c>
      <c r="G165" t="s">
        <v>42</v>
      </c>
      <c r="H165">
        <v>196924</v>
      </c>
      <c r="I165" s="28">
        <f t="shared" si="33"/>
        <v>393848</v>
      </c>
      <c r="J165" t="s">
        <v>55</v>
      </c>
      <c r="K165" t="s">
        <v>43</v>
      </c>
      <c r="M165" s="3">
        <v>88.091999999999999</v>
      </c>
      <c r="N165">
        <v>56.433999999999997</v>
      </c>
      <c r="O165">
        <v>117.346</v>
      </c>
      <c r="P165">
        <v>82.126999999999995</v>
      </c>
      <c r="Q165">
        <v>3904.5529999999999</v>
      </c>
      <c r="R165" s="28">
        <v>0</v>
      </c>
      <c r="S165">
        <f t="shared" si="34"/>
        <v>35.254188701891557</v>
      </c>
      <c r="T165" s="29">
        <f t="shared" si="35"/>
        <v>62.486422525217428</v>
      </c>
      <c r="U165">
        <v>386.005</v>
      </c>
      <c r="V165" s="29">
        <v>0.32900000000000001</v>
      </c>
      <c r="W165" s="30">
        <f>1/1.561</f>
        <v>0.64061499039077519</v>
      </c>
      <c r="Y165" s="3">
        <v>0.64100000000000001</v>
      </c>
      <c r="Z165" s="3">
        <v>0.63800000000000001</v>
      </c>
      <c r="AA165">
        <v>108.89100000000001</v>
      </c>
      <c r="AB165">
        <v>78.046999999999997</v>
      </c>
      <c r="AC165">
        <v>121.76900000000001</v>
      </c>
      <c r="AD165">
        <v>79.944000000000003</v>
      </c>
      <c r="AE165">
        <v>6674.7979999999998</v>
      </c>
      <c r="AF165" s="30">
        <f t="shared" si="40"/>
        <v>81.699436962564192</v>
      </c>
      <c r="AG165">
        <v>325.77600000000001</v>
      </c>
      <c r="AH165">
        <v>0.79</v>
      </c>
      <c r="AI165">
        <f>1/1.395</f>
        <v>0.71684587813620071</v>
      </c>
      <c r="AK165">
        <v>0.71699999999999997</v>
      </c>
      <c r="AL165">
        <v>1</v>
      </c>
      <c r="AN165">
        <v>0.76339195687322392</v>
      </c>
      <c r="AO165">
        <v>97.46</v>
      </c>
      <c r="AQ165">
        <v>86.141999999999996</v>
      </c>
      <c r="AR165">
        <f t="shared" si="39"/>
        <v>1.1313877086670845</v>
      </c>
    </row>
    <row r="166" spans="1:51" x14ac:dyDescent="0.25">
      <c r="B166" t="s">
        <v>251</v>
      </c>
      <c r="C166">
        <v>1170</v>
      </c>
      <c r="D166">
        <v>600</v>
      </c>
      <c r="E166">
        <v>4</v>
      </c>
      <c r="F166" t="s">
        <v>49</v>
      </c>
      <c r="G166" t="s">
        <v>47</v>
      </c>
      <c r="H166">
        <v>160089</v>
      </c>
      <c r="I166" s="28">
        <f t="shared" si="33"/>
        <v>320178</v>
      </c>
      <c r="J166" t="s">
        <v>55</v>
      </c>
      <c r="K166" t="s">
        <v>43</v>
      </c>
      <c r="M166" s="3">
        <v>55.362000000000002</v>
      </c>
      <c r="N166">
        <v>18.451000000000001</v>
      </c>
      <c r="O166">
        <v>67.736000000000004</v>
      </c>
      <c r="P166">
        <v>25.196999999999999</v>
      </c>
      <c r="Q166">
        <v>802.27200000000005</v>
      </c>
      <c r="R166" s="28">
        <v>2.0350000000000001</v>
      </c>
      <c r="S166">
        <f t="shared" si="34"/>
        <v>15.980335071845088</v>
      </c>
      <c r="T166" s="29">
        <f t="shared" si="35"/>
        <v>28.3244064368523</v>
      </c>
      <c r="U166">
        <v>162.63900000000001</v>
      </c>
      <c r="V166" s="29">
        <v>0.38100000000000001</v>
      </c>
      <c r="W166" s="30">
        <f>1/3.001</f>
        <v>0.33322225924691773</v>
      </c>
      <c r="Y166" s="3">
        <v>0.33300000000000002</v>
      </c>
      <c r="Z166" s="3">
        <v>0.69399999999999995</v>
      </c>
      <c r="AA166">
        <v>57.545999999999999</v>
      </c>
      <c r="AB166">
        <v>37.950000000000003</v>
      </c>
      <c r="AC166">
        <v>68.745000000000005</v>
      </c>
      <c r="AD166">
        <v>37.978000000000002</v>
      </c>
      <c r="AE166">
        <v>1715.1869999999999</v>
      </c>
      <c r="AF166" s="30">
        <f t="shared" si="40"/>
        <v>41.414816189378406</v>
      </c>
      <c r="AG166">
        <v>172.99799999999999</v>
      </c>
      <c r="AH166">
        <v>0.72</v>
      </c>
      <c r="AI166">
        <f>1/1.516</f>
        <v>0.65963060686015829</v>
      </c>
      <c r="AK166">
        <v>0.65900000000000003</v>
      </c>
      <c r="AL166">
        <v>0.995</v>
      </c>
      <c r="AN166">
        <v>0.54183070295255675</v>
      </c>
      <c r="AO166">
        <v>63.866999999999997</v>
      </c>
      <c r="AQ166">
        <v>38.192999999999998</v>
      </c>
      <c r="AR166">
        <f t="shared" si="39"/>
        <v>1.672217422040688</v>
      </c>
    </row>
    <row r="167" spans="1:51" x14ac:dyDescent="0.25">
      <c r="B167" t="s">
        <v>252</v>
      </c>
      <c r="C167">
        <v>1170</v>
      </c>
      <c r="D167">
        <v>600</v>
      </c>
      <c r="E167">
        <v>4</v>
      </c>
      <c r="G167" t="s">
        <v>42</v>
      </c>
      <c r="H167">
        <v>65338</v>
      </c>
      <c r="J167" t="s">
        <v>55</v>
      </c>
      <c r="K167" t="s">
        <v>43</v>
      </c>
      <c r="M167" s="3">
        <v>46.776000000000003</v>
      </c>
      <c r="N167">
        <v>26.885000000000002</v>
      </c>
      <c r="O167">
        <v>55.572000000000003</v>
      </c>
      <c r="P167">
        <v>34.174999999999997</v>
      </c>
      <c r="Q167">
        <v>987.70399999999995</v>
      </c>
      <c r="R167" s="28">
        <v>0</v>
      </c>
      <c r="S167">
        <f t="shared" si="34"/>
        <v>17.731213941049685</v>
      </c>
      <c r="T167" s="29">
        <f t="shared" si="35"/>
        <v>31.427758431043088</v>
      </c>
      <c r="U167">
        <v>165.41800000000001</v>
      </c>
      <c r="V167" s="29">
        <v>0.45400000000000001</v>
      </c>
      <c r="W167" s="30">
        <f>1/1.74</f>
        <v>0.57471264367816088</v>
      </c>
      <c r="Y167" s="3">
        <v>0.57499999999999996</v>
      </c>
      <c r="Z167" s="3">
        <v>0.76600000000000001</v>
      </c>
      <c r="AA167">
        <v>55.164000000000001</v>
      </c>
      <c r="AB167">
        <v>30.648</v>
      </c>
      <c r="AC167">
        <v>60.231999999999999</v>
      </c>
      <c r="AD167">
        <v>34.567999999999998</v>
      </c>
      <c r="AE167">
        <v>1327.8520000000001</v>
      </c>
      <c r="AF167" s="30">
        <f t="shared" si="40"/>
        <v>36.439703621187704</v>
      </c>
      <c r="AG167">
        <v>159.50200000000001</v>
      </c>
      <c r="AH167">
        <v>0.65600000000000003</v>
      </c>
      <c r="AI167">
        <f>1/1.8</f>
        <v>0.55555555555555558</v>
      </c>
      <c r="AK167">
        <v>0.55600000000000005</v>
      </c>
      <c r="AL167">
        <v>0.97099999999999997</v>
      </c>
      <c r="AN167">
        <v>0.69644887160368074</v>
      </c>
      <c r="AO167">
        <v>36.854999999999997</v>
      </c>
      <c r="AQ167">
        <v>20.225999999999999</v>
      </c>
      <c r="AR167">
        <f t="shared" si="39"/>
        <v>1.8221595965588846</v>
      </c>
    </row>
    <row r="168" spans="1:51" x14ac:dyDescent="0.25">
      <c r="B168" s="1" t="s">
        <v>253</v>
      </c>
      <c r="C168">
        <v>1170</v>
      </c>
      <c r="D168">
        <v>600</v>
      </c>
      <c r="E168">
        <v>4</v>
      </c>
      <c r="G168" t="s">
        <v>42</v>
      </c>
      <c r="H168">
        <v>38351</v>
      </c>
      <c r="I168">
        <f t="shared" si="33"/>
        <v>76702</v>
      </c>
      <c r="J168" t="s">
        <v>55</v>
      </c>
      <c r="L168" t="s">
        <v>60</v>
      </c>
      <c r="M168">
        <v>51.673000000000002</v>
      </c>
      <c r="N168">
        <v>31.661000000000001</v>
      </c>
      <c r="O168">
        <v>62.444000000000003</v>
      </c>
      <c r="P168">
        <v>37.201999999999998</v>
      </c>
      <c r="Q168">
        <v>1284.9380000000001</v>
      </c>
      <c r="R168">
        <v>0</v>
      </c>
      <c r="S168">
        <f t="shared" si="34"/>
        <v>20.223957786082021</v>
      </c>
      <c r="T168">
        <f t="shared" si="35"/>
        <v>35.846031858491678</v>
      </c>
      <c r="U168">
        <v>167.74600000000001</v>
      </c>
      <c r="V168">
        <v>0.57399999999999995</v>
      </c>
      <c r="W168">
        <f>1/1.632</f>
        <v>0.61274509803921573</v>
      </c>
      <c r="Y168">
        <v>0.61299999999999999</v>
      </c>
      <c r="Z168">
        <v>0.84699999999999998</v>
      </c>
      <c r="AA168">
        <v>59.226999999999997</v>
      </c>
      <c r="AB168">
        <v>35.088000000000001</v>
      </c>
      <c r="AC168">
        <v>64.546999999999997</v>
      </c>
      <c r="AD168">
        <v>38.956000000000003</v>
      </c>
      <c r="AE168">
        <v>1632.1980000000001</v>
      </c>
      <c r="AF168">
        <f>SQRT(AE168)</f>
        <v>40.400470294292369</v>
      </c>
      <c r="AG168">
        <v>168.14099999999999</v>
      </c>
      <c r="AH168">
        <v>0.72499999999999998</v>
      </c>
      <c r="AI168">
        <f>1/1.688</f>
        <v>0.59241706161137442</v>
      </c>
      <c r="AK168">
        <v>0.59199999999999997</v>
      </c>
      <c r="AL168">
        <v>1</v>
      </c>
      <c r="AN168">
        <v>0</v>
      </c>
      <c r="AO168">
        <v>65.159000000000006</v>
      </c>
      <c r="AQ168">
        <v>39.573999999999998</v>
      </c>
      <c r="AR168">
        <f>AO168/AQ168</f>
        <v>1.6465103350684795</v>
      </c>
    </row>
    <row r="169" spans="1:51" s="6" customFormat="1" x14ac:dyDescent="0.25">
      <c r="A169" s="6" t="s">
        <v>254</v>
      </c>
      <c r="B169" s="6" t="s">
        <v>255</v>
      </c>
      <c r="C169" s="6">
        <v>1146.96</v>
      </c>
      <c r="D169" s="6">
        <v>500</v>
      </c>
      <c r="G169" s="6" t="s">
        <v>192</v>
      </c>
      <c r="H169" s="6">
        <v>397107</v>
      </c>
      <c r="I169" s="6">
        <f t="shared" si="33"/>
        <v>794214</v>
      </c>
      <c r="J169" s="6" t="b">
        <v>0</v>
      </c>
      <c r="K169" s="6" t="s">
        <v>43</v>
      </c>
      <c r="M169" s="6">
        <v>144.55799999999999</v>
      </c>
      <c r="N169" s="6">
        <v>74.006</v>
      </c>
      <c r="O169" s="6">
        <v>185.63</v>
      </c>
      <c r="P169" s="6">
        <v>106.78700000000001</v>
      </c>
      <c r="Q169" s="6">
        <v>8402.3150000000005</v>
      </c>
      <c r="R169" s="6">
        <v>1188.912</v>
      </c>
      <c r="S169" s="6">
        <f t="shared" si="34"/>
        <v>51.715954320986455</v>
      </c>
      <c r="T169" s="6">
        <f t="shared" si="35"/>
        <v>91.664142389486202</v>
      </c>
      <c r="U169" s="6">
        <v>593.32799999999997</v>
      </c>
      <c r="V169" s="6">
        <v>0.3</v>
      </c>
      <c r="W169" s="6">
        <f>1/1.953</f>
        <v>0.51203277009728621</v>
      </c>
      <c r="X169" s="6">
        <f>1/W169</f>
        <v>1.9530000000000001</v>
      </c>
      <c r="Y169" s="6">
        <v>0.51200000000000001</v>
      </c>
      <c r="Z169" s="6">
        <v>0.58299999999999996</v>
      </c>
      <c r="AA169" s="6">
        <v>176.07599999999999</v>
      </c>
      <c r="AB169" s="6">
        <v>103.884</v>
      </c>
      <c r="AC169" s="6">
        <v>184.77699999999999</v>
      </c>
      <c r="AD169" s="6">
        <v>107.06</v>
      </c>
      <c r="AE169" s="6">
        <v>14366.049000000001</v>
      </c>
      <c r="AF169" s="6">
        <f t="shared" ref="AF169:AF232" si="41">SQRT(AE169)</f>
        <v>119.85845401973113</v>
      </c>
      <c r="AG169" s="6">
        <v>481.23500000000001</v>
      </c>
      <c r="AH169" s="6">
        <v>0.78</v>
      </c>
      <c r="AI169" s="6">
        <f>1/1.695</f>
        <v>0.58997050147492625</v>
      </c>
      <c r="AJ169" s="6">
        <f>1/AI169</f>
        <v>1.6950000000000001</v>
      </c>
      <c r="AK169" s="6">
        <v>0.59</v>
      </c>
      <c r="AL169" s="6">
        <v>0.999</v>
      </c>
      <c r="AN169" s="6">
        <v>0.60618423215601236</v>
      </c>
      <c r="AO169" s="6">
        <v>181.68799999999999</v>
      </c>
      <c r="AP169" s="6">
        <v>0</v>
      </c>
      <c r="AQ169" s="6">
        <v>134.447</v>
      </c>
      <c r="AR169" s="6">
        <f t="shared" ref="AR169:AR213" si="42">AO169/AQ169</f>
        <v>1.3513726598585314</v>
      </c>
      <c r="AY169"/>
    </row>
    <row r="170" spans="1:51" x14ac:dyDescent="0.25">
      <c r="B170" t="s">
        <v>256</v>
      </c>
      <c r="C170">
        <v>1146.96</v>
      </c>
      <c r="D170">
        <v>450</v>
      </c>
      <c r="H170">
        <v>1716208</v>
      </c>
      <c r="I170">
        <f t="shared" si="33"/>
        <v>3432416</v>
      </c>
      <c r="J170" t="b">
        <v>0</v>
      </c>
      <c r="K170" t="s">
        <v>43</v>
      </c>
      <c r="M170">
        <v>151.80099999999999</v>
      </c>
      <c r="N170">
        <v>102.76</v>
      </c>
      <c r="O170">
        <v>215.38399999999999</v>
      </c>
      <c r="P170">
        <v>123.20399999999999</v>
      </c>
      <c r="Q170">
        <v>12251.531000000001</v>
      </c>
      <c r="R170">
        <v>429.59</v>
      </c>
      <c r="S170">
        <f t="shared" si="34"/>
        <v>62.448246077749722</v>
      </c>
      <c r="T170">
        <f t="shared" si="35"/>
        <v>110.68663424280278</v>
      </c>
      <c r="U170">
        <v>654.125</v>
      </c>
      <c r="V170">
        <v>0.36</v>
      </c>
      <c r="W170">
        <f>1/1.477</f>
        <v>0.6770480704129993</v>
      </c>
      <c r="X170">
        <f t="shared" ref="X170:X183" si="43">1/W170</f>
        <v>1.4770000000000001</v>
      </c>
      <c r="Y170">
        <v>0.67700000000000005</v>
      </c>
      <c r="Z170">
        <v>0.70699999999999996</v>
      </c>
      <c r="AA170">
        <v>194.69200000000001</v>
      </c>
      <c r="AB170">
        <v>118.79900000000001</v>
      </c>
      <c r="AC170">
        <v>216.79599999999999</v>
      </c>
      <c r="AD170">
        <v>125.502</v>
      </c>
      <c r="AE170">
        <v>18165.655999999999</v>
      </c>
      <c r="AF170">
        <f t="shared" si="41"/>
        <v>134.78002819409113</v>
      </c>
      <c r="AG170">
        <v>550.17200000000003</v>
      </c>
      <c r="AH170">
        <v>0.754</v>
      </c>
      <c r="AI170">
        <f>1/1.639</f>
        <v>0.61012812690665041</v>
      </c>
      <c r="AJ170">
        <f t="shared" ref="AJ170:AJ183" si="44">1/AI170</f>
        <v>1.639</v>
      </c>
      <c r="AK170">
        <v>0.61</v>
      </c>
      <c r="AL170">
        <v>0.999</v>
      </c>
      <c r="AN170">
        <v>0.74510699156367055</v>
      </c>
      <c r="AO170">
        <v>191.256</v>
      </c>
      <c r="AP170">
        <v>0</v>
      </c>
      <c r="AQ170">
        <v>178.76599999999999</v>
      </c>
      <c r="AR170">
        <f t="shared" si="42"/>
        <v>1.0698678719667052</v>
      </c>
    </row>
    <row r="171" spans="1:51" x14ac:dyDescent="0.25">
      <c r="B171" t="s">
        <v>257</v>
      </c>
      <c r="C171">
        <v>1146.96</v>
      </c>
      <c r="D171">
        <v>450</v>
      </c>
      <c r="F171" t="s">
        <v>46</v>
      </c>
      <c r="H171">
        <v>62141</v>
      </c>
      <c r="I171">
        <f t="shared" si="33"/>
        <v>124282</v>
      </c>
      <c r="J171" t="s">
        <v>55</v>
      </c>
      <c r="K171" t="s">
        <v>43</v>
      </c>
      <c r="L171" t="s">
        <v>258</v>
      </c>
      <c r="M171">
        <v>113.999</v>
      </c>
      <c r="N171">
        <v>35.753999999999998</v>
      </c>
      <c r="O171">
        <v>147.15899999999999</v>
      </c>
      <c r="P171">
        <v>56.191000000000003</v>
      </c>
      <c r="Q171">
        <v>3201.2350000000001</v>
      </c>
      <c r="R171">
        <v>0</v>
      </c>
      <c r="S171">
        <f t="shared" si="34"/>
        <v>31.921540509467384</v>
      </c>
      <c r="T171">
        <f t="shared" si="35"/>
        <v>56.579457402841889</v>
      </c>
      <c r="U171">
        <v>370.15</v>
      </c>
      <c r="V171">
        <v>0.29399999999999998</v>
      </c>
      <c r="W171">
        <f>1/3.188</f>
        <v>0.31367628607277287</v>
      </c>
      <c r="X171">
        <f t="shared" si="43"/>
        <v>3.1880000000000002</v>
      </c>
      <c r="Y171">
        <v>0.314</v>
      </c>
      <c r="Z171">
        <v>0.66200000000000003</v>
      </c>
      <c r="AA171">
        <v>116.84399999999999</v>
      </c>
      <c r="AB171">
        <v>55.06</v>
      </c>
      <c r="AC171">
        <v>127.568</v>
      </c>
      <c r="AD171">
        <v>62.777999999999999</v>
      </c>
      <c r="AE171">
        <v>5052.7780000000002</v>
      </c>
      <c r="AF171">
        <f t="shared" si="41"/>
        <v>71.082895270240641</v>
      </c>
      <c r="AG171">
        <v>317.06400000000002</v>
      </c>
      <c r="AH171">
        <v>0.63200000000000001</v>
      </c>
      <c r="AI171">
        <f>1/2.122</f>
        <v>0.47125353440150802</v>
      </c>
      <c r="AJ171">
        <f t="shared" si="44"/>
        <v>2.1219999999999999</v>
      </c>
      <c r="AK171">
        <v>0.47099999999999997</v>
      </c>
      <c r="AL171">
        <v>0.99299999999999999</v>
      </c>
      <c r="AN171">
        <v>0</v>
      </c>
      <c r="AO171">
        <v>121.95</v>
      </c>
      <c r="AP171">
        <v>93.893000000000001</v>
      </c>
      <c r="AQ171">
        <v>61.741999999999997</v>
      </c>
      <c r="AR171">
        <f t="shared" si="42"/>
        <v>1.9751546759094296</v>
      </c>
    </row>
    <row r="172" spans="1:51" x14ac:dyDescent="0.25">
      <c r="B172" t="s">
        <v>259</v>
      </c>
      <c r="C172">
        <v>1146.96</v>
      </c>
      <c r="D172">
        <v>500</v>
      </c>
      <c r="E172">
        <v>5</v>
      </c>
      <c r="G172" t="s">
        <v>192</v>
      </c>
      <c r="H172">
        <v>410147</v>
      </c>
      <c r="I172">
        <f t="shared" ref="I172:I235" si="45">H172*2</f>
        <v>820294</v>
      </c>
      <c r="J172" t="s">
        <v>55</v>
      </c>
      <c r="K172" t="s">
        <v>43</v>
      </c>
      <c r="L172" t="s">
        <v>260</v>
      </c>
      <c r="M172">
        <v>171.97499999999999</v>
      </c>
      <c r="N172">
        <v>59.051000000000002</v>
      </c>
      <c r="O172">
        <v>199.714</v>
      </c>
      <c r="P172">
        <v>85.938999999999993</v>
      </c>
      <c r="Q172">
        <v>7975.8779999999997</v>
      </c>
      <c r="R172">
        <v>63.661999999999999</v>
      </c>
      <c r="S172">
        <f t="shared" ref="S172:S235" si="46">SQRT(Q172/PI())</f>
        <v>50.38651425129347</v>
      </c>
      <c r="T172">
        <f t="shared" ref="T172:T235" si="47">SQRT(Q172)</f>
        <v>89.307771218410778</v>
      </c>
      <c r="U172">
        <v>602.92399999999998</v>
      </c>
      <c r="V172">
        <v>0.27600000000000002</v>
      </c>
      <c r="W172">
        <f>1/2.912</f>
        <v>0.34340659340659341</v>
      </c>
      <c r="X172">
        <f t="shared" si="43"/>
        <v>2.9119999999999999</v>
      </c>
      <c r="Y172">
        <v>0.34300000000000003</v>
      </c>
      <c r="Z172">
        <v>0.55600000000000005</v>
      </c>
      <c r="AA172">
        <v>242.33600000000001</v>
      </c>
      <c r="AB172">
        <v>185.47499999999999</v>
      </c>
      <c r="AC172">
        <v>269.85700000000003</v>
      </c>
      <c r="AD172">
        <v>181.40799999999999</v>
      </c>
      <c r="AE172">
        <v>35301.567000000003</v>
      </c>
      <c r="AF172">
        <f t="shared" si="41"/>
        <v>187.88711238400575</v>
      </c>
      <c r="AG172">
        <v>736.79700000000003</v>
      </c>
      <c r="AH172">
        <v>0.81699999999999995</v>
      </c>
      <c r="AI172">
        <f>1/1.307</f>
        <v>0.76511094108645761</v>
      </c>
      <c r="AJ172">
        <f t="shared" si="44"/>
        <v>1.3069999999999999</v>
      </c>
      <c r="AK172">
        <v>0.76500000000000001</v>
      </c>
      <c r="AL172">
        <v>0.99299999999999999</v>
      </c>
      <c r="AN172">
        <v>0</v>
      </c>
      <c r="AO172">
        <v>179.72200000000001</v>
      </c>
      <c r="AP172">
        <v>0</v>
      </c>
      <c r="AQ172">
        <v>104.80200000000001</v>
      </c>
      <c r="AR172">
        <f t="shared" si="42"/>
        <v>1.7148718535905803</v>
      </c>
    </row>
    <row r="173" spans="1:51" x14ac:dyDescent="0.25">
      <c r="B173" t="s">
        <v>261</v>
      </c>
      <c r="C173">
        <v>1146.96</v>
      </c>
      <c r="D173">
        <v>450</v>
      </c>
      <c r="E173">
        <v>6</v>
      </c>
      <c r="H173">
        <v>1672166</v>
      </c>
      <c r="I173">
        <f t="shared" si="45"/>
        <v>3344332</v>
      </c>
      <c r="J173" t="b">
        <v>0</v>
      </c>
      <c r="K173" t="s">
        <v>43</v>
      </c>
      <c r="L173" t="s">
        <v>207</v>
      </c>
      <c r="M173">
        <v>136.316</v>
      </c>
      <c r="N173">
        <v>67.433000000000007</v>
      </c>
      <c r="O173">
        <v>198.83699999999999</v>
      </c>
      <c r="P173">
        <v>107.113</v>
      </c>
      <c r="Q173">
        <v>7219.4790000000003</v>
      </c>
      <c r="R173">
        <v>215.601</v>
      </c>
      <c r="S173">
        <f t="shared" si="46"/>
        <v>47.937788213436242</v>
      </c>
      <c r="T173">
        <f t="shared" si="47"/>
        <v>84.96751732279813</v>
      </c>
      <c r="U173">
        <v>650.91700000000003</v>
      </c>
      <c r="V173">
        <v>0.214</v>
      </c>
      <c r="W173">
        <f>1/2.022</f>
        <v>0.49455984174085071</v>
      </c>
      <c r="X173">
        <f t="shared" si="43"/>
        <v>2.0219999999999998</v>
      </c>
      <c r="Y173">
        <v>0.495</v>
      </c>
      <c r="Z173">
        <v>0.54</v>
      </c>
      <c r="AA173">
        <v>186.166</v>
      </c>
      <c r="AB173">
        <v>161.6</v>
      </c>
      <c r="AC173">
        <v>215.55</v>
      </c>
      <c r="AD173">
        <v>167.99</v>
      </c>
      <c r="AE173">
        <v>23628.258000000002</v>
      </c>
      <c r="AF173">
        <f t="shared" si="41"/>
        <v>153.71485939882325</v>
      </c>
      <c r="AG173">
        <v>602.81700000000001</v>
      </c>
      <c r="AH173">
        <v>0.81699999999999995</v>
      </c>
      <c r="AI173">
        <f>1/1.152</f>
        <v>0.86805555555555558</v>
      </c>
      <c r="AJ173">
        <f t="shared" si="44"/>
        <v>1.1519999999999999</v>
      </c>
      <c r="AK173">
        <v>0.86799999999999999</v>
      </c>
      <c r="AL173">
        <v>1</v>
      </c>
      <c r="AN173">
        <v>0</v>
      </c>
      <c r="AO173">
        <v>111.11199999999999</v>
      </c>
      <c r="AP173">
        <v>0</v>
      </c>
      <c r="AQ173">
        <v>178.95400000000001</v>
      </c>
      <c r="AR173">
        <f t="shared" si="42"/>
        <v>0.62089699028800693</v>
      </c>
    </row>
    <row r="174" spans="1:51" x14ac:dyDescent="0.25">
      <c r="B174" t="s">
        <v>262</v>
      </c>
      <c r="C174">
        <v>1146.96</v>
      </c>
      <c r="D174">
        <v>600</v>
      </c>
      <c r="E174">
        <v>4</v>
      </c>
      <c r="G174" t="s">
        <v>200</v>
      </c>
      <c r="H174">
        <v>24219</v>
      </c>
      <c r="I174">
        <f t="shared" si="45"/>
        <v>48438</v>
      </c>
      <c r="J174" t="s">
        <v>55</v>
      </c>
      <c r="K174" t="s">
        <v>43</v>
      </c>
      <c r="M174">
        <v>137.72300000000001</v>
      </c>
      <c r="N174">
        <v>43.237000000000002</v>
      </c>
      <c r="O174">
        <v>173.37700000000001</v>
      </c>
      <c r="P174">
        <v>65.522000000000006</v>
      </c>
      <c r="Q174">
        <v>4676.79</v>
      </c>
      <c r="R174">
        <v>0</v>
      </c>
      <c r="S174">
        <f t="shared" si="46"/>
        <v>38.583267002749913</v>
      </c>
      <c r="T174">
        <f t="shared" si="47"/>
        <v>68.387060179539816</v>
      </c>
      <c r="U174">
        <v>492.35700000000003</v>
      </c>
      <c r="V174">
        <v>0.24199999999999999</v>
      </c>
      <c r="W174">
        <f>1/3.185</f>
        <v>0.31397174254317112</v>
      </c>
      <c r="X174">
        <f t="shared" si="43"/>
        <v>3.1850000000000001</v>
      </c>
      <c r="Y174">
        <v>0.314</v>
      </c>
      <c r="Z174">
        <v>0.56999999999999995</v>
      </c>
      <c r="AA174">
        <v>178.96700000000001</v>
      </c>
      <c r="AB174">
        <v>67.715000000000003</v>
      </c>
      <c r="AC174">
        <v>187.053</v>
      </c>
      <c r="AD174">
        <v>79.873000000000005</v>
      </c>
      <c r="AE174">
        <v>9518.0249999999996</v>
      </c>
      <c r="AF174">
        <f t="shared" si="41"/>
        <v>97.560365927973024</v>
      </c>
      <c r="AG174">
        <v>458.76499999999999</v>
      </c>
      <c r="AH174">
        <v>0.56799999999999995</v>
      </c>
      <c r="AI174">
        <f>1/2.643</f>
        <v>0.37835792659856227</v>
      </c>
      <c r="AJ174">
        <f t="shared" si="44"/>
        <v>2.6429999999999998</v>
      </c>
      <c r="AK174">
        <v>0.378</v>
      </c>
      <c r="AL174">
        <v>0.94299999999999995</v>
      </c>
      <c r="AN174">
        <v>0.52052643461031034</v>
      </c>
      <c r="AO174">
        <v>166.001</v>
      </c>
      <c r="AP174">
        <v>51.119</v>
      </c>
      <c r="AQ174">
        <v>84.221999999999994</v>
      </c>
      <c r="AR174">
        <f t="shared" si="42"/>
        <v>1.9709933271591749</v>
      </c>
    </row>
    <row r="175" spans="1:51" x14ac:dyDescent="0.25">
      <c r="B175" t="s">
        <v>263</v>
      </c>
      <c r="C175">
        <v>1146.96</v>
      </c>
      <c r="D175">
        <v>450</v>
      </c>
      <c r="E175">
        <v>6</v>
      </c>
      <c r="F175" t="s">
        <v>49</v>
      </c>
      <c r="G175" t="s">
        <v>200</v>
      </c>
      <c r="H175">
        <v>1972858</v>
      </c>
      <c r="I175">
        <f t="shared" si="45"/>
        <v>3945716</v>
      </c>
      <c r="J175" t="s">
        <v>55</v>
      </c>
      <c r="K175" t="s">
        <v>43</v>
      </c>
      <c r="M175">
        <v>68.784000000000006</v>
      </c>
      <c r="N175">
        <v>29.277000000000001</v>
      </c>
      <c r="O175">
        <v>84.033000000000001</v>
      </c>
      <c r="P175">
        <v>36.802999999999997</v>
      </c>
      <c r="Q175">
        <v>1581.6179999999999</v>
      </c>
      <c r="R175">
        <v>5.12</v>
      </c>
      <c r="S175">
        <f t="shared" si="46"/>
        <v>22.437572185203877</v>
      </c>
      <c r="T175">
        <f t="shared" si="47"/>
        <v>39.769561224635105</v>
      </c>
      <c r="U175">
        <v>200.489</v>
      </c>
      <c r="V175">
        <v>0.49399999999999999</v>
      </c>
      <c r="W175">
        <f>1/2.349</f>
        <v>0.42571306939123027</v>
      </c>
      <c r="X175">
        <f t="shared" si="43"/>
        <v>2.3490000000000002</v>
      </c>
      <c r="Y175">
        <v>0.42599999999999999</v>
      </c>
      <c r="Z175">
        <v>0.79200000000000004</v>
      </c>
      <c r="AA175">
        <v>75.802999999999997</v>
      </c>
      <c r="AB175">
        <v>50.116</v>
      </c>
      <c r="AC175">
        <v>87.820999999999998</v>
      </c>
      <c r="AD175">
        <v>55.17</v>
      </c>
      <c r="AE175">
        <v>2983.6640000000002</v>
      </c>
      <c r="AF175">
        <f t="shared" si="41"/>
        <v>54.622925589902273</v>
      </c>
      <c r="AG175">
        <v>224.977</v>
      </c>
      <c r="AH175">
        <v>0.74099999999999999</v>
      </c>
      <c r="AI175">
        <f>1/1.513</f>
        <v>0.66093853271645742</v>
      </c>
      <c r="AJ175">
        <f t="shared" si="44"/>
        <v>1.5129999999999999</v>
      </c>
      <c r="AK175">
        <v>0.66100000000000003</v>
      </c>
      <c r="AL175">
        <v>0.99399999999999999</v>
      </c>
      <c r="AN175">
        <v>0.68960974316195789</v>
      </c>
      <c r="AO175">
        <v>74.623000000000005</v>
      </c>
      <c r="AP175">
        <v>0</v>
      </c>
      <c r="AQ175">
        <v>49.929000000000002</v>
      </c>
      <c r="AR175">
        <f t="shared" si="42"/>
        <v>1.4945823068757635</v>
      </c>
    </row>
    <row r="176" spans="1:51" x14ac:dyDescent="0.25">
      <c r="B176" t="s">
        <v>264</v>
      </c>
      <c r="C176">
        <v>1146.96</v>
      </c>
      <c r="D176">
        <v>500</v>
      </c>
      <c r="E176">
        <v>5</v>
      </c>
      <c r="F176" t="s">
        <v>49</v>
      </c>
      <c r="G176" t="s">
        <v>192</v>
      </c>
      <c r="H176">
        <v>373811</v>
      </c>
      <c r="I176">
        <f t="shared" si="45"/>
        <v>747622</v>
      </c>
      <c r="J176" t="s">
        <v>55</v>
      </c>
      <c r="K176" t="s">
        <v>43</v>
      </c>
      <c r="M176">
        <v>140.19800000000001</v>
      </c>
      <c r="N176">
        <v>92.447999999999993</v>
      </c>
      <c r="O176">
        <v>318.77499999999998</v>
      </c>
      <c r="P176">
        <v>204.00700000000001</v>
      </c>
      <c r="Q176">
        <v>10179.562</v>
      </c>
      <c r="R176">
        <v>92.304000000000002</v>
      </c>
      <c r="S176">
        <f t="shared" si="46"/>
        <v>56.9232397322995</v>
      </c>
      <c r="T176">
        <f t="shared" si="47"/>
        <v>100.89381546953213</v>
      </c>
      <c r="U176">
        <v>1134.05</v>
      </c>
      <c r="V176">
        <v>9.9000000000000005E-2</v>
      </c>
      <c r="W176">
        <f>1/1.517</f>
        <v>0.65919578114700073</v>
      </c>
      <c r="X176">
        <f t="shared" si="43"/>
        <v>1.5169999999999999</v>
      </c>
      <c r="Y176">
        <v>0.65900000000000003</v>
      </c>
      <c r="Z176">
        <v>0.27600000000000002</v>
      </c>
      <c r="AA176">
        <v>261.80500000000001</v>
      </c>
      <c r="AB176">
        <v>178.82400000000001</v>
      </c>
      <c r="AC176">
        <v>320.27199999999999</v>
      </c>
      <c r="AD176">
        <v>204.48699999999999</v>
      </c>
      <c r="AE176">
        <v>36770.061999999998</v>
      </c>
      <c r="AF176">
        <f t="shared" si="41"/>
        <v>191.7552137491964</v>
      </c>
      <c r="AG176">
        <v>834.577</v>
      </c>
      <c r="AH176">
        <v>0.66300000000000003</v>
      </c>
      <c r="AI176">
        <f>1/1.464</f>
        <v>0.68306010928961747</v>
      </c>
      <c r="AJ176">
        <f t="shared" si="44"/>
        <v>1.464</v>
      </c>
      <c r="AK176">
        <v>0.68300000000000005</v>
      </c>
      <c r="AL176">
        <v>0.99</v>
      </c>
      <c r="AN176">
        <v>0.6324773365328259</v>
      </c>
      <c r="AO176">
        <v>313.34100000000001</v>
      </c>
      <c r="AP176">
        <v>0</v>
      </c>
      <c r="AQ176">
        <v>214.56399999999999</v>
      </c>
      <c r="AR176">
        <f t="shared" si="42"/>
        <v>1.4603614772282396</v>
      </c>
    </row>
    <row r="177" spans="1:51" x14ac:dyDescent="0.25">
      <c r="B177" t="s">
        <v>265</v>
      </c>
      <c r="C177">
        <v>1146.96</v>
      </c>
      <c r="D177">
        <v>600</v>
      </c>
      <c r="E177">
        <v>4</v>
      </c>
      <c r="G177" t="s">
        <v>200</v>
      </c>
      <c r="H177">
        <v>50070</v>
      </c>
      <c r="I177">
        <f t="shared" si="45"/>
        <v>100140</v>
      </c>
      <c r="J177" t="s">
        <v>55</v>
      </c>
      <c r="K177" t="s">
        <v>43</v>
      </c>
      <c r="M177">
        <v>150.822</v>
      </c>
      <c r="N177">
        <v>53.771999999999998</v>
      </c>
      <c r="O177">
        <v>172.114</v>
      </c>
      <c r="P177">
        <v>72.826999999999998</v>
      </c>
      <c r="Q177">
        <v>6369.6090000000004</v>
      </c>
      <c r="R177">
        <v>7.6109999999999998</v>
      </c>
      <c r="S177">
        <f t="shared" si="46"/>
        <v>45.027874875739457</v>
      </c>
      <c r="T177">
        <f t="shared" si="47"/>
        <v>79.809830221596144</v>
      </c>
      <c r="U177">
        <v>454.09300000000002</v>
      </c>
      <c r="V177">
        <v>0.38800000000000001</v>
      </c>
      <c r="W177">
        <f>1/2.805</f>
        <v>0.35650623885918004</v>
      </c>
      <c r="X177">
        <f t="shared" si="43"/>
        <v>2.8050000000000002</v>
      </c>
      <c r="Y177">
        <v>0.35699999999999998</v>
      </c>
      <c r="Z177">
        <v>0.72899999999999998</v>
      </c>
      <c r="AA177">
        <v>161.99799999999999</v>
      </c>
      <c r="AB177">
        <v>96.744</v>
      </c>
      <c r="AC177">
        <v>181.27500000000001</v>
      </c>
      <c r="AD177">
        <v>96.744</v>
      </c>
      <c r="AE177">
        <v>11133.029</v>
      </c>
      <c r="AF177">
        <f t="shared" si="41"/>
        <v>105.51316979410674</v>
      </c>
      <c r="AG177">
        <v>445.56200000000001</v>
      </c>
      <c r="AH177">
        <v>0.70499999999999996</v>
      </c>
      <c r="AI177">
        <f>1/1.851</f>
        <v>0.5402485143165856</v>
      </c>
      <c r="AJ177">
        <f t="shared" si="44"/>
        <v>1.851</v>
      </c>
      <c r="AK177">
        <v>0.54</v>
      </c>
      <c r="AL177">
        <v>0.998</v>
      </c>
      <c r="AN177">
        <v>0.5784324925772043</v>
      </c>
      <c r="AO177">
        <v>96.62</v>
      </c>
      <c r="AP177">
        <v>0</v>
      </c>
      <c r="AQ177">
        <v>141.78</v>
      </c>
      <c r="AR177">
        <f t="shared" si="42"/>
        <v>0.68147834673437724</v>
      </c>
    </row>
    <row r="178" spans="1:51" x14ac:dyDescent="0.25">
      <c r="B178" t="s">
        <v>266</v>
      </c>
      <c r="C178">
        <v>1146.96</v>
      </c>
      <c r="D178">
        <v>600</v>
      </c>
      <c r="G178" t="s">
        <v>42</v>
      </c>
      <c r="H178">
        <v>30833</v>
      </c>
      <c r="I178">
        <f t="shared" si="45"/>
        <v>61666</v>
      </c>
      <c r="J178" t="s">
        <v>55</v>
      </c>
      <c r="K178" t="s">
        <v>43</v>
      </c>
      <c r="M178">
        <v>185.05600000000001</v>
      </c>
      <c r="N178">
        <v>73.623000000000005</v>
      </c>
      <c r="O178">
        <v>204.36500000000001</v>
      </c>
      <c r="P178">
        <v>111.261</v>
      </c>
      <c r="Q178">
        <v>10700.575000000001</v>
      </c>
      <c r="R178">
        <v>15.516</v>
      </c>
      <c r="S178">
        <f t="shared" si="46"/>
        <v>58.361792384668213</v>
      </c>
      <c r="T178">
        <f t="shared" si="47"/>
        <v>103.44358365795338</v>
      </c>
      <c r="U178">
        <v>633.55499999999995</v>
      </c>
      <c r="V178">
        <v>0.33500000000000002</v>
      </c>
      <c r="W178">
        <f>1/2.514</f>
        <v>0.39777247414478922</v>
      </c>
      <c r="X178">
        <f t="shared" si="43"/>
        <v>2.5139999999999998</v>
      </c>
      <c r="Y178">
        <v>0.39800000000000002</v>
      </c>
      <c r="Z178">
        <v>0.67200000000000004</v>
      </c>
      <c r="AA178">
        <v>190.131</v>
      </c>
      <c r="AB178">
        <v>145.25</v>
      </c>
      <c r="AC178">
        <v>221.92099999999999</v>
      </c>
      <c r="AD178">
        <v>151.202</v>
      </c>
      <c r="AE178">
        <v>21689.902999999998</v>
      </c>
      <c r="AF178">
        <f t="shared" si="41"/>
        <v>147.27492318789373</v>
      </c>
      <c r="AG178">
        <v>581.28300000000002</v>
      </c>
      <c r="AH178">
        <v>0.80700000000000005</v>
      </c>
      <c r="AI178">
        <f>1/0.807</f>
        <v>1.2391573729863692</v>
      </c>
      <c r="AJ178">
        <f t="shared" si="44"/>
        <v>0.80700000000000005</v>
      </c>
      <c r="AK178">
        <v>0.76400000000000001</v>
      </c>
      <c r="AL178">
        <v>0.998</v>
      </c>
      <c r="AN178">
        <v>0.60466483261333415</v>
      </c>
      <c r="AO178">
        <v>151.84</v>
      </c>
      <c r="AP178">
        <v>0</v>
      </c>
      <c r="AQ178">
        <v>154.73099999999999</v>
      </c>
      <c r="AR178">
        <f t="shared" si="42"/>
        <v>0.9813159612488771</v>
      </c>
    </row>
    <row r="179" spans="1:51" x14ac:dyDescent="0.25">
      <c r="B179" t="s">
        <v>267</v>
      </c>
      <c r="C179">
        <v>1146.96</v>
      </c>
      <c r="D179">
        <v>500</v>
      </c>
      <c r="F179" t="s">
        <v>49</v>
      </c>
      <c r="H179">
        <v>271770</v>
      </c>
      <c r="I179">
        <f t="shared" si="45"/>
        <v>543540</v>
      </c>
      <c r="J179" t="s">
        <v>55</v>
      </c>
      <c r="K179" t="s">
        <v>43</v>
      </c>
      <c r="L179" t="s">
        <v>268</v>
      </c>
      <c r="M179">
        <v>198.74299999999999</v>
      </c>
      <c r="N179">
        <v>54.365000000000002</v>
      </c>
      <c r="O179">
        <v>240.58099999999999</v>
      </c>
      <c r="P179">
        <v>97.369</v>
      </c>
      <c r="Q179">
        <v>8485.9349999999995</v>
      </c>
      <c r="R179">
        <v>45.648000000000003</v>
      </c>
      <c r="S179">
        <f t="shared" si="46"/>
        <v>51.972656310920314</v>
      </c>
      <c r="T179">
        <f t="shared" si="47"/>
        <v>92.119134820079594</v>
      </c>
      <c r="U179">
        <v>780.678</v>
      </c>
      <c r="V179">
        <v>0.17499999999999999</v>
      </c>
      <c r="W179">
        <f>1/3.656</f>
        <v>0.2735229759299781</v>
      </c>
      <c r="X179">
        <f t="shared" si="43"/>
        <v>3.6560000000000001</v>
      </c>
      <c r="Y179">
        <v>0.27400000000000002</v>
      </c>
      <c r="Z179">
        <v>0.51800000000000002</v>
      </c>
      <c r="AA179">
        <v>269.35899999999998</v>
      </c>
      <c r="AB179">
        <v>129.57300000000001</v>
      </c>
      <c r="AC179">
        <v>276.392</v>
      </c>
      <c r="AD179">
        <v>120.83799999999999</v>
      </c>
      <c r="AE179">
        <v>27411.704000000002</v>
      </c>
      <c r="AF179">
        <f t="shared" si="41"/>
        <v>165.56480302286474</v>
      </c>
      <c r="AG179">
        <v>691.85199999999998</v>
      </c>
      <c r="AH179">
        <v>0.72</v>
      </c>
      <c r="AI179">
        <f>1/2.079</f>
        <v>0.48100048100048098</v>
      </c>
      <c r="AJ179">
        <f t="shared" si="44"/>
        <v>2.0790000000000002</v>
      </c>
      <c r="AK179">
        <v>0.48099999999999998</v>
      </c>
      <c r="AL179">
        <v>0.997</v>
      </c>
      <c r="AN179">
        <v>0</v>
      </c>
      <c r="AO179">
        <v>124.527</v>
      </c>
      <c r="AP179">
        <v>0</v>
      </c>
      <c r="AQ179">
        <v>206.2</v>
      </c>
      <c r="AR179">
        <f t="shared" si="42"/>
        <v>0.60391367604267709</v>
      </c>
    </row>
    <row r="180" spans="1:51" s="6" customFormat="1" x14ac:dyDescent="0.25">
      <c r="A180" s="6" t="s">
        <v>269</v>
      </c>
      <c r="B180" s="6" t="s">
        <v>270</v>
      </c>
      <c r="C180" s="6">
        <v>1146.5999999999999</v>
      </c>
      <c r="D180" s="6">
        <v>500</v>
      </c>
      <c r="E180" s="6">
        <v>5</v>
      </c>
      <c r="F180" s="6" t="s">
        <v>46</v>
      </c>
      <c r="G180" s="6" t="s">
        <v>47</v>
      </c>
      <c r="H180" s="6">
        <v>288006</v>
      </c>
      <c r="I180" s="6">
        <f t="shared" si="45"/>
        <v>576012</v>
      </c>
      <c r="J180" s="6" t="b">
        <v>0</v>
      </c>
      <c r="K180" s="6" t="s">
        <v>43</v>
      </c>
      <c r="M180" s="6">
        <v>274.05599999999998</v>
      </c>
      <c r="N180" s="6">
        <v>64.168999999999997</v>
      </c>
      <c r="O180" s="6">
        <v>312.62400000000002</v>
      </c>
      <c r="P180" s="6">
        <v>108.366</v>
      </c>
      <c r="Q180" s="6">
        <v>13812.037</v>
      </c>
      <c r="R180" s="6">
        <v>1238.7929999999999</v>
      </c>
      <c r="S180" s="6">
        <f t="shared" si="46"/>
        <v>66.306168079872521</v>
      </c>
      <c r="T180" s="6">
        <f t="shared" si="47"/>
        <v>117.52462295195845</v>
      </c>
      <c r="U180" s="6">
        <v>991.96600000000001</v>
      </c>
      <c r="V180" s="6">
        <v>0.17599999999999999</v>
      </c>
      <c r="W180" s="6">
        <f>1/4.271</f>
        <v>0.23413720440177946</v>
      </c>
      <c r="X180" s="6">
        <f t="shared" si="43"/>
        <v>4.2709999999999999</v>
      </c>
      <c r="Y180" s="6">
        <v>0.23400000000000001</v>
      </c>
      <c r="Z180" s="6">
        <v>0.48899999999999999</v>
      </c>
      <c r="AA180" s="6">
        <v>321.07600000000002</v>
      </c>
      <c r="AB180" s="6">
        <v>109.407</v>
      </c>
      <c r="AC180" s="6">
        <v>311.43099999999998</v>
      </c>
      <c r="AD180" s="6">
        <v>106.53100000000001</v>
      </c>
      <c r="AE180" s="6">
        <v>27589.506000000001</v>
      </c>
      <c r="AF180" s="6">
        <f t="shared" si="41"/>
        <v>166.10089102711038</v>
      </c>
      <c r="AG180" s="6">
        <v>733.67399999999998</v>
      </c>
      <c r="AH180" s="6">
        <v>0.64400000000000002</v>
      </c>
      <c r="AI180" s="6">
        <f>1/2.935</f>
        <v>0.34071550255536626</v>
      </c>
      <c r="AJ180" s="6">
        <f t="shared" si="44"/>
        <v>2.9350000000000001</v>
      </c>
      <c r="AK180" s="6">
        <v>0.34100000000000003</v>
      </c>
      <c r="AL180" s="6">
        <v>1</v>
      </c>
      <c r="AN180" s="6">
        <v>0.46540322392983191</v>
      </c>
      <c r="AO180" s="6">
        <v>105.557</v>
      </c>
      <c r="AP180" s="6">
        <v>0</v>
      </c>
      <c r="AQ180" s="6">
        <v>312.24</v>
      </c>
      <c r="AR180" s="6">
        <f t="shared" si="42"/>
        <v>0.33806366897258516</v>
      </c>
      <c r="AY180"/>
    </row>
    <row r="181" spans="1:51" x14ac:dyDescent="0.25">
      <c r="B181" t="s">
        <v>271</v>
      </c>
      <c r="C181">
        <v>1146.5999999999999</v>
      </c>
      <c r="D181">
        <v>600</v>
      </c>
      <c r="H181">
        <v>61023</v>
      </c>
      <c r="I181">
        <f t="shared" si="45"/>
        <v>122046</v>
      </c>
      <c r="J181" t="b">
        <v>0</v>
      </c>
      <c r="K181" t="s">
        <v>43</v>
      </c>
      <c r="L181" t="s">
        <v>74</v>
      </c>
      <c r="M181">
        <v>264.85500000000002</v>
      </c>
      <c r="N181">
        <v>61.481999999999999</v>
      </c>
      <c r="O181">
        <v>270.267</v>
      </c>
      <c r="P181">
        <v>87.204999999999998</v>
      </c>
      <c r="Q181">
        <v>12789.316999999999</v>
      </c>
      <c r="R181">
        <v>167.87299999999999</v>
      </c>
      <c r="S181">
        <f t="shared" si="46"/>
        <v>63.804122426677253</v>
      </c>
      <c r="T181">
        <f t="shared" si="47"/>
        <v>113.08986249881109</v>
      </c>
      <c r="U181">
        <v>723.69299999999998</v>
      </c>
      <c r="V181">
        <v>0.307</v>
      </c>
      <c r="W181">
        <f>1/4.308</f>
        <v>0.23212627669452182</v>
      </c>
      <c r="X181">
        <f t="shared" si="43"/>
        <v>4.3079999999999998</v>
      </c>
      <c r="Y181">
        <v>0.23200000000000001</v>
      </c>
      <c r="Z181">
        <v>0.67900000000000005</v>
      </c>
      <c r="AA181">
        <v>277.93200000000002</v>
      </c>
      <c r="AB181">
        <v>84.25</v>
      </c>
      <c r="AC181">
        <v>270.27</v>
      </c>
      <c r="AD181">
        <v>85.634</v>
      </c>
      <c r="AE181">
        <v>18390.727999999999</v>
      </c>
      <c r="AF181">
        <f t="shared" si="41"/>
        <v>135.61241831041875</v>
      </c>
      <c r="AG181">
        <v>615.45500000000004</v>
      </c>
      <c r="AH181">
        <v>0.61</v>
      </c>
      <c r="AI181">
        <f>1/3.299</f>
        <v>0.30312215822976663</v>
      </c>
      <c r="AJ181">
        <f t="shared" si="44"/>
        <v>3.2989999999999995</v>
      </c>
      <c r="AK181">
        <v>0.30299999999999999</v>
      </c>
      <c r="AL181">
        <v>0.98599999999999999</v>
      </c>
      <c r="AN181">
        <v>0</v>
      </c>
      <c r="AO181">
        <v>260.63499999999999</v>
      </c>
      <c r="AP181">
        <v>0</v>
      </c>
      <c r="AQ181">
        <v>120.639</v>
      </c>
      <c r="AR181">
        <f t="shared" si="42"/>
        <v>2.1604539162294119</v>
      </c>
    </row>
    <row r="182" spans="1:51" x14ac:dyDescent="0.25">
      <c r="B182" t="s">
        <v>272</v>
      </c>
      <c r="C182">
        <v>1146.5999999999999</v>
      </c>
      <c r="D182">
        <v>600</v>
      </c>
      <c r="H182">
        <v>59848</v>
      </c>
      <c r="I182">
        <f t="shared" si="45"/>
        <v>119696</v>
      </c>
      <c r="J182" t="s">
        <v>55</v>
      </c>
      <c r="K182" t="s">
        <v>43</v>
      </c>
      <c r="M182">
        <v>138.86199999999999</v>
      </c>
      <c r="N182">
        <v>41.508000000000003</v>
      </c>
      <c r="O182">
        <v>158.196</v>
      </c>
      <c r="P182">
        <v>49.722000000000001</v>
      </c>
      <c r="Q182">
        <v>4526.9139999999998</v>
      </c>
      <c r="R182">
        <v>10.669</v>
      </c>
      <c r="S182">
        <f t="shared" si="46"/>
        <v>37.959998420756136</v>
      </c>
      <c r="T182">
        <f t="shared" si="47"/>
        <v>67.282345381236524</v>
      </c>
      <c r="U182">
        <v>396.66800000000001</v>
      </c>
      <c r="V182">
        <v>0.36199999999999999</v>
      </c>
      <c r="W182">
        <f>1/3.345</f>
        <v>0.29895366218236169</v>
      </c>
      <c r="X182">
        <f t="shared" si="43"/>
        <v>3.3450000000000006</v>
      </c>
      <c r="Y182">
        <v>0.29899999999999999</v>
      </c>
      <c r="Z182">
        <v>0.76200000000000001</v>
      </c>
      <c r="AA182">
        <v>170.28899999999999</v>
      </c>
      <c r="AB182">
        <v>74.563000000000002</v>
      </c>
      <c r="AC182">
        <v>166.904</v>
      </c>
      <c r="AD182">
        <v>75.721000000000004</v>
      </c>
      <c r="AE182">
        <v>9972.3459999999995</v>
      </c>
      <c r="AF182">
        <f t="shared" si="41"/>
        <v>99.861634274630205</v>
      </c>
      <c r="AG182">
        <v>421.55500000000001</v>
      </c>
      <c r="AH182">
        <v>0.70499999999999996</v>
      </c>
      <c r="AI182">
        <f>1/2.284</f>
        <v>0.43782837127845886</v>
      </c>
      <c r="AJ182">
        <f t="shared" si="44"/>
        <v>2.2839999999999998</v>
      </c>
      <c r="AK182">
        <v>0.438</v>
      </c>
      <c r="AL182">
        <v>0.997</v>
      </c>
      <c r="AN182">
        <v>0.53968652774330339</v>
      </c>
      <c r="AO182">
        <v>156.036</v>
      </c>
      <c r="AP182">
        <v>0</v>
      </c>
      <c r="AQ182">
        <v>62.889000000000003</v>
      </c>
      <c r="AR182">
        <f t="shared" si="42"/>
        <v>2.4811334255593187</v>
      </c>
    </row>
    <row r="183" spans="1:51" x14ac:dyDescent="0.25">
      <c r="B183" t="s">
        <v>273</v>
      </c>
      <c r="C183">
        <v>1146.5999999999999</v>
      </c>
      <c r="D183">
        <v>450</v>
      </c>
      <c r="G183" t="s">
        <v>184</v>
      </c>
      <c r="H183">
        <v>2640591</v>
      </c>
      <c r="I183">
        <f t="shared" si="45"/>
        <v>5281182</v>
      </c>
      <c r="J183" t="b">
        <v>0</v>
      </c>
      <c r="K183" t="s">
        <v>43</v>
      </c>
      <c r="M183">
        <v>174.095</v>
      </c>
      <c r="N183">
        <v>95.855999999999995</v>
      </c>
      <c r="O183">
        <v>236.29400000000001</v>
      </c>
      <c r="P183">
        <v>151.97800000000001</v>
      </c>
      <c r="Q183">
        <v>13106.843999999999</v>
      </c>
      <c r="R183">
        <v>1745.518</v>
      </c>
      <c r="S183">
        <f t="shared" si="46"/>
        <v>64.591315374968943</v>
      </c>
      <c r="T183">
        <f t="shared" si="47"/>
        <v>114.48512567141637</v>
      </c>
      <c r="U183">
        <v>806.57600000000002</v>
      </c>
      <c r="V183">
        <v>0.253</v>
      </c>
      <c r="W183">
        <f>1/1.816</f>
        <v>0.5506607929515418</v>
      </c>
      <c r="X183">
        <f t="shared" si="43"/>
        <v>1.8160000000000001</v>
      </c>
      <c r="Y183">
        <v>0.55100000000000005</v>
      </c>
      <c r="Z183">
        <v>0.60099999999999998</v>
      </c>
      <c r="AA183">
        <v>209.44800000000001</v>
      </c>
      <c r="AB183">
        <v>127.363</v>
      </c>
      <c r="AC183">
        <v>236.58500000000001</v>
      </c>
      <c r="AD183">
        <v>141.82</v>
      </c>
      <c r="AE183">
        <v>20951.16</v>
      </c>
      <c r="AF183">
        <f t="shared" si="41"/>
        <v>144.74515535934182</v>
      </c>
      <c r="AG183">
        <v>575.83699999999999</v>
      </c>
      <c r="AH183">
        <v>0.79400000000000004</v>
      </c>
      <c r="AI183">
        <f>1/1.645</f>
        <v>0.60790273556231</v>
      </c>
      <c r="AJ183">
        <f t="shared" si="44"/>
        <v>1.645</v>
      </c>
      <c r="AK183">
        <v>0.60799999999999998</v>
      </c>
      <c r="AL183">
        <v>0.996</v>
      </c>
      <c r="AN183">
        <v>0.60521020746510268</v>
      </c>
      <c r="AO183">
        <v>171.26900000000001</v>
      </c>
      <c r="AP183">
        <v>0</v>
      </c>
      <c r="AQ183">
        <v>185.64400000000001</v>
      </c>
      <c r="AR183">
        <f t="shared" si="42"/>
        <v>0.92256684837646252</v>
      </c>
    </row>
    <row r="184" spans="1:51" x14ac:dyDescent="0.25">
      <c r="B184" t="s">
        <v>274</v>
      </c>
      <c r="C184">
        <v>1146.5999999999999</v>
      </c>
      <c r="D184">
        <v>450</v>
      </c>
      <c r="F184" t="s">
        <v>144</v>
      </c>
      <c r="G184" t="s">
        <v>200</v>
      </c>
      <c r="H184">
        <v>1190383</v>
      </c>
      <c r="I184">
        <f t="shared" si="45"/>
        <v>2380766</v>
      </c>
      <c r="J184" t="s">
        <v>55</v>
      </c>
      <c r="K184" t="s">
        <v>43</v>
      </c>
      <c r="M184">
        <v>72.944000000000003</v>
      </c>
      <c r="N184">
        <v>51.295000000000002</v>
      </c>
      <c r="O184">
        <v>83.891999999999996</v>
      </c>
      <c r="P184">
        <v>58.472000000000001</v>
      </c>
      <c r="Q184">
        <v>2938.6689999999999</v>
      </c>
      <c r="R184">
        <v>6.5170000000000003</v>
      </c>
      <c r="S184">
        <f t="shared" si="46"/>
        <v>30.58443059665872</v>
      </c>
      <c r="T184">
        <f t="shared" si="47"/>
        <v>54.209491788800236</v>
      </c>
      <c r="U184">
        <v>294.30500000000001</v>
      </c>
      <c r="V184">
        <v>0.42599999999999999</v>
      </c>
      <c r="W184">
        <f>1/1.422</f>
        <v>0.70323488045007032</v>
      </c>
      <c r="X184">
        <f>1/W184</f>
        <v>1.4219999999999999</v>
      </c>
      <c r="Y184">
        <v>0.70299999999999996</v>
      </c>
      <c r="Z184">
        <v>0.77700000000000002</v>
      </c>
      <c r="AA184">
        <v>85.661000000000001</v>
      </c>
      <c r="AB184">
        <v>76.561000000000007</v>
      </c>
      <c r="AC184">
        <v>94.616</v>
      </c>
      <c r="AD184">
        <v>73.204999999999998</v>
      </c>
      <c r="AE184">
        <v>5150.8649999999998</v>
      </c>
      <c r="AF184">
        <f t="shared" si="41"/>
        <v>71.769526959566903</v>
      </c>
      <c r="AG184">
        <v>274.99799999999999</v>
      </c>
      <c r="AH184">
        <v>0.85599999999999998</v>
      </c>
      <c r="AI184">
        <f>1/1.119</f>
        <v>0.89365504915102767</v>
      </c>
      <c r="AJ184">
        <f>1/AI184</f>
        <v>1.119</v>
      </c>
      <c r="AK184">
        <v>0.89400000000000002</v>
      </c>
      <c r="AL184">
        <v>0.998</v>
      </c>
      <c r="AN184">
        <v>0.79899346224524004</v>
      </c>
      <c r="AO184">
        <v>68.543000000000006</v>
      </c>
      <c r="AP184">
        <v>0</v>
      </c>
      <c r="AQ184">
        <v>74.174000000000007</v>
      </c>
      <c r="AR184">
        <f t="shared" si="42"/>
        <v>0.92408391080432495</v>
      </c>
    </row>
    <row r="185" spans="1:51" x14ac:dyDescent="0.25">
      <c r="B185" t="s">
        <v>275</v>
      </c>
      <c r="C185">
        <v>1146.5999999999999</v>
      </c>
      <c r="D185">
        <v>450</v>
      </c>
      <c r="G185" t="s">
        <v>200</v>
      </c>
      <c r="H185">
        <v>1800658</v>
      </c>
      <c r="I185">
        <f t="shared" si="45"/>
        <v>3601316</v>
      </c>
      <c r="J185" t="b">
        <v>0</v>
      </c>
      <c r="K185" t="s">
        <v>43</v>
      </c>
      <c r="M185">
        <v>131.50800000000001</v>
      </c>
      <c r="N185">
        <v>67.352999999999994</v>
      </c>
      <c r="O185">
        <v>165.21799999999999</v>
      </c>
      <c r="P185">
        <v>101.38200000000001</v>
      </c>
      <c r="Q185">
        <v>6956.6530000000002</v>
      </c>
      <c r="R185">
        <v>291.10000000000002</v>
      </c>
      <c r="S185">
        <f t="shared" si="46"/>
        <v>47.057108120348047</v>
      </c>
      <c r="T185">
        <f t="shared" si="47"/>
        <v>83.406552500388116</v>
      </c>
      <c r="U185">
        <v>597.56799999999998</v>
      </c>
      <c r="V185">
        <v>0.245</v>
      </c>
      <c r="W185">
        <f>1/1.953</f>
        <v>0.51203277009728621</v>
      </c>
      <c r="X185">
        <f t="shared" ref="X185:X243" si="48">1/W185</f>
        <v>1.9530000000000001</v>
      </c>
      <c r="Y185">
        <v>0.51200000000000001</v>
      </c>
      <c r="Z185">
        <v>0.52200000000000002</v>
      </c>
      <c r="AA185">
        <v>156.38</v>
      </c>
      <c r="AB185">
        <v>108.916</v>
      </c>
      <c r="AC185">
        <v>165.84200000000001</v>
      </c>
      <c r="AD185">
        <v>102.10899999999999</v>
      </c>
      <c r="AE185">
        <v>13377.092000000001</v>
      </c>
      <c r="AF185">
        <f t="shared" si="41"/>
        <v>115.65937921327436</v>
      </c>
      <c r="AG185">
        <v>442.01900000000001</v>
      </c>
      <c r="AH185">
        <v>0.86</v>
      </c>
      <c r="AI185">
        <f>1/1.436</f>
        <v>0.69637883008356549</v>
      </c>
      <c r="AJ185">
        <f t="shared" ref="AJ185:AJ197" si="49">1/AI185</f>
        <v>1.4359999999999999</v>
      </c>
      <c r="AK185">
        <v>0.69599999999999995</v>
      </c>
      <c r="AL185">
        <v>1</v>
      </c>
      <c r="AN185">
        <v>0.6157329061288519</v>
      </c>
      <c r="AO185">
        <v>103.336</v>
      </c>
      <c r="AP185">
        <v>0</v>
      </c>
      <c r="AQ185">
        <v>152.66900000000001</v>
      </c>
      <c r="AR185">
        <f t="shared" si="42"/>
        <v>0.67686301737746357</v>
      </c>
    </row>
    <row r="186" spans="1:51" x14ac:dyDescent="0.25">
      <c r="B186" t="s">
        <v>276</v>
      </c>
      <c r="C186">
        <v>1146.5999999999999</v>
      </c>
      <c r="D186">
        <v>500</v>
      </c>
      <c r="F186" t="s">
        <v>49</v>
      </c>
      <c r="G186" t="s">
        <v>192</v>
      </c>
      <c r="H186">
        <v>501299</v>
      </c>
      <c r="I186">
        <f t="shared" si="45"/>
        <v>1002598</v>
      </c>
      <c r="J186" t="b">
        <v>0</v>
      </c>
      <c r="K186" t="s">
        <v>43</v>
      </c>
      <c r="L186" t="s">
        <v>44</v>
      </c>
      <c r="M186">
        <v>253.69200000000001</v>
      </c>
      <c r="N186">
        <v>38.994</v>
      </c>
      <c r="O186">
        <v>321.46100000000001</v>
      </c>
      <c r="P186">
        <v>71.238</v>
      </c>
      <c r="Q186">
        <v>7769.4440000000004</v>
      </c>
      <c r="R186">
        <v>75.019000000000005</v>
      </c>
      <c r="S186">
        <f t="shared" si="46"/>
        <v>49.730180326953729</v>
      </c>
      <c r="T186">
        <f t="shared" si="47"/>
        <v>88.144449626734868</v>
      </c>
      <c r="U186">
        <v>814.87900000000002</v>
      </c>
      <c r="V186">
        <v>0.14699999999999999</v>
      </c>
      <c r="W186">
        <f>1/6.506</f>
        <v>0.1537042729787888</v>
      </c>
      <c r="X186">
        <f t="shared" si="48"/>
        <v>6.5060000000000002</v>
      </c>
      <c r="Y186">
        <v>0.154</v>
      </c>
      <c r="Z186">
        <v>0.47</v>
      </c>
      <c r="AA186">
        <v>329.79899999999998</v>
      </c>
      <c r="AB186">
        <v>58.418999999999997</v>
      </c>
      <c r="AC186">
        <v>333.33699999999999</v>
      </c>
      <c r="AD186">
        <v>69.102999999999994</v>
      </c>
      <c r="AE186">
        <v>15131.79</v>
      </c>
      <c r="AF186">
        <f t="shared" si="41"/>
        <v>123.01134094058158</v>
      </c>
      <c r="AG186">
        <v>714.55200000000002</v>
      </c>
      <c r="AH186">
        <v>0.372</v>
      </c>
      <c r="AI186">
        <f>1/5.645</f>
        <v>0.17714791851195749</v>
      </c>
      <c r="AJ186">
        <f t="shared" si="49"/>
        <v>5.6449999999999996</v>
      </c>
      <c r="AK186">
        <v>0.17699999999999999</v>
      </c>
      <c r="AL186">
        <v>0.91600000000000004</v>
      </c>
      <c r="AN186">
        <v>0</v>
      </c>
      <c r="AO186">
        <v>327.80099999999999</v>
      </c>
      <c r="AP186">
        <v>0</v>
      </c>
      <c r="AQ186">
        <v>73.888999999999996</v>
      </c>
      <c r="AR186">
        <f t="shared" si="42"/>
        <v>4.4363978400032478</v>
      </c>
    </row>
    <row r="187" spans="1:51" x14ac:dyDescent="0.25">
      <c r="B187" t="s">
        <v>277</v>
      </c>
      <c r="C187">
        <v>1146.5999999999999</v>
      </c>
      <c r="D187">
        <v>450</v>
      </c>
      <c r="E187">
        <v>6</v>
      </c>
      <c r="F187" t="s">
        <v>49</v>
      </c>
      <c r="G187" t="s">
        <v>42</v>
      </c>
      <c r="H187">
        <v>562595</v>
      </c>
      <c r="I187">
        <f t="shared" si="45"/>
        <v>1125190</v>
      </c>
      <c r="J187" t="s">
        <v>55</v>
      </c>
      <c r="K187" t="s">
        <v>43</v>
      </c>
      <c r="M187">
        <v>113.017</v>
      </c>
      <c r="N187">
        <v>59.454000000000001</v>
      </c>
      <c r="O187">
        <v>137.87200000000001</v>
      </c>
      <c r="P187">
        <v>88.89</v>
      </c>
      <c r="Q187">
        <v>5277.3639999999996</v>
      </c>
      <c r="R187">
        <v>29.439</v>
      </c>
      <c r="S187">
        <f t="shared" si="46"/>
        <v>40.985816256242039</v>
      </c>
      <c r="T187">
        <f t="shared" si="47"/>
        <v>72.645467855882103</v>
      </c>
      <c r="U187">
        <v>452.892</v>
      </c>
      <c r="V187">
        <v>0.32300000000000001</v>
      </c>
      <c r="W187">
        <f>1/1.901</f>
        <v>0.52603892688058917</v>
      </c>
      <c r="X187">
        <f t="shared" si="48"/>
        <v>1.901</v>
      </c>
      <c r="Y187">
        <v>0.52600000000000002</v>
      </c>
      <c r="Z187">
        <v>0.63800000000000001</v>
      </c>
      <c r="AA187">
        <v>141.28899999999999</v>
      </c>
      <c r="AB187">
        <v>118.289</v>
      </c>
      <c r="AC187">
        <v>167.49600000000001</v>
      </c>
      <c r="AD187">
        <v>123.07</v>
      </c>
      <c r="AE187">
        <v>13150.713</v>
      </c>
      <c r="AF187">
        <f t="shared" si="41"/>
        <v>114.67655819739272</v>
      </c>
      <c r="AG187">
        <v>449.52300000000002</v>
      </c>
      <c r="AH187">
        <v>0.81799999999999995</v>
      </c>
      <c r="AI187">
        <f>1/1.192</f>
        <v>0.83892617449664431</v>
      </c>
      <c r="AJ187">
        <f t="shared" si="49"/>
        <v>1.1919999999999999</v>
      </c>
      <c r="AK187">
        <v>0.83899999999999997</v>
      </c>
      <c r="AL187">
        <v>0.998</v>
      </c>
      <c r="AN187">
        <v>0.63896487185639972</v>
      </c>
      <c r="AO187">
        <v>119.77500000000001</v>
      </c>
      <c r="AP187">
        <v>0</v>
      </c>
      <c r="AQ187">
        <v>93.043000000000006</v>
      </c>
      <c r="AR187">
        <f t="shared" si="42"/>
        <v>1.2873080188729942</v>
      </c>
    </row>
    <row r="188" spans="1:51" x14ac:dyDescent="0.25">
      <c r="B188" t="s">
        <v>278</v>
      </c>
      <c r="C188">
        <v>1146.5999999999999</v>
      </c>
      <c r="D188">
        <v>500</v>
      </c>
      <c r="E188">
        <v>5</v>
      </c>
      <c r="G188" t="s">
        <v>200</v>
      </c>
      <c r="H188">
        <v>448264</v>
      </c>
      <c r="I188">
        <f t="shared" si="45"/>
        <v>896528</v>
      </c>
      <c r="J188" t="b">
        <v>0</v>
      </c>
      <c r="K188" t="s">
        <v>43</v>
      </c>
      <c r="M188">
        <v>119.711</v>
      </c>
      <c r="N188">
        <v>88.225999999999999</v>
      </c>
      <c r="O188">
        <v>190.57400000000001</v>
      </c>
      <c r="P188">
        <v>135.244</v>
      </c>
      <c r="Q188">
        <v>8295.1</v>
      </c>
      <c r="R188">
        <v>354.03</v>
      </c>
      <c r="S188">
        <f t="shared" si="46"/>
        <v>51.384942705846839</v>
      </c>
      <c r="T188">
        <f t="shared" si="47"/>
        <v>91.077439577537533</v>
      </c>
      <c r="U188">
        <v>740.71</v>
      </c>
      <c r="V188">
        <v>0.19</v>
      </c>
      <c r="W188">
        <f>1/1.357</f>
        <v>0.73691967575534267</v>
      </c>
      <c r="X188">
        <f t="shared" si="48"/>
        <v>1.357</v>
      </c>
      <c r="Y188">
        <v>0.73699999999999999</v>
      </c>
      <c r="Z188">
        <v>0.45200000000000001</v>
      </c>
      <c r="AA188">
        <v>165.19800000000001</v>
      </c>
      <c r="AB188">
        <v>138.07400000000001</v>
      </c>
      <c r="AC188">
        <v>185.97800000000001</v>
      </c>
      <c r="AD188">
        <v>135.27500000000001</v>
      </c>
      <c r="AE188">
        <v>17914.541000000001</v>
      </c>
      <c r="AF188">
        <f t="shared" si="41"/>
        <v>133.84521283930928</v>
      </c>
      <c r="AG188">
        <v>518.69000000000005</v>
      </c>
      <c r="AH188">
        <v>0.83699999999999997</v>
      </c>
      <c r="AI188">
        <f>1/1.196</f>
        <v>0.83612040133779264</v>
      </c>
      <c r="AJ188">
        <f t="shared" si="49"/>
        <v>1.196</v>
      </c>
      <c r="AK188">
        <v>0.83599999999999997</v>
      </c>
      <c r="AL188">
        <v>0.98799999999999999</v>
      </c>
      <c r="AN188">
        <v>0.69438722515164275</v>
      </c>
      <c r="AO188">
        <v>159.43700000000001</v>
      </c>
      <c r="AP188">
        <v>0</v>
      </c>
      <c r="AQ188">
        <v>167.64599999999999</v>
      </c>
      <c r="AR188">
        <f t="shared" si="42"/>
        <v>0.95103372582704049</v>
      </c>
    </row>
    <row r="189" spans="1:51" x14ac:dyDescent="0.25">
      <c r="B189" t="s">
        <v>279</v>
      </c>
      <c r="C189">
        <v>1146.5999999999999</v>
      </c>
      <c r="D189">
        <v>600</v>
      </c>
      <c r="G189" t="s">
        <v>200</v>
      </c>
      <c r="H189">
        <v>47680</v>
      </c>
      <c r="I189">
        <f t="shared" si="45"/>
        <v>95360</v>
      </c>
      <c r="J189" t="b">
        <v>0</v>
      </c>
      <c r="K189" t="s">
        <v>43</v>
      </c>
      <c r="L189" t="s">
        <v>44</v>
      </c>
      <c r="M189"/>
      <c r="R189">
        <v>533.33799999999997</v>
      </c>
      <c r="S189">
        <f t="shared" si="46"/>
        <v>0</v>
      </c>
      <c r="T189">
        <f t="shared" si="47"/>
        <v>0</v>
      </c>
      <c r="V189"/>
      <c r="W189"/>
      <c r="X189" t="e">
        <f t="shared" si="48"/>
        <v>#DIV/0!</v>
      </c>
      <c r="Y189"/>
      <c r="Z189"/>
      <c r="AF189">
        <f t="shared" si="41"/>
        <v>0</v>
      </c>
      <c r="AJ189" t="e">
        <f t="shared" si="49"/>
        <v>#DIV/0!</v>
      </c>
      <c r="AN189" t="e">
        <v>#DIV/0!</v>
      </c>
    </row>
    <row r="190" spans="1:51" x14ac:dyDescent="0.25">
      <c r="B190" t="s">
        <v>280</v>
      </c>
      <c r="C190">
        <v>1146.5999999999999</v>
      </c>
      <c r="D190">
        <v>600</v>
      </c>
      <c r="E190">
        <v>4</v>
      </c>
      <c r="G190" t="s">
        <v>192</v>
      </c>
      <c r="H190">
        <v>97697</v>
      </c>
      <c r="I190">
        <f t="shared" si="45"/>
        <v>195394</v>
      </c>
      <c r="J190" t="b">
        <v>0</v>
      </c>
      <c r="K190" t="s">
        <v>43</v>
      </c>
      <c r="M190">
        <v>127.321</v>
      </c>
      <c r="N190">
        <v>101.369</v>
      </c>
      <c r="O190">
        <v>195.77099999999999</v>
      </c>
      <c r="P190">
        <v>136.52699999999999</v>
      </c>
      <c r="Q190">
        <v>10138.735000000001</v>
      </c>
      <c r="R190">
        <v>859.21900000000005</v>
      </c>
      <c r="S190">
        <f t="shared" si="46"/>
        <v>56.808974501372717</v>
      </c>
      <c r="T190">
        <f t="shared" si="47"/>
        <v>100.69128562095133</v>
      </c>
      <c r="U190">
        <v>663.22799999999995</v>
      </c>
      <c r="V190">
        <v>0.28999999999999998</v>
      </c>
      <c r="W190">
        <f>1/1.256</f>
        <v>0.79617834394904463</v>
      </c>
      <c r="X190">
        <f t="shared" si="48"/>
        <v>1.256</v>
      </c>
      <c r="Y190">
        <v>0.79600000000000004</v>
      </c>
      <c r="Z190">
        <v>0.54300000000000004</v>
      </c>
      <c r="AA190">
        <v>187.244</v>
      </c>
      <c r="AB190">
        <v>133.89599999999999</v>
      </c>
      <c r="AC190">
        <v>203.648</v>
      </c>
      <c r="AD190">
        <v>138.155</v>
      </c>
      <c r="AE190">
        <v>19690.895</v>
      </c>
      <c r="AF190">
        <f t="shared" si="41"/>
        <v>140.32424950805901</v>
      </c>
      <c r="AG190">
        <v>549.07100000000003</v>
      </c>
      <c r="AH190">
        <v>0.82099999999999995</v>
      </c>
      <c r="AI190">
        <f>1/1.398</f>
        <v>0.71530758226037205</v>
      </c>
      <c r="AJ190">
        <f t="shared" si="49"/>
        <v>1.3979999999999999</v>
      </c>
      <c r="AK190">
        <v>0.71499999999999997</v>
      </c>
      <c r="AL190">
        <v>0.99399999999999999</v>
      </c>
      <c r="AN190">
        <v>0.74413362400059568</v>
      </c>
      <c r="AO190">
        <v>203.614</v>
      </c>
      <c r="AP190">
        <v>0</v>
      </c>
      <c r="AQ190">
        <v>152.83500000000001</v>
      </c>
      <c r="AR190">
        <f t="shared" si="42"/>
        <v>1.3322471946870809</v>
      </c>
    </row>
    <row r="191" spans="1:51" x14ac:dyDescent="0.25">
      <c r="B191" t="s">
        <v>281</v>
      </c>
      <c r="C191">
        <v>1146.5999999999999</v>
      </c>
      <c r="D191">
        <v>500</v>
      </c>
      <c r="H191">
        <v>353715</v>
      </c>
      <c r="I191">
        <f t="shared" si="45"/>
        <v>707430</v>
      </c>
      <c r="J191" t="b">
        <v>0</v>
      </c>
      <c r="K191" t="s">
        <v>43</v>
      </c>
      <c r="L191" t="s">
        <v>44</v>
      </c>
      <c r="M191">
        <v>181.13300000000001</v>
      </c>
      <c r="N191">
        <v>56.99</v>
      </c>
      <c r="O191">
        <v>247.51499999999999</v>
      </c>
      <c r="P191">
        <v>99.959000000000003</v>
      </c>
      <c r="Q191">
        <v>8107.4070000000002</v>
      </c>
      <c r="R191">
        <v>426.69</v>
      </c>
      <c r="S191">
        <f t="shared" si="46"/>
        <v>50.800273615559078</v>
      </c>
      <c r="T191">
        <f t="shared" si="47"/>
        <v>90.041140596951564</v>
      </c>
      <c r="U191">
        <v>740.25</v>
      </c>
      <c r="V191">
        <v>0.186</v>
      </c>
      <c r="W191">
        <f>1/3.178</f>
        <v>0.31466331025802391</v>
      </c>
      <c r="X191">
        <f t="shared" si="48"/>
        <v>3.1779999999999999</v>
      </c>
      <c r="Y191">
        <v>0.315</v>
      </c>
      <c r="Z191">
        <v>0.47699999999999998</v>
      </c>
      <c r="AA191">
        <v>230.482</v>
      </c>
      <c r="AB191">
        <v>94.311000000000007</v>
      </c>
      <c r="AC191">
        <v>249.11500000000001</v>
      </c>
      <c r="AD191">
        <v>99.100999999999999</v>
      </c>
      <c r="AE191">
        <v>17072.153999999999</v>
      </c>
      <c r="AF191">
        <f t="shared" si="41"/>
        <v>130.66045308355547</v>
      </c>
      <c r="AG191">
        <v>572.75900000000001</v>
      </c>
      <c r="AH191">
        <v>0.65400000000000003</v>
      </c>
      <c r="AI191">
        <f>1/2.444</f>
        <v>0.40916530278232405</v>
      </c>
      <c r="AJ191">
        <f t="shared" si="49"/>
        <v>2.444</v>
      </c>
      <c r="AK191">
        <v>0.40899999999999997</v>
      </c>
      <c r="AL191">
        <v>0.997</v>
      </c>
      <c r="AN191">
        <v>0</v>
      </c>
      <c r="AO191">
        <v>223.71100000000001</v>
      </c>
      <c r="AP191">
        <v>0</v>
      </c>
      <c r="AQ191">
        <v>143.33799999999999</v>
      </c>
      <c r="AR191">
        <f t="shared" si="42"/>
        <v>1.5607236043477655</v>
      </c>
    </row>
    <row r="192" spans="1:51" s="6" customFormat="1" x14ac:dyDescent="0.25">
      <c r="A192" s="6" t="s">
        <v>282</v>
      </c>
      <c r="B192" s="6" t="s">
        <v>283</v>
      </c>
      <c r="C192" s="6">
        <v>1179.5</v>
      </c>
      <c r="D192" s="6">
        <v>600</v>
      </c>
      <c r="E192" s="6">
        <v>4</v>
      </c>
      <c r="G192" s="6" t="s">
        <v>42</v>
      </c>
      <c r="H192" s="6">
        <v>320916</v>
      </c>
      <c r="I192" s="6">
        <f t="shared" si="45"/>
        <v>641832</v>
      </c>
      <c r="J192" s="6" t="b">
        <v>0</v>
      </c>
      <c r="K192" s="6" t="s">
        <v>43</v>
      </c>
      <c r="M192" s="6">
        <v>106.634</v>
      </c>
      <c r="N192" s="6">
        <v>37.290999999999997</v>
      </c>
      <c r="O192" s="6">
        <v>102.21</v>
      </c>
      <c r="P192" s="6">
        <v>44.866999999999997</v>
      </c>
      <c r="Q192" s="6">
        <v>3123.1109999999999</v>
      </c>
      <c r="R192" s="6">
        <v>354.45100000000002</v>
      </c>
      <c r="S192" s="6">
        <f t="shared" si="46"/>
        <v>31.529622689612776</v>
      </c>
      <c r="T192" s="6">
        <f t="shared" si="47"/>
        <v>55.884801153802094</v>
      </c>
      <c r="U192" s="6">
        <v>273.63400000000001</v>
      </c>
      <c r="V192" s="6">
        <v>0.52400000000000002</v>
      </c>
      <c r="W192" s="6">
        <f>1/2.86</f>
        <v>0.34965034965034969</v>
      </c>
      <c r="X192" s="6">
        <f t="shared" si="48"/>
        <v>2.86</v>
      </c>
      <c r="Y192" s="6">
        <v>0.35</v>
      </c>
      <c r="Z192" s="6">
        <v>0.77800000000000002</v>
      </c>
      <c r="AA192" s="6">
        <v>105.702</v>
      </c>
      <c r="AB192" s="6">
        <v>48.484000000000002</v>
      </c>
      <c r="AC192" s="6">
        <v>102.08199999999999</v>
      </c>
      <c r="AD192" s="6">
        <v>44.470999999999997</v>
      </c>
      <c r="AE192" s="6">
        <v>4025.0859999999998</v>
      </c>
      <c r="AF192" s="6">
        <f t="shared" si="41"/>
        <v>63.443565473576591</v>
      </c>
      <c r="AG192" s="6">
        <v>259.32299999999998</v>
      </c>
      <c r="AH192" s="6">
        <v>0.752</v>
      </c>
      <c r="AI192" s="6">
        <f>1/2.18</f>
        <v>0.4587155963302752</v>
      </c>
      <c r="AJ192" s="6">
        <f t="shared" si="49"/>
        <v>2.1800000000000002</v>
      </c>
      <c r="AK192" s="6">
        <v>0.45900000000000002</v>
      </c>
      <c r="AL192" s="6">
        <v>1</v>
      </c>
      <c r="AN192" s="6">
        <v>0.58831180167397512</v>
      </c>
      <c r="AO192" s="6">
        <v>94.225999999999999</v>
      </c>
      <c r="AP192" s="6">
        <v>0</v>
      </c>
      <c r="AQ192" s="6">
        <v>72.012</v>
      </c>
      <c r="AR192" s="6">
        <f t="shared" si="42"/>
        <v>1.3084763650502693</v>
      </c>
      <c r="AY192"/>
    </row>
    <row r="193" spans="1:51" x14ac:dyDescent="0.25">
      <c r="B193" t="s">
        <v>284</v>
      </c>
      <c r="C193">
        <v>1179.5</v>
      </c>
      <c r="D193">
        <v>600</v>
      </c>
      <c r="E193">
        <v>4</v>
      </c>
      <c r="F193" t="s">
        <v>49</v>
      </c>
      <c r="G193" t="s">
        <v>192</v>
      </c>
      <c r="H193">
        <v>705784</v>
      </c>
      <c r="I193">
        <f t="shared" si="45"/>
        <v>1411568</v>
      </c>
      <c r="J193" t="b">
        <v>0</v>
      </c>
      <c r="K193" t="s">
        <v>43</v>
      </c>
      <c r="M193">
        <v>63.712000000000003</v>
      </c>
      <c r="N193">
        <v>41.042000000000002</v>
      </c>
      <c r="O193">
        <v>87.557000000000002</v>
      </c>
      <c r="P193">
        <v>57.654000000000003</v>
      </c>
      <c r="Q193">
        <v>2036.1479999999999</v>
      </c>
      <c r="R193">
        <v>944.64499999999998</v>
      </c>
      <c r="S193">
        <f t="shared" si="46"/>
        <v>25.458319625092166</v>
      </c>
      <c r="T193">
        <f t="shared" si="47"/>
        <v>45.123696657078085</v>
      </c>
      <c r="U193">
        <v>267.654</v>
      </c>
      <c r="V193">
        <v>0.36</v>
      </c>
      <c r="W193">
        <f>1/1.552</f>
        <v>0.64432989690721643</v>
      </c>
      <c r="X193">
        <f t="shared" si="48"/>
        <v>1.5520000000000003</v>
      </c>
      <c r="Y193">
        <v>0.64400000000000002</v>
      </c>
      <c r="Z193">
        <v>0.63200000000000001</v>
      </c>
      <c r="AA193">
        <v>73.947000000000003</v>
      </c>
      <c r="AB193">
        <v>54.069000000000003</v>
      </c>
      <c r="AC193">
        <v>86.451999999999998</v>
      </c>
      <c r="AD193">
        <v>56.798999999999999</v>
      </c>
      <c r="AE193">
        <v>3140.1979999999999</v>
      </c>
      <c r="AF193">
        <f t="shared" si="41"/>
        <v>56.037469607397512</v>
      </c>
      <c r="AG193">
        <v>227.458</v>
      </c>
      <c r="AH193">
        <v>0.76300000000000001</v>
      </c>
      <c r="AI193">
        <f>1/1.368</f>
        <v>0.73099415204678353</v>
      </c>
      <c r="AJ193">
        <f t="shared" si="49"/>
        <v>1.3680000000000001</v>
      </c>
      <c r="AK193">
        <v>0.73099999999999998</v>
      </c>
      <c r="AL193">
        <v>1</v>
      </c>
      <c r="AN193">
        <v>0.64564408371478743</v>
      </c>
      <c r="AO193">
        <v>65.334999999999994</v>
      </c>
      <c r="AP193">
        <v>0</v>
      </c>
      <c r="AQ193">
        <v>88.671000000000006</v>
      </c>
      <c r="AR193">
        <f t="shared" si="42"/>
        <v>0.73682489201655543</v>
      </c>
    </row>
    <row r="194" spans="1:51" x14ac:dyDescent="0.25">
      <c r="B194" s="33" t="s">
        <v>285</v>
      </c>
      <c r="C194">
        <v>1179.5</v>
      </c>
      <c r="D194">
        <v>500</v>
      </c>
      <c r="E194">
        <v>5</v>
      </c>
      <c r="G194" t="s">
        <v>187</v>
      </c>
      <c r="H194">
        <v>4624891</v>
      </c>
      <c r="I194">
        <f t="shared" si="45"/>
        <v>9249782</v>
      </c>
      <c r="J194" t="b">
        <v>0</v>
      </c>
      <c r="K194" t="s">
        <v>43</v>
      </c>
      <c r="M194">
        <v>59.744999999999997</v>
      </c>
      <c r="N194">
        <v>24.791</v>
      </c>
      <c r="O194">
        <v>65.808999999999997</v>
      </c>
      <c r="P194">
        <v>35.015000000000001</v>
      </c>
      <c r="Q194">
        <v>1163.259</v>
      </c>
      <c r="R194">
        <v>475.56099999999998</v>
      </c>
      <c r="S194">
        <f t="shared" si="46"/>
        <v>19.242578826453332</v>
      </c>
      <c r="T194">
        <f t="shared" si="47"/>
        <v>34.106582942300157</v>
      </c>
      <c r="U194">
        <v>175.06399999999999</v>
      </c>
      <c r="V194">
        <v>0.47699999999999998</v>
      </c>
      <c r="W194">
        <f>1/2.41</f>
        <v>0.41493775933609955</v>
      </c>
      <c r="X194">
        <f t="shared" si="48"/>
        <v>2.41</v>
      </c>
      <c r="Y194">
        <v>0.41499999999999998</v>
      </c>
      <c r="Z194">
        <v>0.77900000000000003</v>
      </c>
      <c r="AA194">
        <v>59.764000000000003</v>
      </c>
      <c r="AB194">
        <v>30.751999999999999</v>
      </c>
      <c r="AC194">
        <v>66.311000000000007</v>
      </c>
      <c r="AD194">
        <v>35.787999999999997</v>
      </c>
      <c r="AE194">
        <v>1443.4570000000001</v>
      </c>
      <c r="AF194">
        <f t="shared" si="41"/>
        <v>37.992854591357045</v>
      </c>
      <c r="AG194">
        <v>162.98500000000001</v>
      </c>
      <c r="AH194">
        <v>0.68300000000000005</v>
      </c>
      <c r="AI194">
        <f>1/1.943</f>
        <v>0.51466803911477099</v>
      </c>
      <c r="AJ194">
        <f t="shared" si="49"/>
        <v>1.9429999999999998</v>
      </c>
      <c r="AK194">
        <v>0.51500000000000001</v>
      </c>
      <c r="AL194">
        <v>0.95</v>
      </c>
      <c r="AN194">
        <v>0.64242658034860667</v>
      </c>
      <c r="AO194">
        <v>48.448999999999998</v>
      </c>
      <c r="AP194">
        <v>0</v>
      </c>
      <c r="AQ194">
        <v>53.344999999999999</v>
      </c>
      <c r="AR194">
        <f t="shared" si="42"/>
        <v>0.90822007685818729</v>
      </c>
    </row>
    <row r="195" spans="1:51" x14ac:dyDescent="0.25">
      <c r="B195" t="s">
        <v>286</v>
      </c>
      <c r="C195">
        <v>1179.5</v>
      </c>
      <c r="D195">
        <v>500</v>
      </c>
      <c r="E195">
        <v>5</v>
      </c>
      <c r="F195" t="s">
        <v>49</v>
      </c>
      <c r="G195" t="s">
        <v>42</v>
      </c>
      <c r="H195">
        <v>6333086</v>
      </c>
      <c r="I195">
        <f t="shared" si="45"/>
        <v>12666172</v>
      </c>
      <c r="J195" t="b">
        <v>0</v>
      </c>
      <c r="K195" t="s">
        <v>43</v>
      </c>
      <c r="M195">
        <v>63.124000000000002</v>
      </c>
      <c r="N195">
        <v>37.677</v>
      </c>
      <c r="O195">
        <v>65.474999999999994</v>
      </c>
      <c r="P195">
        <v>53.679000000000002</v>
      </c>
      <c r="Q195">
        <v>1867.951</v>
      </c>
      <c r="R195">
        <v>1500.11</v>
      </c>
      <c r="S195">
        <f t="shared" si="46"/>
        <v>24.384160231734413</v>
      </c>
      <c r="T195">
        <f t="shared" si="47"/>
        <v>43.219798703834797</v>
      </c>
      <c r="U195">
        <v>209.03399999999999</v>
      </c>
      <c r="V195">
        <v>0.53700000000000003</v>
      </c>
      <c r="W195">
        <f>1/1.675</f>
        <v>0.59701492537313428</v>
      </c>
      <c r="X195">
        <f t="shared" si="48"/>
        <v>1.675</v>
      </c>
      <c r="Y195">
        <v>0.59699999999999998</v>
      </c>
      <c r="Z195">
        <v>0.75</v>
      </c>
      <c r="AA195">
        <v>63.762999999999998</v>
      </c>
      <c r="AB195">
        <v>49.96</v>
      </c>
      <c r="AC195">
        <v>65.822999999999993</v>
      </c>
      <c r="AD195">
        <v>53.295000000000002</v>
      </c>
      <c r="AE195">
        <v>2501.9749999999999</v>
      </c>
      <c r="AF195">
        <f t="shared" si="41"/>
        <v>50.019746100914986</v>
      </c>
      <c r="AG195">
        <v>188.386</v>
      </c>
      <c r="AH195">
        <v>0.88600000000000001</v>
      </c>
      <c r="AI195">
        <f>1/1.276</f>
        <v>0.78369905956112851</v>
      </c>
      <c r="AJ195">
        <f t="shared" si="49"/>
        <v>1.276</v>
      </c>
      <c r="AK195">
        <v>0.78400000000000003</v>
      </c>
      <c r="AL195">
        <v>1</v>
      </c>
      <c r="AN195">
        <v>0.71548306713901777</v>
      </c>
      <c r="AO195">
        <v>57.779000000000003</v>
      </c>
      <c r="AP195">
        <v>0</v>
      </c>
      <c r="AQ195">
        <v>59.113</v>
      </c>
      <c r="AR195">
        <f t="shared" si="42"/>
        <v>0.97743305195134744</v>
      </c>
    </row>
    <row r="196" spans="1:51" x14ac:dyDescent="0.25">
      <c r="B196" t="s">
        <v>287</v>
      </c>
      <c r="C196">
        <v>1179.5</v>
      </c>
      <c r="D196">
        <v>500</v>
      </c>
      <c r="E196">
        <v>5</v>
      </c>
      <c r="G196" t="s">
        <v>42</v>
      </c>
      <c r="H196">
        <v>6942799</v>
      </c>
      <c r="I196">
        <f t="shared" si="45"/>
        <v>13885598</v>
      </c>
      <c r="J196" t="b">
        <v>0</v>
      </c>
      <c r="K196" t="s">
        <v>43</v>
      </c>
      <c r="M196">
        <v>41.204000000000001</v>
      </c>
      <c r="N196">
        <v>38.75</v>
      </c>
      <c r="O196">
        <v>62.44</v>
      </c>
      <c r="P196">
        <v>43.546999999999997</v>
      </c>
      <c r="Q196">
        <v>1253.9829999999999</v>
      </c>
      <c r="R196">
        <v>1662.923</v>
      </c>
      <c r="S196">
        <f t="shared" si="46"/>
        <v>19.978868486638785</v>
      </c>
      <c r="T196">
        <f t="shared" si="47"/>
        <v>35.411622385877777</v>
      </c>
      <c r="U196">
        <v>177.61199999999999</v>
      </c>
      <c r="V196">
        <v>0.5</v>
      </c>
      <c r="W196">
        <f>1/1.063</f>
        <v>0.94073377234242717</v>
      </c>
      <c r="X196">
        <f t="shared" si="48"/>
        <v>1.0629999999999999</v>
      </c>
      <c r="Y196">
        <v>0.94</v>
      </c>
      <c r="Z196">
        <v>0.751</v>
      </c>
      <c r="AA196">
        <v>51.677999999999997</v>
      </c>
      <c r="AB196">
        <v>41.476999999999997</v>
      </c>
      <c r="AC196">
        <v>62.680999999999997</v>
      </c>
      <c r="AD196">
        <v>43.404000000000003</v>
      </c>
      <c r="AE196">
        <v>1683.4739999999999</v>
      </c>
      <c r="AF196">
        <f t="shared" si="41"/>
        <v>41.030159638977764</v>
      </c>
      <c r="AG196">
        <v>170.709</v>
      </c>
      <c r="AH196">
        <v>0.72599999999999998</v>
      </c>
      <c r="AI196">
        <f>1/1.246</f>
        <v>0.8025682182985554</v>
      </c>
      <c r="AJ196">
        <f t="shared" si="49"/>
        <v>1.246</v>
      </c>
      <c r="AK196">
        <v>0.80300000000000005</v>
      </c>
      <c r="AL196">
        <v>1</v>
      </c>
      <c r="AN196">
        <v>0.85388701367183095</v>
      </c>
      <c r="AO196">
        <v>60.453000000000003</v>
      </c>
      <c r="AP196">
        <v>0</v>
      </c>
      <c r="AQ196">
        <v>50.594000000000001</v>
      </c>
      <c r="AR196">
        <f t="shared" si="42"/>
        <v>1.1948650037553861</v>
      </c>
    </row>
    <row r="197" spans="1:51" s="7" customFormat="1" x14ac:dyDescent="0.25">
      <c r="B197" s="7" t="s">
        <v>288</v>
      </c>
      <c r="C197">
        <v>1179.5</v>
      </c>
      <c r="D197" s="7">
        <v>450</v>
      </c>
      <c r="H197" s="7">
        <v>15313883</v>
      </c>
      <c r="I197" s="7">
        <f t="shared" si="45"/>
        <v>30627766</v>
      </c>
      <c r="J197" s="7" t="b">
        <v>0</v>
      </c>
      <c r="K197" s="7" t="s">
        <v>43</v>
      </c>
      <c r="M197" s="7">
        <v>50.28</v>
      </c>
      <c r="N197" s="7">
        <v>35.220999999999997</v>
      </c>
      <c r="O197" s="7">
        <v>62.9</v>
      </c>
      <c r="P197" s="7">
        <v>41.277000000000001</v>
      </c>
      <c r="Q197" s="7">
        <v>1390.877</v>
      </c>
      <c r="R197" s="7">
        <v>154.494</v>
      </c>
      <c r="S197" s="7">
        <f t="shared" si="46"/>
        <v>21.041147772059684</v>
      </c>
      <c r="T197" s="7">
        <f t="shared" si="47"/>
        <v>37.294463396059207</v>
      </c>
      <c r="U197" s="7">
        <v>191.886</v>
      </c>
      <c r="V197" s="7">
        <v>0.47499999999999998</v>
      </c>
      <c r="W197" s="7">
        <f>1/1.428</f>
        <v>0.70028011204481799</v>
      </c>
      <c r="X197" s="7">
        <f t="shared" si="48"/>
        <v>1.4279999999999999</v>
      </c>
      <c r="Y197" s="7">
        <v>0.7</v>
      </c>
      <c r="Z197" s="7">
        <v>0.76900000000000002</v>
      </c>
      <c r="AA197" s="7">
        <v>56.01</v>
      </c>
      <c r="AB197" s="7">
        <v>39.189</v>
      </c>
      <c r="AC197" s="7">
        <v>61.287999999999997</v>
      </c>
      <c r="AD197" s="7">
        <v>41.631</v>
      </c>
      <c r="AE197" s="7">
        <v>1723.9259999999999</v>
      </c>
      <c r="AF197" s="7">
        <f t="shared" si="41"/>
        <v>41.520187860846676</v>
      </c>
      <c r="AG197" s="7">
        <v>160.13300000000001</v>
      </c>
      <c r="AH197" s="7">
        <v>0.84499999999999997</v>
      </c>
      <c r="AI197" s="7">
        <f>1/1.429</f>
        <v>0.69979006298110569</v>
      </c>
      <c r="AJ197" s="7">
        <f t="shared" si="49"/>
        <v>1.429</v>
      </c>
      <c r="AK197" s="7">
        <v>0.7</v>
      </c>
      <c r="AL197" s="7">
        <v>0.97399999999999998</v>
      </c>
      <c r="AN197" s="7">
        <v>0.78217798808359595</v>
      </c>
      <c r="AO197" s="7">
        <v>41.676000000000002</v>
      </c>
      <c r="AP197" s="7">
        <v>0</v>
      </c>
      <c r="AQ197" s="7">
        <v>61.445</v>
      </c>
      <c r="AR197" s="7">
        <f t="shared" si="42"/>
        <v>0.67826511514362442</v>
      </c>
      <c r="AY197"/>
    </row>
    <row r="198" spans="1:51" s="6" customFormat="1" x14ac:dyDescent="0.25">
      <c r="A198" s="6" t="s">
        <v>289</v>
      </c>
      <c r="B198" s="6" t="s">
        <v>290</v>
      </c>
      <c r="C198" s="6">
        <v>1185.8</v>
      </c>
      <c r="D198" s="6">
        <v>600</v>
      </c>
      <c r="E198" s="6">
        <v>4</v>
      </c>
      <c r="G198" s="6" t="s">
        <v>184</v>
      </c>
      <c r="H198" s="6">
        <v>1221975</v>
      </c>
      <c r="I198" s="6">
        <f t="shared" si="45"/>
        <v>2443950</v>
      </c>
      <c r="J198" s="6" t="b">
        <v>0</v>
      </c>
      <c r="K198" s="6" t="s">
        <v>43</v>
      </c>
      <c r="M198" s="6">
        <v>92.316999999999993</v>
      </c>
      <c r="N198" s="6">
        <v>24.872</v>
      </c>
      <c r="O198" s="6">
        <v>86.831000000000003</v>
      </c>
      <c r="P198" s="6">
        <v>31.376000000000001</v>
      </c>
      <c r="Q198" s="6">
        <v>1803.3579999999999</v>
      </c>
      <c r="R198" s="6">
        <v>946.08</v>
      </c>
      <c r="S198" s="6">
        <f t="shared" si="46"/>
        <v>23.958853890130648</v>
      </c>
      <c r="T198" s="6">
        <f t="shared" si="47"/>
        <v>42.465962840844668</v>
      </c>
      <c r="U198" s="6">
        <v>215.732</v>
      </c>
      <c r="V198" s="6">
        <v>0.48699999999999999</v>
      </c>
      <c r="W198" s="6">
        <f>1/3.712</f>
        <v>0.2693965517241379</v>
      </c>
      <c r="X198" s="6">
        <f t="shared" si="48"/>
        <v>3.7120000000000006</v>
      </c>
      <c r="Y198" s="6">
        <v>0.26900000000000002</v>
      </c>
      <c r="Z198" s="6">
        <v>0.82599999999999996</v>
      </c>
      <c r="AA198" s="6">
        <v>91.881</v>
      </c>
      <c r="AB198" s="6">
        <v>30.806999999999999</v>
      </c>
      <c r="AC198" s="6">
        <v>86.064999999999998</v>
      </c>
      <c r="AD198" s="6">
        <v>31.812999999999999</v>
      </c>
      <c r="AE198" s="6">
        <v>2223.154</v>
      </c>
      <c r="AF198" s="6">
        <f t="shared" si="41"/>
        <v>47.150334039113659</v>
      </c>
      <c r="AG198" s="6">
        <v>208.774</v>
      </c>
      <c r="AH198" s="6">
        <v>0.64100000000000001</v>
      </c>
      <c r="AI198" s="6">
        <f t="shared" ref="AI198:AI203" si="50">1/AJ198</f>
        <v>0.33534540576794097</v>
      </c>
      <c r="AJ198" s="6">
        <v>2.9820000000000002</v>
      </c>
      <c r="AK198" s="6">
        <v>0.33500000000000002</v>
      </c>
      <c r="AL198" s="6">
        <v>0.996</v>
      </c>
      <c r="AN198" s="6">
        <v>0.53256847264678997</v>
      </c>
      <c r="AO198" s="6">
        <v>85.878</v>
      </c>
      <c r="AP198" s="6">
        <v>0</v>
      </c>
      <c r="AQ198" s="6">
        <v>32.146999999999998</v>
      </c>
      <c r="AR198" s="6">
        <f t="shared" si="42"/>
        <v>2.6714156842007033</v>
      </c>
      <c r="AY198"/>
    </row>
    <row r="199" spans="1:51" x14ac:dyDescent="0.25">
      <c r="B199" t="s">
        <v>291</v>
      </c>
      <c r="C199">
        <v>1185.8</v>
      </c>
      <c r="D199">
        <v>600</v>
      </c>
      <c r="E199">
        <v>4</v>
      </c>
      <c r="F199" t="s">
        <v>49</v>
      </c>
      <c r="G199" t="s">
        <v>184</v>
      </c>
      <c r="H199">
        <v>750189</v>
      </c>
      <c r="I199">
        <f t="shared" si="45"/>
        <v>1500378</v>
      </c>
      <c r="J199" t="b">
        <v>0</v>
      </c>
      <c r="K199" t="s">
        <v>43</v>
      </c>
      <c r="M199">
        <v>75.281000000000006</v>
      </c>
      <c r="N199">
        <v>37.402999999999999</v>
      </c>
      <c r="O199">
        <v>108.711</v>
      </c>
      <c r="P199">
        <v>73.453999999999994</v>
      </c>
      <c r="Q199">
        <v>3010.0239999999999</v>
      </c>
      <c r="R199">
        <v>420.21199999999999</v>
      </c>
      <c r="S199">
        <f t="shared" si="46"/>
        <v>30.953519942818755</v>
      </c>
      <c r="T199">
        <f t="shared" si="47"/>
        <v>54.863685621729786</v>
      </c>
      <c r="U199">
        <v>400.41399999999999</v>
      </c>
      <c r="V199">
        <v>0.23599999999999999</v>
      </c>
      <c r="W199">
        <f>1/1.479</f>
        <v>0.67613252197430695</v>
      </c>
      <c r="X199">
        <f t="shared" si="48"/>
        <v>1.4790000000000001</v>
      </c>
      <c r="Y199">
        <v>0.67600000000000005</v>
      </c>
      <c r="Z199">
        <v>0.52</v>
      </c>
      <c r="AA199">
        <v>103.947</v>
      </c>
      <c r="AB199">
        <v>71.448999999999998</v>
      </c>
      <c r="AC199">
        <v>109.11</v>
      </c>
      <c r="AD199">
        <v>73.751999999999995</v>
      </c>
      <c r="AE199">
        <v>5833.1019999999999</v>
      </c>
      <c r="AF199">
        <f t="shared" si="41"/>
        <v>76.374747135424286</v>
      </c>
      <c r="AG199">
        <v>303.97899999999998</v>
      </c>
      <c r="AH199">
        <v>0.79300000000000004</v>
      </c>
      <c r="AI199">
        <f t="shared" si="50"/>
        <v>0.6872852233676976</v>
      </c>
      <c r="AJ199">
        <v>1.4550000000000001</v>
      </c>
      <c r="AK199">
        <v>0.68700000000000006</v>
      </c>
      <c r="AL199">
        <v>0.98599999999999999</v>
      </c>
      <c r="AN199">
        <v>0.69320734431028108</v>
      </c>
      <c r="AO199">
        <v>102.977</v>
      </c>
      <c r="AP199">
        <v>0</v>
      </c>
      <c r="AQ199">
        <v>75.507000000000005</v>
      </c>
      <c r="AR199">
        <f t="shared" si="42"/>
        <v>1.3638073291218031</v>
      </c>
    </row>
    <row r="200" spans="1:51" x14ac:dyDescent="0.25">
      <c r="B200" t="s">
        <v>292</v>
      </c>
      <c r="C200">
        <v>1185.8</v>
      </c>
      <c r="D200">
        <v>500</v>
      </c>
      <c r="E200">
        <v>5</v>
      </c>
      <c r="F200" t="s">
        <v>49</v>
      </c>
      <c r="G200" t="s">
        <v>42</v>
      </c>
      <c r="H200">
        <v>3982142</v>
      </c>
      <c r="I200">
        <f t="shared" si="45"/>
        <v>7964284</v>
      </c>
      <c r="J200" t="b">
        <v>0</v>
      </c>
      <c r="K200" t="s">
        <v>43</v>
      </c>
      <c r="M200">
        <v>100.38500000000001</v>
      </c>
      <c r="N200">
        <v>107.38200000000001</v>
      </c>
      <c r="O200">
        <v>100.3</v>
      </c>
      <c r="P200">
        <v>50.728999999999999</v>
      </c>
      <c r="Q200">
        <v>2948.6909999999998</v>
      </c>
      <c r="R200">
        <v>793.67600000000004</v>
      </c>
      <c r="S200">
        <f t="shared" si="46"/>
        <v>30.636538587137547</v>
      </c>
      <c r="T200">
        <f t="shared" si="47"/>
        <v>54.301850797187385</v>
      </c>
      <c r="U200">
        <v>287.01600000000002</v>
      </c>
      <c r="V200">
        <v>0.45</v>
      </c>
      <c r="W200">
        <f>1/2.684</f>
        <v>0.37257824143070045</v>
      </c>
      <c r="X200">
        <f t="shared" si="48"/>
        <v>2.6840000000000002</v>
      </c>
      <c r="Y200">
        <v>0.373</v>
      </c>
      <c r="Z200">
        <v>0.72099999999999997</v>
      </c>
      <c r="AA200">
        <v>102.495</v>
      </c>
      <c r="AB200">
        <v>51.137999999999998</v>
      </c>
      <c r="AC200">
        <v>100.861</v>
      </c>
      <c r="AD200">
        <v>51.767000000000003</v>
      </c>
      <c r="AE200">
        <v>4116.5929999999998</v>
      </c>
      <c r="AF200">
        <f t="shared" si="41"/>
        <v>64.160681106110459</v>
      </c>
      <c r="AG200">
        <v>256.983</v>
      </c>
      <c r="AH200">
        <v>0.78300000000000003</v>
      </c>
      <c r="AI200">
        <f t="shared" si="50"/>
        <v>0.49900199600798401</v>
      </c>
      <c r="AJ200">
        <v>2.004</v>
      </c>
      <c r="AK200">
        <v>0.499</v>
      </c>
      <c r="AL200">
        <v>1</v>
      </c>
      <c r="AN200">
        <v>0.61302669210468808</v>
      </c>
      <c r="AO200">
        <v>60.902999999999999</v>
      </c>
      <c r="AP200">
        <v>0</v>
      </c>
      <c r="AQ200">
        <v>100.77500000000001</v>
      </c>
      <c r="AR200">
        <f t="shared" si="42"/>
        <v>0.60434631605060773</v>
      </c>
    </row>
    <row r="201" spans="1:51" x14ac:dyDescent="0.25">
      <c r="B201" t="s">
        <v>293</v>
      </c>
      <c r="C201">
        <v>1185.8</v>
      </c>
      <c r="D201">
        <v>500</v>
      </c>
      <c r="E201">
        <v>5</v>
      </c>
      <c r="F201" t="s">
        <v>49</v>
      </c>
      <c r="G201" t="s">
        <v>184</v>
      </c>
      <c r="H201">
        <v>9330085</v>
      </c>
      <c r="I201">
        <f t="shared" si="45"/>
        <v>18660170</v>
      </c>
      <c r="J201" t="b">
        <v>0</v>
      </c>
      <c r="K201" t="s">
        <v>43</v>
      </c>
      <c r="M201">
        <v>64.781999999999996</v>
      </c>
      <c r="N201">
        <v>44.360999999999997</v>
      </c>
      <c r="O201">
        <v>72.385999999999996</v>
      </c>
      <c r="P201">
        <v>47.360999999999997</v>
      </c>
      <c r="Q201">
        <v>2257.038</v>
      </c>
      <c r="R201">
        <v>105.024</v>
      </c>
      <c r="S201">
        <f t="shared" si="46"/>
        <v>26.803684614106519</v>
      </c>
      <c r="T201">
        <f t="shared" si="47"/>
        <v>47.508294012730033</v>
      </c>
      <c r="U201">
        <v>195.90100000000001</v>
      </c>
      <c r="V201">
        <v>0.73899999999999999</v>
      </c>
      <c r="W201">
        <f>1/1.46</f>
        <v>0.68493150684931503</v>
      </c>
      <c r="X201">
        <f t="shared" si="48"/>
        <v>1.4600000000000002</v>
      </c>
      <c r="Y201">
        <v>0.68500000000000005</v>
      </c>
      <c r="Z201">
        <v>0.90500000000000003</v>
      </c>
      <c r="AA201">
        <v>68.289000000000001</v>
      </c>
      <c r="AB201">
        <v>46.493000000000002</v>
      </c>
      <c r="AC201">
        <v>73.710999999999999</v>
      </c>
      <c r="AD201">
        <v>46.982999999999997</v>
      </c>
      <c r="AE201">
        <v>2493.625</v>
      </c>
      <c r="AF201">
        <f t="shared" si="41"/>
        <v>49.936209307475472</v>
      </c>
      <c r="AG201">
        <v>191.08699999999999</v>
      </c>
      <c r="AH201">
        <v>0.85799999999999998</v>
      </c>
      <c r="AI201">
        <f t="shared" si="50"/>
        <v>0.68073519400953031</v>
      </c>
      <c r="AJ201">
        <v>1.4690000000000001</v>
      </c>
      <c r="AK201">
        <v>0.68100000000000005</v>
      </c>
      <c r="AL201">
        <v>1</v>
      </c>
      <c r="AN201">
        <v>0.81908334703258601</v>
      </c>
      <c r="AO201">
        <v>47.2</v>
      </c>
      <c r="AP201">
        <v>0</v>
      </c>
      <c r="AQ201">
        <v>64.775000000000006</v>
      </c>
      <c r="AR201">
        <f t="shared" si="42"/>
        <v>0.72867618680046309</v>
      </c>
    </row>
    <row r="202" spans="1:51" ht="14.25" customHeight="1" x14ac:dyDescent="0.25">
      <c r="B202" t="s">
        <v>294</v>
      </c>
      <c r="C202">
        <v>1185.8</v>
      </c>
      <c r="D202">
        <v>500</v>
      </c>
      <c r="E202">
        <v>5</v>
      </c>
      <c r="G202" t="s">
        <v>184</v>
      </c>
      <c r="H202">
        <v>6210349</v>
      </c>
      <c r="I202">
        <f t="shared" si="45"/>
        <v>12420698</v>
      </c>
      <c r="J202" t="b">
        <v>0</v>
      </c>
      <c r="K202" t="s">
        <v>43</v>
      </c>
      <c r="M202">
        <v>62.588000000000001</v>
      </c>
      <c r="N202">
        <v>37.789000000000001</v>
      </c>
      <c r="O202">
        <v>69.09</v>
      </c>
      <c r="P202">
        <v>47.314999999999998</v>
      </c>
      <c r="Q202">
        <v>1857.5530000000001</v>
      </c>
      <c r="R202">
        <v>495.56099999999998</v>
      </c>
      <c r="S202">
        <f t="shared" si="46"/>
        <v>24.316197976047963</v>
      </c>
      <c r="T202">
        <f t="shared" si="47"/>
        <v>43.099338742027122</v>
      </c>
      <c r="U202">
        <v>195.68799999999999</v>
      </c>
      <c r="V202">
        <v>0.61</v>
      </c>
      <c r="W202">
        <f>1/1.656</f>
        <v>0.60386473429951693</v>
      </c>
      <c r="X202">
        <f t="shared" si="48"/>
        <v>1.6559999999999999</v>
      </c>
      <c r="Y202">
        <v>0.60399999999999998</v>
      </c>
      <c r="Z202">
        <v>0.84399999999999997</v>
      </c>
      <c r="AA202">
        <v>64.608999999999995</v>
      </c>
      <c r="AB202">
        <v>43.279000000000003</v>
      </c>
      <c r="AC202">
        <v>68.926000000000002</v>
      </c>
      <c r="AD202">
        <v>47.283999999999999</v>
      </c>
      <c r="AE202">
        <v>2196.16</v>
      </c>
      <c r="AF202">
        <f t="shared" si="41"/>
        <v>46.86320518274438</v>
      </c>
      <c r="AG202">
        <v>186.99</v>
      </c>
      <c r="AH202">
        <v>0.78900000000000003</v>
      </c>
      <c r="AI202">
        <f t="shared" si="50"/>
        <v>0.66979236436704614</v>
      </c>
      <c r="AJ202">
        <v>1.4930000000000001</v>
      </c>
      <c r="AK202">
        <v>0.67</v>
      </c>
      <c r="AL202">
        <v>0.99</v>
      </c>
      <c r="AN202">
        <v>0.73567371670590564</v>
      </c>
      <c r="AO202">
        <v>49.238999999999997</v>
      </c>
      <c r="AP202">
        <v>0</v>
      </c>
      <c r="AQ202">
        <v>69.239000000000004</v>
      </c>
      <c r="AR202">
        <f t="shared" si="42"/>
        <v>0.71114545270728913</v>
      </c>
    </row>
    <row r="203" spans="1:51" x14ac:dyDescent="0.25">
      <c r="B203" t="s">
        <v>295</v>
      </c>
      <c r="C203">
        <v>1185.8</v>
      </c>
      <c r="D203">
        <v>600</v>
      </c>
      <c r="E203">
        <v>4</v>
      </c>
      <c r="G203" t="s">
        <v>192</v>
      </c>
      <c r="H203">
        <v>457116</v>
      </c>
      <c r="I203">
        <f t="shared" si="45"/>
        <v>914232</v>
      </c>
      <c r="J203" t="b">
        <v>0</v>
      </c>
      <c r="K203" t="s">
        <v>43</v>
      </c>
      <c r="M203">
        <v>120.693</v>
      </c>
      <c r="N203">
        <v>27.294</v>
      </c>
      <c r="O203">
        <v>123.97499999999999</v>
      </c>
      <c r="P203">
        <v>37.965000000000003</v>
      </c>
      <c r="Q203">
        <v>2587.2489999999998</v>
      </c>
      <c r="R203">
        <v>164.04499999999999</v>
      </c>
      <c r="S203">
        <f t="shared" si="46"/>
        <v>28.697507465268238</v>
      </c>
      <c r="T203">
        <f t="shared" si="47"/>
        <v>50.86500761820448</v>
      </c>
      <c r="U203">
        <v>296.97199999999998</v>
      </c>
      <c r="V203">
        <v>0.36899999999999999</v>
      </c>
      <c r="W203">
        <f>1/4.422</f>
        <v>0.22614201718679333</v>
      </c>
      <c r="X203">
        <f t="shared" si="48"/>
        <v>4.4219999999999997</v>
      </c>
      <c r="Y203">
        <v>0.22600000000000001</v>
      </c>
      <c r="Z203">
        <v>0.78600000000000003</v>
      </c>
      <c r="AA203">
        <v>126.72</v>
      </c>
      <c r="AB203">
        <v>32.840000000000003</v>
      </c>
      <c r="AC203">
        <v>123.34</v>
      </c>
      <c r="AD203">
        <v>38.042000000000002</v>
      </c>
      <c r="AE203">
        <v>3268.4259999999999</v>
      </c>
      <c r="AF203">
        <f t="shared" si="41"/>
        <v>57.170149553766258</v>
      </c>
      <c r="AG203">
        <v>280.43599999999998</v>
      </c>
      <c r="AH203">
        <v>0.52200000000000002</v>
      </c>
      <c r="AI203">
        <f t="shared" si="50"/>
        <v>0.25913449080072559</v>
      </c>
      <c r="AJ203">
        <v>3.859</v>
      </c>
      <c r="AK203">
        <v>0.25900000000000001</v>
      </c>
      <c r="AL203">
        <v>1</v>
      </c>
      <c r="AN203">
        <v>0.53861494834772838</v>
      </c>
      <c r="AO203">
        <v>64.944000000000003</v>
      </c>
      <c r="AP203">
        <v>0</v>
      </c>
      <c r="AQ203">
        <v>113.142</v>
      </c>
      <c r="AR203">
        <f t="shared" si="42"/>
        <v>0.57400434851779181</v>
      </c>
    </row>
    <row r="204" spans="1:51" s="6" customFormat="1" x14ac:dyDescent="0.25">
      <c r="A204" s="6" t="s">
        <v>296</v>
      </c>
      <c r="B204" s="6" t="s">
        <v>297</v>
      </c>
      <c r="C204" s="6">
        <v>1117</v>
      </c>
      <c r="D204" s="6">
        <v>500</v>
      </c>
      <c r="H204" s="6">
        <v>69309</v>
      </c>
      <c r="I204" s="39">
        <f t="shared" si="45"/>
        <v>138618</v>
      </c>
      <c r="J204" s="6" t="s">
        <v>55</v>
      </c>
      <c r="K204" s="6" t="s">
        <v>43</v>
      </c>
      <c r="M204" s="15">
        <v>50.725000000000001</v>
      </c>
      <c r="N204" s="6">
        <v>27.448</v>
      </c>
      <c r="O204" s="6">
        <v>57.018000000000001</v>
      </c>
      <c r="P204" s="6">
        <v>30.699000000000002</v>
      </c>
      <c r="Q204" s="6">
        <v>1093.5060000000001</v>
      </c>
      <c r="R204" s="39">
        <v>4.5999999999999996</v>
      </c>
      <c r="S204" s="6">
        <f t="shared" si="46"/>
        <v>18.656735255700344</v>
      </c>
      <c r="T204" s="40">
        <f t="shared" si="47"/>
        <v>33.068202249290785</v>
      </c>
      <c r="U204" s="6">
        <v>153.69900000000001</v>
      </c>
      <c r="V204" s="40">
        <v>0.58199999999999996</v>
      </c>
      <c r="W204" s="41">
        <f>1/1.848</f>
        <v>0.54112554112554112</v>
      </c>
      <c r="X204" s="6">
        <f t="shared" si="48"/>
        <v>1.8480000000000001</v>
      </c>
      <c r="Y204" s="15">
        <v>0.54100000000000004</v>
      </c>
      <c r="Z204" s="15">
        <v>0.82499999999999996</v>
      </c>
      <c r="AA204" s="6">
        <v>53.633000000000003</v>
      </c>
      <c r="AB204" s="6">
        <v>37.122</v>
      </c>
      <c r="AC204" s="6">
        <v>60.718000000000004</v>
      </c>
      <c r="AD204" s="6">
        <v>41.283000000000001</v>
      </c>
      <c r="AE204" s="6">
        <v>1563.712</v>
      </c>
      <c r="AF204" s="41">
        <f t="shared" si="41"/>
        <v>39.543798502420074</v>
      </c>
      <c r="AG204" s="6">
        <v>161.79900000000001</v>
      </c>
      <c r="AH204" s="6">
        <v>0.751</v>
      </c>
      <c r="AI204" s="6">
        <f>1/1.445</f>
        <v>0.69204152249134943</v>
      </c>
      <c r="AJ204" s="6">
        <f t="shared" ref="AJ204:AJ243" si="51">1/AI204</f>
        <v>1.4450000000000001</v>
      </c>
      <c r="AK204" s="6">
        <v>0.69199999999999995</v>
      </c>
      <c r="AL204" s="6">
        <v>1</v>
      </c>
      <c r="AN204" s="6">
        <v>0.72109590546940538</v>
      </c>
      <c r="AO204" s="6">
        <v>45.798000000000002</v>
      </c>
      <c r="AQ204" s="6">
        <v>48.951999999999998</v>
      </c>
      <c r="AR204" s="6">
        <f t="shared" si="42"/>
        <v>0.93556953750612848</v>
      </c>
      <c r="AY204"/>
    </row>
    <row r="205" spans="1:51" x14ac:dyDescent="0.25">
      <c r="A205" t="s">
        <v>298</v>
      </c>
      <c r="B205" t="s">
        <v>299</v>
      </c>
      <c r="C205">
        <v>1117</v>
      </c>
      <c r="D205">
        <v>500</v>
      </c>
      <c r="H205">
        <v>63114</v>
      </c>
      <c r="I205" s="28">
        <f t="shared" si="45"/>
        <v>126228</v>
      </c>
      <c r="J205" t="s">
        <v>55</v>
      </c>
      <c r="K205" t="s">
        <v>43</v>
      </c>
      <c r="M205" s="3">
        <v>80.411000000000001</v>
      </c>
      <c r="N205">
        <v>32.676000000000002</v>
      </c>
      <c r="O205">
        <v>95.465000000000003</v>
      </c>
      <c r="P205">
        <v>39.026000000000003</v>
      </c>
      <c r="Q205">
        <v>2063.616</v>
      </c>
      <c r="R205" s="28">
        <v>0</v>
      </c>
      <c r="S205">
        <f t="shared" si="46"/>
        <v>25.629463008167953</v>
      </c>
      <c r="T205" s="29">
        <f t="shared" si="47"/>
        <v>45.427040405467757</v>
      </c>
      <c r="U205">
        <v>233.71100000000001</v>
      </c>
      <c r="V205" s="29">
        <v>0.52</v>
      </c>
      <c r="W205" s="30">
        <f>1/2.478</f>
        <v>0.40355125100887812</v>
      </c>
      <c r="X205">
        <f t="shared" si="48"/>
        <v>2.4780000000000002</v>
      </c>
      <c r="Y205" s="3">
        <v>0.40600000000000003</v>
      </c>
      <c r="Z205" s="3">
        <v>0.83599999999999997</v>
      </c>
      <c r="AA205">
        <v>101.11</v>
      </c>
      <c r="AB205">
        <v>42.268999999999998</v>
      </c>
      <c r="AC205">
        <v>101.42400000000001</v>
      </c>
      <c r="AD205">
        <v>44.265999999999998</v>
      </c>
      <c r="AE205">
        <v>2256.672</v>
      </c>
      <c r="AF205" s="30">
        <f t="shared" si="41"/>
        <v>47.504441897574168</v>
      </c>
      <c r="AG205">
        <v>254.16</v>
      </c>
      <c r="AH205">
        <v>0.65300000000000002</v>
      </c>
      <c r="AI205">
        <f>1/2.392</f>
        <v>0.41806020066889632</v>
      </c>
      <c r="AJ205">
        <f t="shared" si="51"/>
        <v>2.3919999999999999</v>
      </c>
      <c r="AK205">
        <v>0.41799999999999998</v>
      </c>
      <c r="AL205">
        <v>0.99</v>
      </c>
      <c r="AN205">
        <v>0.66411583046287215</v>
      </c>
      <c r="AO205">
        <v>92.66</v>
      </c>
      <c r="AP205">
        <v>23.56</v>
      </c>
      <c r="AQ205">
        <v>35</v>
      </c>
      <c r="AR205">
        <f t="shared" si="42"/>
        <v>2.6474285714285712</v>
      </c>
      <c r="AS205">
        <f>AQ205/(AP205*0.5)</f>
        <v>2.9711375212224111</v>
      </c>
      <c r="AT205">
        <f>T205*SQRT(AS205)</f>
        <v>78.302534614116468</v>
      </c>
      <c r="AU205">
        <f>AT205+R205</f>
        <v>78.302534614116468</v>
      </c>
      <c r="AV205">
        <f>1+1.464*(AS205^1.65)</f>
        <v>9.8280263475009271</v>
      </c>
      <c r="AW205">
        <f>AU205/AV205</f>
        <v>7.967269505135917</v>
      </c>
    </row>
    <row r="206" spans="1:51" x14ac:dyDescent="0.25">
      <c r="B206" t="s">
        <v>300</v>
      </c>
      <c r="C206">
        <v>1117</v>
      </c>
      <c r="D206">
        <v>600</v>
      </c>
      <c r="H206">
        <v>19681</v>
      </c>
      <c r="I206" s="28">
        <f t="shared" si="45"/>
        <v>39362</v>
      </c>
      <c r="J206" t="s">
        <v>55</v>
      </c>
      <c r="K206" t="s">
        <v>43</v>
      </c>
      <c r="M206" s="3">
        <v>141.863</v>
      </c>
      <c r="N206">
        <v>38.902000000000001</v>
      </c>
      <c r="O206">
        <v>172.715</v>
      </c>
      <c r="P206">
        <v>54.619</v>
      </c>
      <c r="Q206">
        <v>4334.3779999999997</v>
      </c>
      <c r="R206" s="28">
        <v>5</v>
      </c>
      <c r="S206">
        <f t="shared" si="46"/>
        <v>37.143981583259574</v>
      </c>
      <c r="T206" s="29">
        <f t="shared" si="47"/>
        <v>65.835993195211998</v>
      </c>
      <c r="U206">
        <v>429.2</v>
      </c>
      <c r="V206" s="29">
        <v>0.29599999999999999</v>
      </c>
      <c r="W206" s="30">
        <f>1/3.647</f>
        <v>0.27419797093501508</v>
      </c>
      <c r="X206">
        <f t="shared" si="48"/>
        <v>3.6470000000000002</v>
      </c>
      <c r="Y206" s="3">
        <v>0.27400000000000002</v>
      </c>
      <c r="Z206" s="3">
        <v>0.66300000000000003</v>
      </c>
      <c r="AA206">
        <v>167.417</v>
      </c>
      <c r="AB206">
        <v>61.914999999999999</v>
      </c>
      <c r="AC206">
        <v>180.11500000000001</v>
      </c>
      <c r="AD206">
        <v>72.936000000000007</v>
      </c>
      <c r="AE206">
        <v>8141.1620000000003</v>
      </c>
      <c r="AF206" s="30">
        <f t="shared" si="41"/>
        <v>90.228387994023251</v>
      </c>
      <c r="AG206">
        <v>429.286</v>
      </c>
      <c r="AH206">
        <v>0.55500000000000005</v>
      </c>
      <c r="AI206">
        <f>1/2.704</f>
        <v>0.36982248520710059</v>
      </c>
      <c r="AJ206">
        <f t="shared" si="51"/>
        <v>2.7040000000000002</v>
      </c>
      <c r="AK206">
        <v>0.37</v>
      </c>
      <c r="AL206">
        <v>0.99399999999999999</v>
      </c>
      <c r="AN206">
        <v>0.57385024771150051</v>
      </c>
      <c r="AO206">
        <v>70.986000000000004</v>
      </c>
      <c r="AQ206">
        <v>167.88800000000001</v>
      </c>
      <c r="AR206">
        <f t="shared" si="42"/>
        <v>0.42281759268083485</v>
      </c>
    </row>
    <row r="207" spans="1:51" x14ac:dyDescent="0.25">
      <c r="B207" t="s">
        <v>301</v>
      </c>
      <c r="C207">
        <v>1117</v>
      </c>
      <c r="D207">
        <v>600</v>
      </c>
      <c r="H207">
        <v>37341</v>
      </c>
      <c r="I207" s="28">
        <f t="shared" si="45"/>
        <v>74682</v>
      </c>
      <c r="J207" t="s">
        <v>55</v>
      </c>
      <c r="K207" t="s">
        <v>43</v>
      </c>
      <c r="L207" t="s">
        <v>302</v>
      </c>
      <c r="M207" s="3">
        <v>57.195</v>
      </c>
      <c r="N207">
        <v>27.376999999999999</v>
      </c>
      <c r="O207">
        <v>63.639000000000003</v>
      </c>
      <c r="P207">
        <v>32.76</v>
      </c>
      <c r="Q207">
        <v>1229.7840000000001</v>
      </c>
      <c r="R207" s="28">
        <v>8.2899999999999991</v>
      </c>
      <c r="S207">
        <f t="shared" si="46"/>
        <v>19.785156180092358</v>
      </c>
      <c r="T207" s="29">
        <f t="shared" si="47"/>
        <v>35.068276262171771</v>
      </c>
      <c r="U207">
        <v>183.28299999999999</v>
      </c>
      <c r="V207" s="29">
        <v>0.46</v>
      </c>
      <c r="W207" s="30">
        <f>1/2.089</f>
        <v>0.47869794159885115</v>
      </c>
      <c r="X207">
        <f t="shared" si="48"/>
        <v>2.089</v>
      </c>
      <c r="Y207" s="3">
        <v>0.47899999999999998</v>
      </c>
      <c r="Z207" s="3">
        <v>0.80900000000000005</v>
      </c>
      <c r="AA207">
        <v>104.58199999999999</v>
      </c>
      <c r="AB207">
        <v>59.695999999999998</v>
      </c>
      <c r="AC207">
        <v>103.247</v>
      </c>
      <c r="AD207">
        <v>53.945999999999998</v>
      </c>
      <c r="AE207">
        <v>4903.3419999999996</v>
      </c>
      <c r="AF207" s="30">
        <f t="shared" si="41"/>
        <v>70.023867359636739</v>
      </c>
      <c r="AG207">
        <v>282.26100000000002</v>
      </c>
      <c r="AH207">
        <v>0.77300000000000002</v>
      </c>
      <c r="AI207">
        <f>1/1.752</f>
        <v>0.57077625570776258</v>
      </c>
      <c r="AJ207">
        <f t="shared" si="51"/>
        <v>1.752</v>
      </c>
      <c r="AK207">
        <v>0.57099999999999995</v>
      </c>
      <c r="AL207">
        <v>1</v>
      </c>
      <c r="AN207">
        <v>0.67442074235363503</v>
      </c>
      <c r="AO207">
        <v>34.186999999999998</v>
      </c>
      <c r="AQ207">
        <v>61.652999999999999</v>
      </c>
      <c r="AR207">
        <f t="shared" si="42"/>
        <v>0.55450667445217583</v>
      </c>
    </row>
    <row r="208" spans="1:51" ht="14.25" customHeight="1" x14ac:dyDescent="0.25">
      <c r="B208" t="s">
        <v>303</v>
      </c>
      <c r="C208">
        <v>1117</v>
      </c>
      <c r="D208">
        <v>400</v>
      </c>
      <c r="H208">
        <v>113524</v>
      </c>
      <c r="I208" s="28">
        <f t="shared" si="45"/>
        <v>227048</v>
      </c>
      <c r="J208" t="s">
        <v>55</v>
      </c>
      <c r="K208" t="s">
        <v>43</v>
      </c>
      <c r="M208" s="3">
        <v>70.33</v>
      </c>
      <c r="N208">
        <v>41.686</v>
      </c>
      <c r="O208">
        <v>77.093000000000004</v>
      </c>
      <c r="P208">
        <v>45.536000000000001</v>
      </c>
      <c r="Q208">
        <v>2302.6030000000001</v>
      </c>
      <c r="R208" s="28">
        <v>0</v>
      </c>
      <c r="S208">
        <f t="shared" si="46"/>
        <v>27.07288863155269</v>
      </c>
      <c r="T208" s="29">
        <f t="shared" si="47"/>
        <v>47.985445710131735</v>
      </c>
      <c r="U208">
        <v>219.78700000000001</v>
      </c>
      <c r="V208" s="29">
        <v>0.59899999999999998</v>
      </c>
      <c r="W208" s="30">
        <f>1/1.687</f>
        <v>0.59276822762299941</v>
      </c>
      <c r="X208">
        <f t="shared" si="48"/>
        <v>1.6870000000000001</v>
      </c>
      <c r="Y208" s="3">
        <v>0.59299999999999997</v>
      </c>
      <c r="Z208" s="3">
        <v>0.88500000000000001</v>
      </c>
      <c r="AA208">
        <v>80.762</v>
      </c>
      <c r="AB208">
        <v>49.731999999999999</v>
      </c>
      <c r="AC208">
        <v>79.915999999999997</v>
      </c>
      <c r="AD208">
        <v>48.155999999999999</v>
      </c>
      <c r="AE208">
        <v>3154.5210000000002</v>
      </c>
      <c r="AF208" s="30">
        <f t="shared" si="41"/>
        <v>56.165122629617755</v>
      </c>
      <c r="AG208">
        <v>219.76499999999999</v>
      </c>
      <c r="AH208">
        <v>0.82099999999999995</v>
      </c>
      <c r="AI208">
        <f>1/1.624</f>
        <v>0.61576354679802947</v>
      </c>
      <c r="AJ208">
        <f t="shared" si="51"/>
        <v>1.6240000000000003</v>
      </c>
      <c r="AK208">
        <v>0.61599999999999999</v>
      </c>
      <c r="AL208">
        <v>0.999</v>
      </c>
      <c r="AN208">
        <v>0.79469254916236964</v>
      </c>
      <c r="AO208">
        <v>75.488</v>
      </c>
      <c r="AP208">
        <v>48.39</v>
      </c>
      <c r="AQ208">
        <v>47.805999999999997</v>
      </c>
      <c r="AR208">
        <f t="shared" si="42"/>
        <v>1.5790486549805465</v>
      </c>
      <c r="AS208">
        <f>AQ208/(AP208*0.5)</f>
        <v>1.9758627815664391</v>
      </c>
      <c r="AT208">
        <f>T208*SQRT(AS208)</f>
        <v>67.450927113148182</v>
      </c>
      <c r="AU208">
        <f>AT208+R208</f>
        <v>67.450927113148182</v>
      </c>
      <c r="AV208">
        <f>1+1.464*(AS208^1.65)</f>
        <v>5.5033921336244047</v>
      </c>
      <c r="AW208">
        <f>AU208/AV208</f>
        <v>12.256245870803792</v>
      </c>
    </row>
    <row r="209" spans="1:51" x14ac:dyDescent="0.25">
      <c r="B209" t="s">
        <v>304</v>
      </c>
      <c r="C209">
        <v>1117</v>
      </c>
      <c r="D209">
        <v>400</v>
      </c>
      <c r="H209">
        <v>445546</v>
      </c>
      <c r="I209" s="28">
        <f t="shared" si="45"/>
        <v>891092</v>
      </c>
      <c r="J209" t="s">
        <v>55</v>
      </c>
      <c r="K209" t="s">
        <v>43</v>
      </c>
      <c r="M209" s="3">
        <v>59.680999999999997</v>
      </c>
      <c r="N209">
        <v>49.253999999999998</v>
      </c>
      <c r="O209">
        <v>74.89</v>
      </c>
      <c r="P209">
        <v>56.546999999999997</v>
      </c>
      <c r="Q209">
        <v>2308.703</v>
      </c>
      <c r="R209" s="28">
        <v>5.0629999999999997</v>
      </c>
      <c r="S209">
        <f t="shared" si="46"/>
        <v>27.108725332670588</v>
      </c>
      <c r="T209" s="29">
        <f t="shared" si="47"/>
        <v>48.048964609031898</v>
      </c>
      <c r="U209">
        <v>217.37200000000001</v>
      </c>
      <c r="V209" s="29">
        <v>0.61399999999999999</v>
      </c>
      <c r="W209" s="30">
        <f>1/1.212</f>
        <v>0.82508250825082508</v>
      </c>
      <c r="X209">
        <f t="shared" si="48"/>
        <v>1.212</v>
      </c>
      <c r="Y209" s="3">
        <v>0.82499999999999996</v>
      </c>
      <c r="Z209" s="3">
        <v>0.88400000000000001</v>
      </c>
      <c r="AA209">
        <v>68.106999999999999</v>
      </c>
      <c r="AB209">
        <v>58.804000000000002</v>
      </c>
      <c r="AC209">
        <v>83.968999999999994</v>
      </c>
      <c r="AD209">
        <v>65.006</v>
      </c>
      <c r="AE209">
        <v>3145.527</v>
      </c>
      <c r="AF209" s="30">
        <f t="shared" si="41"/>
        <v>56.084997994116037</v>
      </c>
      <c r="AG209">
        <v>232.155</v>
      </c>
      <c r="AH209">
        <v>0.73299999999999998</v>
      </c>
      <c r="AI209">
        <f>1/1.158</f>
        <v>0.86355785837651133</v>
      </c>
      <c r="AJ209">
        <f t="shared" si="51"/>
        <v>1.1579999999999999</v>
      </c>
      <c r="AK209">
        <v>0.86299999999999999</v>
      </c>
      <c r="AL209">
        <v>0.97399999999999998</v>
      </c>
      <c r="AN209">
        <v>0.83406676510372746</v>
      </c>
      <c r="AO209">
        <v>68.304000000000002</v>
      </c>
      <c r="AQ209">
        <v>62.847000000000001</v>
      </c>
      <c r="AR209">
        <f t="shared" si="42"/>
        <v>1.0868299202825911</v>
      </c>
    </row>
    <row r="210" spans="1:51" x14ac:dyDescent="0.25">
      <c r="B210" t="s">
        <v>305</v>
      </c>
      <c r="C210">
        <v>1117</v>
      </c>
      <c r="D210">
        <v>700</v>
      </c>
      <c r="H210">
        <v>20198</v>
      </c>
      <c r="I210" s="28">
        <f t="shared" si="45"/>
        <v>40396</v>
      </c>
      <c r="J210" t="s">
        <v>55</v>
      </c>
      <c r="K210" t="s">
        <v>43</v>
      </c>
      <c r="M210" s="3">
        <v>67.212999999999994</v>
      </c>
      <c r="N210">
        <v>25.53</v>
      </c>
      <c r="O210">
        <v>75.622</v>
      </c>
      <c r="P210">
        <v>30.629000000000001</v>
      </c>
      <c r="Q210">
        <v>1347.672</v>
      </c>
      <c r="R210" s="28">
        <v>0</v>
      </c>
      <c r="S210">
        <f t="shared" si="46"/>
        <v>20.711767692137762</v>
      </c>
      <c r="T210" s="29">
        <f t="shared" si="47"/>
        <v>36.710652404990029</v>
      </c>
      <c r="U210">
        <v>180.66499999999999</v>
      </c>
      <c r="V210" s="29">
        <v>0.51900000000000002</v>
      </c>
      <c r="W210" s="30">
        <f>1/2.633</f>
        <v>0.37979491074819599</v>
      </c>
      <c r="X210">
        <f t="shared" si="48"/>
        <v>2.633</v>
      </c>
      <c r="Y210" s="3">
        <v>0.38</v>
      </c>
      <c r="Z210" s="3">
        <v>0.873</v>
      </c>
      <c r="AA210">
        <v>67.578999999999994</v>
      </c>
      <c r="AB210">
        <v>42.789000000000001</v>
      </c>
      <c r="AC210">
        <v>77.844999999999999</v>
      </c>
      <c r="AD210">
        <v>46.344000000000001</v>
      </c>
      <c r="AE210">
        <v>2271.078</v>
      </c>
      <c r="AF210" s="30">
        <f t="shared" si="41"/>
        <v>47.655828604694307</v>
      </c>
      <c r="AG210">
        <v>196.68299999999999</v>
      </c>
      <c r="AH210">
        <v>0.73799999999999999</v>
      </c>
      <c r="AI210">
        <f>1/1.579</f>
        <v>0.6333122229259025</v>
      </c>
      <c r="AJ210">
        <f t="shared" si="51"/>
        <v>1.579</v>
      </c>
      <c r="AK210">
        <v>0.63300000000000001</v>
      </c>
      <c r="AL210">
        <v>0.995</v>
      </c>
      <c r="AN210">
        <v>0.66594045290536408</v>
      </c>
      <c r="AO210">
        <v>50.881</v>
      </c>
      <c r="AQ210">
        <v>59.750999999999998</v>
      </c>
      <c r="AR210">
        <f t="shared" si="42"/>
        <v>0.85155060166357055</v>
      </c>
    </row>
    <row r="211" spans="1:51" x14ac:dyDescent="0.25">
      <c r="B211" t="s">
        <v>306</v>
      </c>
      <c r="C211">
        <v>1117</v>
      </c>
      <c r="D211">
        <v>700</v>
      </c>
      <c r="H211">
        <v>17748</v>
      </c>
      <c r="I211" s="28">
        <f t="shared" si="45"/>
        <v>35496</v>
      </c>
      <c r="J211" t="s">
        <v>55</v>
      </c>
      <c r="K211" t="s">
        <v>43</v>
      </c>
      <c r="M211" s="3">
        <v>57.869</v>
      </c>
      <c r="N211">
        <v>27.849</v>
      </c>
      <c r="O211">
        <v>72.391999999999996</v>
      </c>
      <c r="P211">
        <v>32.326000000000001</v>
      </c>
      <c r="Q211">
        <v>1265.7249999999999</v>
      </c>
      <c r="R211" s="28">
        <v>0</v>
      </c>
      <c r="S211">
        <f t="shared" si="46"/>
        <v>20.072189235107825</v>
      </c>
      <c r="T211" s="29">
        <f t="shared" si="47"/>
        <v>35.577029105871105</v>
      </c>
      <c r="U211">
        <v>175.73699999999999</v>
      </c>
      <c r="V211" s="29">
        <v>0.51500000000000001</v>
      </c>
      <c r="W211" s="30">
        <f>1/2.078</f>
        <v>0.48123195380173245</v>
      </c>
      <c r="X211">
        <f t="shared" si="48"/>
        <v>2.0779999999999998</v>
      </c>
      <c r="Y211" s="3">
        <v>0.48099999999999998</v>
      </c>
      <c r="Z211" s="3">
        <v>0.88700000000000001</v>
      </c>
      <c r="AA211">
        <v>66.430000000000007</v>
      </c>
      <c r="AB211">
        <v>31.100999999999999</v>
      </c>
      <c r="AC211">
        <v>71.781999999999996</v>
      </c>
      <c r="AD211">
        <v>32.844000000000001</v>
      </c>
      <c r="AE211">
        <v>1622.664</v>
      </c>
      <c r="AF211" s="30">
        <f t="shared" si="41"/>
        <v>40.282303807006869</v>
      </c>
      <c r="AG211">
        <v>175.43100000000001</v>
      </c>
      <c r="AH211">
        <v>0.66300000000000003</v>
      </c>
      <c r="AI211">
        <f>1/2.136</f>
        <v>0.46816479400749061</v>
      </c>
      <c r="AJ211">
        <f t="shared" si="51"/>
        <v>2.1360000000000001</v>
      </c>
      <c r="AK211">
        <v>0.46800000000000003</v>
      </c>
      <c r="AL211">
        <v>0.995</v>
      </c>
      <c r="AN211">
        <v>0.7215137496246502</v>
      </c>
      <c r="AO211">
        <v>71.194000000000003</v>
      </c>
      <c r="AQ211">
        <v>32.554000000000002</v>
      </c>
      <c r="AR211">
        <f t="shared" si="42"/>
        <v>2.1869509123302819</v>
      </c>
    </row>
    <row r="212" spans="1:51" x14ac:dyDescent="0.25">
      <c r="B212" s="59" t="s">
        <v>307</v>
      </c>
      <c r="C212">
        <v>1117</v>
      </c>
      <c r="D212">
        <v>500</v>
      </c>
      <c r="H212">
        <v>714654</v>
      </c>
      <c r="I212" s="28">
        <f t="shared" si="45"/>
        <v>1429308</v>
      </c>
      <c r="J212" t="s">
        <v>55</v>
      </c>
      <c r="K212" t="s">
        <v>43</v>
      </c>
      <c r="L212" t="s">
        <v>308</v>
      </c>
      <c r="M212" s="3">
        <v>18.306999999999999</v>
      </c>
      <c r="N212">
        <v>12.946999999999999</v>
      </c>
      <c r="O212">
        <v>22.047000000000001</v>
      </c>
      <c r="P212">
        <v>14.031000000000001</v>
      </c>
      <c r="Q212">
        <v>186.154</v>
      </c>
      <c r="R212" s="28">
        <v>1.72</v>
      </c>
      <c r="S212">
        <f t="shared" si="46"/>
        <v>7.6977047587353837</v>
      </c>
      <c r="T212" s="29">
        <f t="shared" si="47"/>
        <v>13.643826442754246</v>
      </c>
      <c r="U212">
        <v>60.91</v>
      </c>
      <c r="V212" s="29">
        <v>0.63100000000000001</v>
      </c>
      <c r="W212" s="30">
        <f>1/1.414</f>
        <v>0.70721357850070721</v>
      </c>
      <c r="X212">
        <f t="shared" si="48"/>
        <v>1.4139999999999999</v>
      </c>
      <c r="Y212" s="3">
        <v>0.70699999999999996</v>
      </c>
      <c r="Z212" s="3">
        <v>0.874</v>
      </c>
      <c r="AA212">
        <v>22.835999999999999</v>
      </c>
      <c r="AB212">
        <v>16.539000000000001</v>
      </c>
      <c r="AC212">
        <v>25.562000000000001</v>
      </c>
      <c r="AD212">
        <v>17.431000000000001</v>
      </c>
      <c r="AE212">
        <v>296.63600000000002</v>
      </c>
      <c r="AF212" s="30">
        <f t="shared" si="41"/>
        <v>17.223123990728279</v>
      </c>
      <c r="AG212">
        <v>68.221999999999994</v>
      </c>
      <c r="AH212">
        <v>0.80100000000000005</v>
      </c>
      <c r="AI212">
        <f>1/1.381</f>
        <v>0.724112961622013</v>
      </c>
      <c r="AJ212">
        <f t="shared" si="51"/>
        <v>1.381</v>
      </c>
      <c r="AK212">
        <v>0.72399999999999998</v>
      </c>
      <c r="AL212">
        <v>0.99099999999999999</v>
      </c>
      <c r="AN212">
        <v>0.84354150305247022</v>
      </c>
      <c r="AO212">
        <v>21</v>
      </c>
      <c r="AQ212">
        <v>15.000999999999999</v>
      </c>
      <c r="AR212">
        <f t="shared" si="42"/>
        <v>1.3999066728884741</v>
      </c>
    </row>
    <row r="213" spans="1:51" x14ac:dyDescent="0.25">
      <c r="B213" t="s">
        <v>309</v>
      </c>
      <c r="C213">
        <v>1117</v>
      </c>
      <c r="D213">
        <v>600</v>
      </c>
      <c r="H213">
        <v>48830</v>
      </c>
      <c r="I213" s="28">
        <f t="shared" si="45"/>
        <v>97660</v>
      </c>
      <c r="J213" t="s">
        <v>55</v>
      </c>
      <c r="K213" t="s">
        <v>43</v>
      </c>
      <c r="M213" s="3">
        <v>19.911000000000001</v>
      </c>
      <c r="N213">
        <v>12.391999999999999</v>
      </c>
      <c r="O213">
        <v>28.361000000000001</v>
      </c>
      <c r="P213">
        <v>14.396000000000001</v>
      </c>
      <c r="Q213">
        <v>193.79</v>
      </c>
      <c r="R213" s="28">
        <v>4.1660000000000004</v>
      </c>
      <c r="S213">
        <f t="shared" si="46"/>
        <v>7.853997252581439</v>
      </c>
      <c r="T213" s="29">
        <f t="shared" si="47"/>
        <v>13.920847675339314</v>
      </c>
      <c r="U213">
        <v>73.316999999999993</v>
      </c>
      <c r="V213" s="29">
        <v>0.45300000000000001</v>
      </c>
      <c r="W213" s="30">
        <f>1/1.607</f>
        <v>0.62227753578095835</v>
      </c>
      <c r="X213">
        <f t="shared" si="48"/>
        <v>1.607</v>
      </c>
      <c r="Y213" s="3">
        <v>0.622</v>
      </c>
      <c r="Z213" s="3">
        <v>0.80500000000000005</v>
      </c>
      <c r="AA213">
        <v>32.11</v>
      </c>
      <c r="AB213">
        <v>22.321999999999999</v>
      </c>
      <c r="AC213">
        <v>36.423999999999999</v>
      </c>
      <c r="AD213">
        <v>23.783000000000001</v>
      </c>
      <c r="AE213">
        <v>562.93200000000002</v>
      </c>
      <c r="AF213" s="30">
        <f t="shared" si="41"/>
        <v>23.726188062982221</v>
      </c>
      <c r="AG213">
        <v>96.200999999999993</v>
      </c>
      <c r="AH213">
        <v>0.76400000000000001</v>
      </c>
      <c r="AI213">
        <f>1/1.438</f>
        <v>0.69541029207232274</v>
      </c>
      <c r="AJ213">
        <f t="shared" si="51"/>
        <v>1.4379999999999999</v>
      </c>
      <c r="AK213">
        <v>0.69499999999999995</v>
      </c>
      <c r="AL213">
        <v>0.96799999999999997</v>
      </c>
      <c r="AN213">
        <v>0.78366133333883448</v>
      </c>
      <c r="AO213">
        <v>27.79</v>
      </c>
      <c r="AQ213">
        <v>12.805</v>
      </c>
      <c r="AR213">
        <f t="shared" si="42"/>
        <v>2.1702459976571653</v>
      </c>
    </row>
    <row r="214" spans="1:51" x14ac:dyDescent="0.25">
      <c r="B214" s="33" t="s">
        <v>310</v>
      </c>
      <c r="C214">
        <v>1117</v>
      </c>
      <c r="D214">
        <v>400</v>
      </c>
      <c r="H214">
        <v>4007417</v>
      </c>
      <c r="J214" t="b">
        <v>0</v>
      </c>
      <c r="R214" s="28">
        <v>0</v>
      </c>
      <c r="S214">
        <f t="shared" si="46"/>
        <v>0</v>
      </c>
      <c r="T214" s="29">
        <f t="shared" si="47"/>
        <v>0</v>
      </c>
      <c r="X214" t="e">
        <f t="shared" si="48"/>
        <v>#DIV/0!</v>
      </c>
      <c r="AF214" s="30">
        <f t="shared" si="41"/>
        <v>0</v>
      </c>
      <c r="AJ214" t="e">
        <f t="shared" si="51"/>
        <v>#DIV/0!</v>
      </c>
      <c r="AN214" t="e">
        <v>#DIV/0!</v>
      </c>
    </row>
    <row r="215" spans="1:51" x14ac:dyDescent="0.25">
      <c r="B215" t="s">
        <v>311</v>
      </c>
      <c r="C215">
        <v>1117</v>
      </c>
      <c r="D215">
        <v>700</v>
      </c>
      <c r="H215">
        <v>17598</v>
      </c>
      <c r="I215" s="28">
        <f t="shared" si="45"/>
        <v>35196</v>
      </c>
      <c r="J215" t="s">
        <v>55</v>
      </c>
      <c r="K215" t="s">
        <v>43</v>
      </c>
      <c r="M215" s="3">
        <v>45.225999999999999</v>
      </c>
      <c r="N215">
        <v>27.497</v>
      </c>
      <c r="O215">
        <v>58.067</v>
      </c>
      <c r="P215">
        <v>30.757000000000001</v>
      </c>
      <c r="Q215">
        <v>976.71799999999996</v>
      </c>
      <c r="R215" s="28">
        <v>0</v>
      </c>
      <c r="S215">
        <f t="shared" si="46"/>
        <v>17.632328133677063</v>
      </c>
      <c r="T215" s="29">
        <f t="shared" si="47"/>
        <v>31.25248790096558</v>
      </c>
      <c r="U215">
        <v>976.71799999999996</v>
      </c>
      <c r="V215" s="29">
        <v>0.53900000000000003</v>
      </c>
      <c r="W215" s="30">
        <f>1/1.645</f>
        <v>0.60790273556231</v>
      </c>
      <c r="X215">
        <f t="shared" si="48"/>
        <v>1.645</v>
      </c>
      <c r="Y215" s="3">
        <v>0.60799999999999998</v>
      </c>
      <c r="Z215" s="3">
        <v>0.82499999999999996</v>
      </c>
      <c r="AA215">
        <v>61.22</v>
      </c>
      <c r="AB215">
        <v>34.463999999999999</v>
      </c>
      <c r="AC215">
        <v>61.826999999999998</v>
      </c>
      <c r="AD215">
        <v>32.058999999999997</v>
      </c>
      <c r="AE215">
        <v>1657.0909999999999</v>
      </c>
      <c r="AF215" s="30">
        <f t="shared" si="41"/>
        <v>40.707382622811799</v>
      </c>
      <c r="AG215">
        <v>164.83799999999999</v>
      </c>
      <c r="AH215">
        <v>0.76600000000000001</v>
      </c>
      <c r="AI215">
        <f>1/1.776</f>
        <v>0.56306306306306309</v>
      </c>
      <c r="AJ215">
        <f t="shared" si="51"/>
        <v>1.776</v>
      </c>
      <c r="AK215">
        <v>0.56299999999999994</v>
      </c>
      <c r="AL215">
        <v>0.99</v>
      </c>
      <c r="AN215">
        <v>0.78178265715195006</v>
      </c>
      <c r="AO215">
        <v>56.05</v>
      </c>
      <c r="AQ215">
        <v>32.292999999999999</v>
      </c>
      <c r="AR215">
        <f t="shared" ref="AR215:AR233" si="52">AO215/AQ215</f>
        <v>1.7356702690985661</v>
      </c>
    </row>
    <row r="216" spans="1:51" x14ac:dyDescent="0.25">
      <c r="B216" t="s">
        <v>312</v>
      </c>
      <c r="C216">
        <v>1117</v>
      </c>
      <c r="D216">
        <v>500</v>
      </c>
      <c r="H216">
        <v>57156</v>
      </c>
      <c r="I216" s="28">
        <f t="shared" si="45"/>
        <v>114312</v>
      </c>
      <c r="J216" t="s">
        <v>55</v>
      </c>
      <c r="K216" t="s">
        <v>43</v>
      </c>
      <c r="M216" s="3">
        <v>55.834000000000003</v>
      </c>
      <c r="N216">
        <v>31.69</v>
      </c>
      <c r="O216">
        <v>67.625</v>
      </c>
      <c r="P216">
        <v>41.335999999999999</v>
      </c>
      <c r="Q216">
        <v>1445.07</v>
      </c>
      <c r="R216" s="28">
        <v>0</v>
      </c>
      <c r="S216">
        <f t="shared" si="46"/>
        <v>21.447145899340789</v>
      </c>
      <c r="T216" s="29">
        <f t="shared" si="47"/>
        <v>38.014076340219027</v>
      </c>
      <c r="U216">
        <v>186.506</v>
      </c>
      <c r="V216" s="29">
        <v>0.59</v>
      </c>
      <c r="W216" s="30">
        <f>1/1.762</f>
        <v>0.56753688989784334</v>
      </c>
      <c r="X216">
        <f t="shared" si="48"/>
        <v>1.762</v>
      </c>
      <c r="Y216" s="3">
        <v>0.56799999999999995</v>
      </c>
      <c r="Z216" s="3">
        <v>0.501</v>
      </c>
      <c r="AA216">
        <v>61.704000000000001</v>
      </c>
      <c r="AB216">
        <v>48.866999999999997</v>
      </c>
      <c r="AC216">
        <v>74.141000000000005</v>
      </c>
      <c r="AD216">
        <v>48.506999999999998</v>
      </c>
      <c r="AE216">
        <v>2368.1849999999999</v>
      </c>
      <c r="AF216" s="30">
        <f t="shared" si="41"/>
        <v>48.664001068551691</v>
      </c>
      <c r="AG216">
        <v>193.93299999999999</v>
      </c>
      <c r="AH216">
        <v>0.79100000000000004</v>
      </c>
      <c r="AI216">
        <f>1/1.263</f>
        <v>0.79176563737133809</v>
      </c>
      <c r="AJ216">
        <f t="shared" si="51"/>
        <v>1.2629999999999999</v>
      </c>
      <c r="AK216">
        <v>0.79200000000000004</v>
      </c>
      <c r="AL216">
        <v>0.997</v>
      </c>
      <c r="AN216">
        <v>0.73211750746891247</v>
      </c>
      <c r="AO216">
        <v>48.792999999999999</v>
      </c>
      <c r="AP216">
        <v>7.6</v>
      </c>
      <c r="AQ216">
        <v>55.89</v>
      </c>
      <c r="AR216">
        <f>AO216/AQ216</f>
        <v>0.87301842905707638</v>
      </c>
    </row>
    <row r="217" spans="1:51" x14ac:dyDescent="0.25">
      <c r="B217" s="59" t="s">
        <v>313</v>
      </c>
      <c r="C217">
        <v>1117</v>
      </c>
      <c r="D217">
        <v>500</v>
      </c>
      <c r="H217">
        <v>60149</v>
      </c>
      <c r="I217" s="28">
        <f t="shared" si="45"/>
        <v>120298</v>
      </c>
      <c r="J217" t="s">
        <v>55</v>
      </c>
      <c r="K217" t="s">
        <v>43</v>
      </c>
      <c r="M217" s="3">
        <v>34.200000000000003</v>
      </c>
      <c r="N217">
        <v>21.2</v>
      </c>
      <c r="O217">
        <v>75.488</v>
      </c>
      <c r="P217">
        <v>53.076999999999998</v>
      </c>
      <c r="Q217">
        <v>569.95000000000005</v>
      </c>
      <c r="R217" s="28">
        <v>15</v>
      </c>
      <c r="S217">
        <f t="shared" si="46"/>
        <v>13.469250893440641</v>
      </c>
      <c r="T217" s="29">
        <f t="shared" si="47"/>
        <v>23.873625614891427</v>
      </c>
      <c r="U217">
        <v>100</v>
      </c>
      <c r="V217" s="29">
        <v>0.52</v>
      </c>
      <c r="W217" s="30">
        <f>1/1.603</f>
        <v>0.62383031815346224</v>
      </c>
      <c r="X217">
        <f>1/W217</f>
        <v>1.603</v>
      </c>
      <c r="Y217" s="3">
        <v>0.62</v>
      </c>
      <c r="Z217" s="3">
        <v>0.91</v>
      </c>
      <c r="AA217">
        <v>62.216000000000001</v>
      </c>
      <c r="AB217">
        <v>47.966999999999999</v>
      </c>
      <c r="AC217">
        <v>78.143000000000001</v>
      </c>
      <c r="AD217">
        <v>54.848999999999997</v>
      </c>
      <c r="AE217">
        <v>2343.8890000000001</v>
      </c>
      <c r="AF217" s="30">
        <f>SQRT(AE217)</f>
        <v>48.413727392135385</v>
      </c>
      <c r="AG217">
        <v>206.98400000000001</v>
      </c>
      <c r="AH217">
        <v>0.68799999999999994</v>
      </c>
      <c r="AI217">
        <f>1/1.297</f>
        <v>0.77101002313030076</v>
      </c>
      <c r="AJ217">
        <f t="shared" si="51"/>
        <v>1.2969999999999999</v>
      </c>
      <c r="AK217">
        <v>0.77100000000000002</v>
      </c>
      <c r="AL217">
        <v>0.95599999999999996</v>
      </c>
      <c r="AN217">
        <v>0</v>
      </c>
      <c r="AO217">
        <v>24.27</v>
      </c>
      <c r="AP217">
        <v>0</v>
      </c>
      <c r="AQ217">
        <v>43.37</v>
      </c>
      <c r="AR217">
        <f>AO217/AQ217</f>
        <v>0.55960341249711787</v>
      </c>
    </row>
    <row r="218" spans="1:51" x14ac:dyDescent="0.25">
      <c r="B218" t="s">
        <v>314</v>
      </c>
      <c r="C218">
        <v>1117</v>
      </c>
      <c r="D218">
        <v>600</v>
      </c>
      <c r="H218">
        <v>35789</v>
      </c>
      <c r="I218" s="28">
        <f t="shared" si="45"/>
        <v>71578</v>
      </c>
      <c r="J218" t="s">
        <v>55</v>
      </c>
      <c r="K218" t="s">
        <v>43</v>
      </c>
      <c r="M218" s="3">
        <v>48.927999999999997</v>
      </c>
      <c r="N218">
        <v>22.87</v>
      </c>
      <c r="O218">
        <v>48.927999999999997</v>
      </c>
      <c r="P218">
        <v>24.558</v>
      </c>
      <c r="Q218">
        <v>878.84</v>
      </c>
      <c r="R218" s="28">
        <v>0</v>
      </c>
      <c r="S218">
        <f t="shared" si="46"/>
        <v>16.725533186531383</v>
      </c>
      <c r="T218" s="29">
        <f t="shared" si="47"/>
        <v>29.645235704915553</v>
      </c>
      <c r="U218">
        <v>131.55600000000001</v>
      </c>
      <c r="V218" s="29">
        <v>0.63800000000000001</v>
      </c>
      <c r="W218" s="30">
        <f>1/2.139</f>
        <v>0.4675081813931744</v>
      </c>
      <c r="X218">
        <f t="shared" si="48"/>
        <v>2.1389999999999998</v>
      </c>
      <c r="Y218" s="3">
        <v>0.46700000000000003</v>
      </c>
      <c r="Z218" s="3">
        <v>0.94799999999999995</v>
      </c>
      <c r="AA218">
        <v>48.610999999999997</v>
      </c>
      <c r="AB218">
        <v>36.127000000000002</v>
      </c>
      <c r="AC218">
        <v>54.942999999999998</v>
      </c>
      <c r="AD218">
        <v>35.296999999999997</v>
      </c>
      <c r="AE218">
        <v>1379.309</v>
      </c>
      <c r="AF218" s="30">
        <f t="shared" si="41"/>
        <v>37.139049530110483</v>
      </c>
      <c r="AG218">
        <v>145.309</v>
      </c>
      <c r="AH218">
        <v>0.82099999999999995</v>
      </c>
      <c r="AI218">
        <f>1/1.346</f>
        <v>0.74294205052005935</v>
      </c>
      <c r="AJ218">
        <f t="shared" si="51"/>
        <v>1.3460000000000001</v>
      </c>
      <c r="AK218">
        <v>0.74299999999999999</v>
      </c>
      <c r="AL218">
        <v>1</v>
      </c>
      <c r="AN218">
        <v>0.69276074203283544</v>
      </c>
      <c r="AO218">
        <v>31.56</v>
      </c>
      <c r="AP218">
        <v>1.8</v>
      </c>
      <c r="AQ218">
        <v>45</v>
      </c>
      <c r="AR218">
        <f t="shared" si="52"/>
        <v>0.70133333333333325</v>
      </c>
    </row>
    <row r="219" spans="1:51" x14ac:dyDescent="0.25">
      <c r="B219" t="s">
        <v>315</v>
      </c>
      <c r="C219">
        <v>1117</v>
      </c>
      <c r="D219">
        <v>600</v>
      </c>
      <c r="H219">
        <v>26749</v>
      </c>
      <c r="I219" s="28">
        <f t="shared" si="45"/>
        <v>53498</v>
      </c>
      <c r="J219" t="s">
        <v>55</v>
      </c>
      <c r="K219" t="s">
        <v>43</v>
      </c>
      <c r="L219" t="s">
        <v>74</v>
      </c>
      <c r="M219" s="3">
        <v>61.47</v>
      </c>
      <c r="N219">
        <v>33.624000000000002</v>
      </c>
      <c r="O219">
        <v>65.319000000000003</v>
      </c>
      <c r="P219">
        <v>35.700000000000003</v>
      </c>
      <c r="Q219">
        <v>1623.309</v>
      </c>
      <c r="R219" s="28">
        <v>1.6479999999999999</v>
      </c>
      <c r="S219">
        <f t="shared" si="46"/>
        <v>22.731372660513117</v>
      </c>
      <c r="T219" s="29">
        <f t="shared" si="47"/>
        <v>40.290309008494837</v>
      </c>
      <c r="U219">
        <v>181.41800000000001</v>
      </c>
      <c r="V219" s="29">
        <v>0.66</v>
      </c>
      <c r="W219" s="30">
        <f>1/1.828</f>
        <v>0.54704595185995619</v>
      </c>
      <c r="X219">
        <f t="shared" si="48"/>
        <v>1.8280000000000001</v>
      </c>
      <c r="Y219" s="3">
        <v>0.54700000000000004</v>
      </c>
      <c r="Z219" s="3">
        <v>0.9</v>
      </c>
      <c r="AA219">
        <v>64.277000000000001</v>
      </c>
      <c r="AB219">
        <v>47.23</v>
      </c>
      <c r="AC219">
        <v>73.197000000000003</v>
      </c>
      <c r="AD219">
        <v>51.777999999999999</v>
      </c>
      <c r="AE219">
        <v>2384.3090000000002</v>
      </c>
      <c r="AF219" s="30">
        <f t="shared" si="41"/>
        <v>48.829386643700538</v>
      </c>
      <c r="AG219">
        <v>193.59399999999999</v>
      </c>
      <c r="AH219">
        <v>0.79900000000000004</v>
      </c>
      <c r="AI219">
        <f>1/1.361</f>
        <v>0.73475385745775168</v>
      </c>
      <c r="AJ219">
        <f t="shared" si="51"/>
        <v>1.361</v>
      </c>
      <c r="AK219">
        <v>0.73499999999999999</v>
      </c>
      <c r="AL219">
        <v>1</v>
      </c>
      <c r="AN219">
        <v>0.74137118527401513</v>
      </c>
      <c r="AO219">
        <v>51.442999999999998</v>
      </c>
      <c r="AP219">
        <v>14.945</v>
      </c>
      <c r="AQ219">
        <v>58.69</v>
      </c>
      <c r="AR219">
        <f t="shared" si="52"/>
        <v>0.87652070199352528</v>
      </c>
      <c r="AS219">
        <f>AQ219/(AP219*0.5)</f>
        <v>7.8541318166610905</v>
      </c>
      <c r="AT219">
        <f>T219*SQRT(AS219)</f>
        <v>112.91449360100899</v>
      </c>
      <c r="AU219">
        <f>AT219+R219</f>
        <v>114.56249360100898</v>
      </c>
      <c r="AV219">
        <f>1+1.464*(AS219^1.65)</f>
        <v>44.898843928853502</v>
      </c>
      <c r="AW219">
        <f>AU219/AV219</f>
        <v>2.5515688952380193</v>
      </c>
    </row>
    <row r="220" spans="1:51" x14ac:dyDescent="0.25">
      <c r="B220" t="s">
        <v>316</v>
      </c>
      <c r="C220">
        <v>1117</v>
      </c>
      <c r="D220">
        <v>400</v>
      </c>
      <c r="H220">
        <v>157485</v>
      </c>
      <c r="I220" s="28">
        <f t="shared" si="45"/>
        <v>314970</v>
      </c>
      <c r="J220" t="s">
        <v>55</v>
      </c>
      <c r="K220" t="s">
        <v>43</v>
      </c>
      <c r="M220" s="3">
        <v>63.698</v>
      </c>
      <c r="N220">
        <v>46.886000000000003</v>
      </c>
      <c r="O220">
        <v>71.376000000000005</v>
      </c>
      <c r="P220">
        <v>48.935000000000002</v>
      </c>
      <c r="Q220">
        <v>2345.6509999999998</v>
      </c>
      <c r="R220" s="28">
        <v>0</v>
      </c>
      <c r="S220">
        <f t="shared" si="46"/>
        <v>27.324785503950341</v>
      </c>
      <c r="T220" s="29">
        <f t="shared" si="47"/>
        <v>48.431921291644002</v>
      </c>
      <c r="U220">
        <v>203.922</v>
      </c>
      <c r="V220" s="29">
        <v>0.70899999999999996</v>
      </c>
      <c r="W220" s="30">
        <f>1/1.359</f>
        <v>0.73583517292126566</v>
      </c>
      <c r="X220">
        <f t="shared" si="48"/>
        <v>1.359</v>
      </c>
      <c r="Y220" s="3">
        <v>0.73599999999999999</v>
      </c>
      <c r="Z220" s="3">
        <v>0.90700000000000003</v>
      </c>
      <c r="AA220">
        <v>62.115000000000002</v>
      </c>
      <c r="AB220">
        <v>56.042000000000002</v>
      </c>
      <c r="AC220">
        <v>70.597999999999999</v>
      </c>
      <c r="AD220">
        <v>52.475999999999999</v>
      </c>
      <c r="AE220">
        <v>2734.0230000000001</v>
      </c>
      <c r="AF220" s="30">
        <f t="shared" si="41"/>
        <v>52.287885786288967</v>
      </c>
      <c r="AG220">
        <v>202.018</v>
      </c>
      <c r="AH220">
        <v>0.84199999999999997</v>
      </c>
      <c r="AI220">
        <f>1/1.108</f>
        <v>0.90252707581227432</v>
      </c>
      <c r="AJ220">
        <f t="shared" si="51"/>
        <v>1.1080000000000001</v>
      </c>
      <c r="AK220">
        <v>0.90200000000000002</v>
      </c>
      <c r="AL220">
        <v>0.98099999999999998</v>
      </c>
      <c r="AN220">
        <v>0.84317760522534901</v>
      </c>
      <c r="AO220">
        <v>51.691000000000003</v>
      </c>
      <c r="AP220">
        <v>38.201999999999998</v>
      </c>
      <c r="AQ220">
        <v>60.154000000000003</v>
      </c>
      <c r="AR220">
        <f>AO220/AQ220</f>
        <v>0.85931110150613421</v>
      </c>
    </row>
    <row r="221" spans="1:51" x14ac:dyDescent="0.25">
      <c r="B221" s="33" t="s">
        <v>317</v>
      </c>
      <c r="C221">
        <v>1117</v>
      </c>
      <c r="D221">
        <v>400</v>
      </c>
      <c r="H221">
        <v>262039</v>
      </c>
      <c r="I221" s="28">
        <f t="shared" si="45"/>
        <v>524078</v>
      </c>
      <c r="J221" t="s">
        <v>55</v>
      </c>
      <c r="K221" t="s">
        <v>43</v>
      </c>
      <c r="M221" s="3">
        <v>50.98</v>
      </c>
      <c r="N221">
        <v>40.01</v>
      </c>
      <c r="O221">
        <v>77.953000000000003</v>
      </c>
      <c r="P221">
        <v>43.395000000000003</v>
      </c>
      <c r="Q221">
        <v>1602.16</v>
      </c>
      <c r="R221" s="28">
        <v>5</v>
      </c>
      <c r="S221">
        <f t="shared" si="46"/>
        <v>22.58281132295583</v>
      </c>
      <c r="T221" s="29">
        <f t="shared" si="47"/>
        <v>40.026990893645753</v>
      </c>
      <c r="U221">
        <v>157.41</v>
      </c>
      <c r="V221" s="29">
        <v>0.81</v>
      </c>
      <c r="W221" s="30">
        <f>1/1.577</f>
        <v>0.63411540900443886</v>
      </c>
      <c r="X221">
        <v>1.274</v>
      </c>
      <c r="Y221" s="3">
        <v>0.78500000000000003</v>
      </c>
      <c r="Z221" s="3">
        <v>0.94</v>
      </c>
      <c r="AA221">
        <v>58.3</v>
      </c>
      <c r="AB221">
        <v>48.32</v>
      </c>
      <c r="AC221">
        <v>70.88</v>
      </c>
      <c r="AD221">
        <v>49.4</v>
      </c>
      <c r="AE221">
        <v>2212.6</v>
      </c>
      <c r="AF221" s="30">
        <f t="shared" si="41"/>
        <v>47.038282281562957</v>
      </c>
      <c r="AG221">
        <v>190.95</v>
      </c>
      <c r="AH221">
        <v>0.76</v>
      </c>
      <c r="AI221">
        <f>1/1.325</f>
        <v>0.75471698113207553</v>
      </c>
      <c r="AJ221">
        <v>1.206</v>
      </c>
      <c r="AK221">
        <v>0.83</v>
      </c>
      <c r="AL221">
        <v>0.97799999999999998</v>
      </c>
      <c r="AN221">
        <v>0.86210866243405793</v>
      </c>
      <c r="AO221">
        <v>44.844999999999999</v>
      </c>
      <c r="AP221">
        <v>39.475999999999999</v>
      </c>
      <c r="AQ221">
        <v>56.912999999999997</v>
      </c>
      <c r="AR221">
        <f t="shared" si="52"/>
        <v>0.78795705726283982</v>
      </c>
    </row>
    <row r="222" spans="1:51" x14ac:dyDescent="0.25">
      <c r="B222" t="s">
        <v>318</v>
      </c>
      <c r="C222">
        <v>1117</v>
      </c>
      <c r="D222">
        <v>700</v>
      </c>
      <c r="H222">
        <v>14788</v>
      </c>
      <c r="I222" s="28">
        <f t="shared" si="45"/>
        <v>29576</v>
      </c>
      <c r="J222" t="s">
        <v>55</v>
      </c>
      <c r="K222" t="s">
        <v>43</v>
      </c>
      <c r="M222" s="3">
        <v>65.378</v>
      </c>
      <c r="N222">
        <v>40.774000000000001</v>
      </c>
      <c r="O222">
        <v>81.427000000000007</v>
      </c>
      <c r="P222">
        <v>47.521000000000001</v>
      </c>
      <c r="Q222">
        <v>2093.6709999999998</v>
      </c>
      <c r="R222" s="28">
        <v>0</v>
      </c>
      <c r="S222">
        <f t="shared" si="46"/>
        <v>25.815425189531609</v>
      </c>
      <c r="T222" s="29">
        <f t="shared" si="47"/>
        <v>45.756649789948561</v>
      </c>
      <c r="U222">
        <v>244.38900000000001</v>
      </c>
      <c r="V222" s="29">
        <v>0.441</v>
      </c>
      <c r="W222" s="30">
        <f>1/1.603</f>
        <v>0.62383031815346224</v>
      </c>
      <c r="X222">
        <f t="shared" si="48"/>
        <v>1.603</v>
      </c>
      <c r="Y222" s="3">
        <v>0.624</v>
      </c>
      <c r="Z222" s="3">
        <v>0.76800000000000002</v>
      </c>
      <c r="AA222">
        <v>78.287999999999997</v>
      </c>
      <c r="AB222">
        <v>47.122999999999998</v>
      </c>
      <c r="AC222">
        <v>78.287999999999997</v>
      </c>
      <c r="AD222">
        <v>48.097999999999999</v>
      </c>
      <c r="AE222">
        <v>2897.489</v>
      </c>
      <c r="AF222" s="30">
        <f t="shared" si="41"/>
        <v>53.828328972763032</v>
      </c>
      <c r="AG222">
        <v>216.75200000000001</v>
      </c>
      <c r="AH222">
        <v>0.77500000000000002</v>
      </c>
      <c r="AI222">
        <f>1/1.661</f>
        <v>0.60204695966285371</v>
      </c>
      <c r="AJ222">
        <f t="shared" si="51"/>
        <v>1.661</v>
      </c>
      <c r="AK222">
        <v>0.60199999999999998</v>
      </c>
      <c r="AL222">
        <v>0.98799999999999999</v>
      </c>
      <c r="AN222">
        <v>0.76909962596685721</v>
      </c>
      <c r="AO222">
        <v>75.001999999999995</v>
      </c>
      <c r="AP222">
        <v>81.789000000000001</v>
      </c>
      <c r="AQ222">
        <v>46.402000000000001</v>
      </c>
      <c r="AR222">
        <f t="shared" si="52"/>
        <v>1.6163527434162319</v>
      </c>
      <c r="AS222">
        <f>AQ222/(AP222*0.5)</f>
        <v>1.1346758121507783</v>
      </c>
      <c r="AT222">
        <f>T222*SQRT(AS222)</f>
        <v>48.740515408657011</v>
      </c>
      <c r="AU222">
        <f>AT222+R222</f>
        <v>48.740515408657011</v>
      </c>
      <c r="AV222">
        <f>1+1.464*(AS222^1.65)</f>
        <v>2.8033479976833191</v>
      </c>
      <c r="AW222">
        <f>AU222/AV222</f>
        <v>17.386537614643657</v>
      </c>
    </row>
    <row r="223" spans="1:51" x14ac:dyDescent="0.25">
      <c r="B223" t="s">
        <v>319</v>
      </c>
      <c r="C223">
        <v>1117</v>
      </c>
      <c r="D223">
        <v>700</v>
      </c>
      <c r="H223">
        <v>19496</v>
      </c>
      <c r="I223" s="28">
        <f t="shared" si="45"/>
        <v>38992</v>
      </c>
      <c r="J223" t="s">
        <v>55</v>
      </c>
      <c r="K223" t="s">
        <v>43</v>
      </c>
      <c r="L223" t="s">
        <v>320</v>
      </c>
      <c r="M223" s="3">
        <v>59.561</v>
      </c>
      <c r="N223">
        <v>22.241</v>
      </c>
      <c r="O223">
        <v>63.067999999999998</v>
      </c>
      <c r="P223">
        <v>29.489000000000001</v>
      </c>
      <c r="Q223">
        <v>1040.4259999999999</v>
      </c>
      <c r="R223" s="28">
        <v>0</v>
      </c>
      <c r="S223">
        <f t="shared" si="46"/>
        <v>18.198293371705397</v>
      </c>
      <c r="T223" s="29">
        <f t="shared" si="47"/>
        <v>32.25563516658756</v>
      </c>
      <c r="U223">
        <v>164.43</v>
      </c>
      <c r="V223" s="29">
        <v>0.48399999999999999</v>
      </c>
      <c r="W223" s="30">
        <f>1/2.678</f>
        <v>0.37341299477221807</v>
      </c>
      <c r="X223">
        <f t="shared" si="48"/>
        <v>2.6779999999999999</v>
      </c>
      <c r="Y223" s="3">
        <v>0.373</v>
      </c>
      <c r="Z223" s="3">
        <v>0.83199999999999996</v>
      </c>
      <c r="AA223">
        <v>67.247</v>
      </c>
      <c r="AB223">
        <v>34.200000000000003</v>
      </c>
      <c r="AC223">
        <v>69.03</v>
      </c>
      <c r="AD223">
        <v>31.497</v>
      </c>
      <c r="AE223">
        <v>1806.299</v>
      </c>
      <c r="AF223" s="30">
        <f t="shared" si="41"/>
        <v>42.500576466678659</v>
      </c>
      <c r="AG223">
        <v>179.18600000000001</v>
      </c>
      <c r="AH223">
        <v>0.70699999999999996</v>
      </c>
      <c r="AI223">
        <f>1/1.966</f>
        <v>0.50864699898270604</v>
      </c>
      <c r="AJ223">
        <f t="shared" si="51"/>
        <v>1.9659999999999997</v>
      </c>
      <c r="AK223">
        <v>0.50900000000000001</v>
      </c>
      <c r="AL223">
        <v>1</v>
      </c>
      <c r="AN223">
        <v>0.61156132862071444</v>
      </c>
      <c r="AO223">
        <v>29.608000000000001</v>
      </c>
      <c r="AQ223">
        <v>62.685000000000002</v>
      </c>
      <c r="AR223">
        <f t="shared" si="52"/>
        <v>0.47232990348568238</v>
      </c>
    </row>
    <row r="224" spans="1:51" s="6" customFormat="1" x14ac:dyDescent="0.25">
      <c r="A224" s="6" t="s">
        <v>296</v>
      </c>
      <c r="B224" s="6" t="s">
        <v>321</v>
      </c>
      <c r="C224" s="6">
        <v>1113</v>
      </c>
      <c r="D224" s="6">
        <v>500</v>
      </c>
      <c r="H224" s="6">
        <v>71457</v>
      </c>
      <c r="I224" s="39">
        <f t="shared" si="45"/>
        <v>142914</v>
      </c>
      <c r="J224" s="6" t="s">
        <v>55</v>
      </c>
      <c r="K224" s="6" t="s">
        <v>43</v>
      </c>
      <c r="M224" s="15">
        <v>72</v>
      </c>
      <c r="N224" s="6">
        <v>58</v>
      </c>
      <c r="O224" s="6">
        <v>89.991</v>
      </c>
      <c r="P224" s="6">
        <v>69.643000000000001</v>
      </c>
      <c r="Q224" s="6">
        <v>3323</v>
      </c>
      <c r="R224" s="39">
        <v>0</v>
      </c>
      <c r="S224" s="6">
        <f t="shared" si="46"/>
        <v>32.522972677612614</v>
      </c>
      <c r="T224" s="40">
        <f t="shared" si="47"/>
        <v>57.645468165329355</v>
      </c>
      <c r="U224" s="6">
        <v>236.58</v>
      </c>
      <c r="V224" s="40">
        <v>0.746</v>
      </c>
      <c r="W224" s="41">
        <f>1/1.214</f>
        <v>0.82372322899505768</v>
      </c>
      <c r="X224" s="6">
        <f t="shared" si="48"/>
        <v>1.214</v>
      </c>
      <c r="Y224" s="15">
        <v>0.82399999999999995</v>
      </c>
      <c r="Z224" s="15">
        <v>0.91700000000000004</v>
      </c>
      <c r="AA224" s="6">
        <v>77.61</v>
      </c>
      <c r="AB224" s="6">
        <v>65.513999999999996</v>
      </c>
      <c r="AC224" s="6">
        <v>93.695999999999998</v>
      </c>
      <c r="AD224" s="6">
        <v>72.278000000000006</v>
      </c>
      <c r="AE224" s="6">
        <v>3993.395</v>
      </c>
      <c r="AF224" s="41">
        <f t="shared" si="41"/>
        <v>63.19331451981293</v>
      </c>
      <c r="AG224" s="6">
        <v>260.14600000000002</v>
      </c>
      <c r="AH224" s="6">
        <v>0.74199999999999999</v>
      </c>
      <c r="AI224" s="6">
        <f>1/1.185</f>
        <v>0.8438818565400843</v>
      </c>
      <c r="AJ224" s="6">
        <f t="shared" si="51"/>
        <v>1.1850000000000001</v>
      </c>
      <c r="AK224" s="6">
        <v>0.84399999999999997</v>
      </c>
      <c r="AL224" s="6">
        <v>0.996</v>
      </c>
      <c r="AN224" s="6">
        <v>0.85246234841122948</v>
      </c>
      <c r="AO224" s="6">
        <v>67</v>
      </c>
      <c r="AP224" s="6">
        <v>56</v>
      </c>
      <c r="AQ224" s="6">
        <v>72</v>
      </c>
      <c r="AR224" s="6">
        <f t="shared" si="52"/>
        <v>0.93055555555555558</v>
      </c>
      <c r="AY224"/>
    </row>
    <row r="225" spans="1:49" x14ac:dyDescent="0.25">
      <c r="A225" t="s">
        <v>322</v>
      </c>
      <c r="B225" t="s">
        <v>323</v>
      </c>
      <c r="C225">
        <v>1113</v>
      </c>
      <c r="D225">
        <v>500</v>
      </c>
      <c r="H225">
        <v>65511</v>
      </c>
      <c r="I225" s="28">
        <f t="shared" si="45"/>
        <v>131022</v>
      </c>
      <c r="J225" t="s">
        <v>55</v>
      </c>
      <c r="K225" t="s">
        <v>43</v>
      </c>
      <c r="L225" t="s">
        <v>60</v>
      </c>
      <c r="M225" s="3">
        <v>118.178</v>
      </c>
      <c r="N225">
        <v>56.427</v>
      </c>
      <c r="O225">
        <v>176.61500000000001</v>
      </c>
      <c r="P225">
        <v>98.757000000000005</v>
      </c>
      <c r="Q225">
        <v>5237.3459999999995</v>
      </c>
      <c r="R225" s="28">
        <v>2.42</v>
      </c>
      <c r="S225">
        <f t="shared" si="46"/>
        <v>40.830123795613595</v>
      </c>
      <c r="T225" s="29">
        <f t="shared" si="47"/>
        <v>72.36951015448426</v>
      </c>
      <c r="U225">
        <v>559.10299999999995</v>
      </c>
      <c r="V225" s="29">
        <v>0.21099999999999999</v>
      </c>
      <c r="W225" s="30">
        <f>1/2.094</f>
        <v>0.47755491881566381</v>
      </c>
      <c r="X225">
        <f t="shared" si="48"/>
        <v>2.0939999999999999</v>
      </c>
      <c r="Y225" s="3">
        <v>0.47699999999999998</v>
      </c>
      <c r="Z225" s="3">
        <v>0.47699999999999998</v>
      </c>
      <c r="AA225">
        <v>150.66999999999999</v>
      </c>
      <c r="AB225">
        <v>108.715</v>
      </c>
      <c r="AC225">
        <v>176.17599999999999</v>
      </c>
      <c r="AD225">
        <v>122.063</v>
      </c>
      <c r="AE225">
        <v>12864.892</v>
      </c>
      <c r="AF225" s="30">
        <f t="shared" si="41"/>
        <v>113.42350726370614</v>
      </c>
      <c r="AG225">
        <v>464.58800000000002</v>
      </c>
      <c r="AH225">
        <v>0.749</v>
      </c>
      <c r="AI225">
        <f>1/1.386</f>
        <v>0.72150072150072153</v>
      </c>
      <c r="AJ225">
        <f t="shared" si="51"/>
        <v>1.3859999999999999</v>
      </c>
      <c r="AK225">
        <v>0.72199999999999998</v>
      </c>
      <c r="AL225">
        <v>0.998</v>
      </c>
      <c r="AN225">
        <v>0.59215614276132778</v>
      </c>
      <c r="AO225">
        <v>137.107</v>
      </c>
      <c r="AQ225">
        <v>127.004</v>
      </c>
      <c r="AR225">
        <f t="shared" si="52"/>
        <v>1.0795486756322634</v>
      </c>
    </row>
    <row r="226" spans="1:49" x14ac:dyDescent="0.25">
      <c r="B226" t="s">
        <v>324</v>
      </c>
      <c r="C226">
        <v>1113</v>
      </c>
      <c r="D226">
        <v>600</v>
      </c>
      <c r="H226">
        <v>29540</v>
      </c>
      <c r="I226" s="28">
        <f t="shared" si="45"/>
        <v>59080</v>
      </c>
      <c r="J226" t="s">
        <v>55</v>
      </c>
      <c r="K226" t="s">
        <v>43</v>
      </c>
      <c r="M226" s="3">
        <v>53.546999999999997</v>
      </c>
      <c r="N226">
        <v>39.462000000000003</v>
      </c>
      <c r="O226">
        <v>60.226999999999997</v>
      </c>
      <c r="P226">
        <v>44.35</v>
      </c>
      <c r="Q226">
        <v>1569.58</v>
      </c>
      <c r="R226" s="28">
        <v>0</v>
      </c>
      <c r="S226">
        <f t="shared" si="46"/>
        <v>22.352020739887347</v>
      </c>
      <c r="T226" s="29">
        <f t="shared" si="47"/>
        <v>39.617925235933292</v>
      </c>
      <c r="U226">
        <v>180.18700000000001</v>
      </c>
      <c r="V226" s="29">
        <v>0.64200000000000002</v>
      </c>
      <c r="W226" s="30">
        <f>1/1.357</f>
        <v>0.73691967575534267</v>
      </c>
      <c r="X226">
        <f t="shared" si="48"/>
        <v>1.357</v>
      </c>
      <c r="Y226" s="3">
        <v>0.73699999999999999</v>
      </c>
      <c r="Z226" s="3">
        <v>0.91900000000000004</v>
      </c>
      <c r="AA226">
        <v>56.149000000000001</v>
      </c>
      <c r="AB226">
        <v>47.45</v>
      </c>
      <c r="AC226">
        <v>63.881</v>
      </c>
      <c r="AD226">
        <v>46.844999999999999</v>
      </c>
      <c r="AE226">
        <v>2092.5129999999999</v>
      </c>
      <c r="AF226" s="30">
        <f t="shared" si="41"/>
        <v>45.743994141307773</v>
      </c>
      <c r="AG226">
        <v>176.77699999999999</v>
      </c>
      <c r="AH226">
        <v>0.84099999999999997</v>
      </c>
      <c r="AI226">
        <f>1/1.183</f>
        <v>0.84530853761622993</v>
      </c>
      <c r="AJ226">
        <f t="shared" si="51"/>
        <v>1.1830000000000001</v>
      </c>
      <c r="AK226">
        <v>0.84499999999999997</v>
      </c>
      <c r="AL226">
        <v>0.99299999999999999</v>
      </c>
      <c r="AN226">
        <v>0.83469209110641385</v>
      </c>
      <c r="AO226">
        <v>48.862000000000002</v>
      </c>
      <c r="AQ226">
        <v>46.082999999999998</v>
      </c>
      <c r="AR226">
        <f t="shared" si="52"/>
        <v>1.060304233665343</v>
      </c>
    </row>
    <row r="227" spans="1:49" x14ac:dyDescent="0.25">
      <c r="B227" t="s">
        <v>325</v>
      </c>
      <c r="C227">
        <v>1113</v>
      </c>
      <c r="D227">
        <v>600</v>
      </c>
      <c r="H227">
        <v>35054</v>
      </c>
      <c r="I227" s="28">
        <f t="shared" si="45"/>
        <v>70108</v>
      </c>
      <c r="J227" t="s">
        <v>55</v>
      </c>
      <c r="K227" t="s">
        <v>43</v>
      </c>
      <c r="M227" s="3">
        <v>33.786999999999999</v>
      </c>
      <c r="N227">
        <v>27.908000000000001</v>
      </c>
      <c r="O227">
        <v>42.456000000000003</v>
      </c>
      <c r="P227">
        <v>30.135999999999999</v>
      </c>
      <c r="Q227">
        <v>740.58699999999999</v>
      </c>
      <c r="R227" s="28">
        <v>0</v>
      </c>
      <c r="S227">
        <f t="shared" si="46"/>
        <v>15.35370195357442</v>
      </c>
      <c r="T227" s="29">
        <f t="shared" si="47"/>
        <v>27.213728153268526</v>
      </c>
      <c r="U227">
        <v>118.322</v>
      </c>
      <c r="V227" s="29">
        <v>0.66500000000000004</v>
      </c>
      <c r="W227" s="30">
        <f>1/1.211</f>
        <v>0.82576383154417832</v>
      </c>
      <c r="X227">
        <f t="shared" si="48"/>
        <v>1.2110000000000001</v>
      </c>
      <c r="Y227" s="3">
        <v>0.82599999999999996</v>
      </c>
      <c r="Z227" s="3">
        <v>0.86699999999999999</v>
      </c>
      <c r="AA227">
        <v>42.701000000000001</v>
      </c>
      <c r="AB227">
        <v>30.649000000000001</v>
      </c>
      <c r="AC227">
        <v>47.973999999999997</v>
      </c>
      <c r="AD227">
        <v>30.754000000000001</v>
      </c>
      <c r="AE227">
        <v>1027.8710000000001</v>
      </c>
      <c r="AF227" s="30">
        <f t="shared" si="41"/>
        <v>32.060427320920098</v>
      </c>
      <c r="AG227">
        <v>126.123</v>
      </c>
      <c r="AH227">
        <v>0.81200000000000006</v>
      </c>
      <c r="AI227">
        <f>1/1.393</f>
        <v>0.71787508973438618</v>
      </c>
      <c r="AJ227">
        <f t="shared" si="51"/>
        <v>1.393</v>
      </c>
      <c r="AK227">
        <v>0.71799999999999997</v>
      </c>
      <c r="AL227">
        <v>0.995</v>
      </c>
      <c r="AN227">
        <v>0.88016517377867054</v>
      </c>
      <c r="AO227">
        <v>40.985999999999997</v>
      </c>
      <c r="AQ227">
        <v>30.157</v>
      </c>
      <c r="AR227">
        <f t="shared" si="52"/>
        <v>1.3590874423848525</v>
      </c>
    </row>
    <row r="228" spans="1:49" x14ac:dyDescent="0.25">
      <c r="B228" t="s">
        <v>326</v>
      </c>
      <c r="C228">
        <v>1113</v>
      </c>
      <c r="D228">
        <v>400</v>
      </c>
      <c r="H228">
        <v>109131</v>
      </c>
      <c r="I228" s="28">
        <f t="shared" si="45"/>
        <v>218262</v>
      </c>
      <c r="J228" t="s">
        <v>55</v>
      </c>
      <c r="K228" t="s">
        <v>43</v>
      </c>
      <c r="M228" s="3">
        <v>94.924999999999997</v>
      </c>
      <c r="N228">
        <v>30.449000000000002</v>
      </c>
      <c r="O228">
        <v>104.94199999999999</v>
      </c>
      <c r="P228">
        <v>42.433</v>
      </c>
      <c r="Q228">
        <v>2270.1109999999999</v>
      </c>
      <c r="R228" s="34">
        <v>0</v>
      </c>
      <c r="S228">
        <f t="shared" si="46"/>
        <v>26.881197407008699</v>
      </c>
      <c r="T228" s="29">
        <f t="shared" si="47"/>
        <v>47.645681861003943</v>
      </c>
      <c r="U228">
        <v>267.71600000000001</v>
      </c>
      <c r="V228" s="29">
        <v>0.45100000000000001</v>
      </c>
      <c r="W228" s="30">
        <f>1/3.117</f>
        <v>0.32082130253448832</v>
      </c>
      <c r="X228">
        <f t="shared" si="48"/>
        <v>3.1169999999999995</v>
      </c>
      <c r="Y228" s="3">
        <v>0.32100000000000001</v>
      </c>
      <c r="Z228" s="3">
        <v>0.74299999999999999</v>
      </c>
      <c r="AA228">
        <v>91.111000000000004</v>
      </c>
      <c r="AB228">
        <v>49.029000000000003</v>
      </c>
      <c r="AC228">
        <v>101.631</v>
      </c>
      <c r="AD228">
        <v>54.902000000000001</v>
      </c>
      <c r="AE228">
        <v>3508.395</v>
      </c>
      <c r="AF228" s="30">
        <f t="shared" si="41"/>
        <v>59.231706036547692</v>
      </c>
      <c r="AG228">
        <v>250.28</v>
      </c>
      <c r="AH228">
        <v>0.70399999999999996</v>
      </c>
      <c r="AI228">
        <f>1/1.858</f>
        <v>0.53821313240043056</v>
      </c>
      <c r="AJ228">
        <f t="shared" si="51"/>
        <v>1.8580000000000001</v>
      </c>
      <c r="AK228">
        <v>0.53800000000000003</v>
      </c>
      <c r="AL228">
        <v>0.998</v>
      </c>
      <c r="AN228">
        <v>0.53329299665294572</v>
      </c>
      <c r="AO228">
        <v>86.6</v>
      </c>
      <c r="AP228">
        <v>16</v>
      </c>
      <c r="AQ228">
        <v>53</v>
      </c>
      <c r="AR228">
        <f t="shared" si="52"/>
        <v>1.6339622641509433</v>
      </c>
      <c r="AS228">
        <f>AQ228/(AP228*0.5)</f>
        <v>6.625</v>
      </c>
      <c r="AT228">
        <f>T228*SQRT(AS228)</f>
        <v>122.63557956400746</v>
      </c>
      <c r="AU228">
        <f>AT228+R228</f>
        <v>122.63557956400746</v>
      </c>
      <c r="AV228">
        <f>1+1.464*(AS228^1.65)</f>
        <v>34.151087752105468</v>
      </c>
      <c r="AW228">
        <f>AU228/AV228</f>
        <v>3.5909714048990073</v>
      </c>
    </row>
    <row r="229" spans="1:49" x14ac:dyDescent="0.25">
      <c r="B229" t="s">
        <v>327</v>
      </c>
      <c r="C229">
        <v>1113</v>
      </c>
      <c r="D229">
        <v>400</v>
      </c>
      <c r="H229">
        <v>686372</v>
      </c>
      <c r="I229" s="28">
        <f t="shared" si="45"/>
        <v>1372744</v>
      </c>
      <c r="J229" t="s">
        <v>55</v>
      </c>
      <c r="K229" t="s">
        <v>43</v>
      </c>
      <c r="M229" s="3">
        <v>65.662999999999997</v>
      </c>
      <c r="N229">
        <v>32.5</v>
      </c>
      <c r="O229">
        <v>69.388999999999996</v>
      </c>
      <c r="P229">
        <v>34.667000000000002</v>
      </c>
      <c r="Q229">
        <v>1676.098</v>
      </c>
      <c r="R229" s="28">
        <v>5.0599999999999996</v>
      </c>
      <c r="S229">
        <f t="shared" si="46"/>
        <v>23.098020772630697</v>
      </c>
      <c r="T229" s="29">
        <f t="shared" si="47"/>
        <v>40.94017586674488</v>
      </c>
      <c r="U229">
        <v>201.20400000000001</v>
      </c>
      <c r="V229" s="29">
        <v>0.52</v>
      </c>
      <c r="W229" s="30">
        <f>1/2.02</f>
        <v>0.49504950495049505</v>
      </c>
      <c r="X229">
        <f t="shared" si="48"/>
        <v>2.02</v>
      </c>
      <c r="Y229" s="3">
        <v>0.495</v>
      </c>
      <c r="Z229" s="3">
        <v>0.83399999999999996</v>
      </c>
      <c r="AA229">
        <v>67.989999999999995</v>
      </c>
      <c r="AB229">
        <v>49.807000000000002</v>
      </c>
      <c r="AC229">
        <v>79.441000000000003</v>
      </c>
      <c r="AD229">
        <v>57.423000000000002</v>
      </c>
      <c r="AE229">
        <v>2659.6849999999999</v>
      </c>
      <c r="AF229" s="30">
        <f t="shared" si="41"/>
        <v>51.572133948480356</v>
      </c>
      <c r="AG229">
        <v>209.56700000000001</v>
      </c>
      <c r="AH229">
        <v>0.76100000000000001</v>
      </c>
      <c r="AI229">
        <f>1/1.365</f>
        <v>0.73260073260073255</v>
      </c>
      <c r="AJ229">
        <f t="shared" si="51"/>
        <v>1.365</v>
      </c>
      <c r="AK229">
        <v>0.73299999999999998</v>
      </c>
      <c r="AL229">
        <v>0.98899999999999999</v>
      </c>
      <c r="AN229">
        <v>0.65863697145959665</v>
      </c>
      <c r="AO229">
        <v>60.113999999999997</v>
      </c>
      <c r="AP229">
        <v>54.749000000000002</v>
      </c>
      <c r="AQ229">
        <v>57.273000000000003</v>
      </c>
      <c r="AR229">
        <f t="shared" si="52"/>
        <v>1.0496045256927347</v>
      </c>
      <c r="AS229">
        <f>AQ229/(AP229*0.5)</f>
        <v>2.0922025973077134</v>
      </c>
      <c r="AT229">
        <f>T229*SQRT(AS229)</f>
        <v>59.217705029342909</v>
      </c>
      <c r="AU229">
        <f>AT229+R229</f>
        <v>64.277705029342911</v>
      </c>
      <c r="AV229">
        <f>1+1.464*(AS229^1.65)</f>
        <v>5.9492255082945507</v>
      </c>
      <c r="AW229">
        <f>AU229/AV229</f>
        <v>10.804382005645175</v>
      </c>
    </row>
    <row r="230" spans="1:49" x14ac:dyDescent="0.25">
      <c r="B230" t="s">
        <v>328</v>
      </c>
      <c r="C230">
        <v>1113</v>
      </c>
      <c r="D230">
        <v>700</v>
      </c>
      <c r="H230">
        <v>22341</v>
      </c>
      <c r="I230" s="28">
        <f t="shared" si="45"/>
        <v>44682</v>
      </c>
      <c r="J230" t="s">
        <v>55</v>
      </c>
      <c r="K230" t="s">
        <v>43</v>
      </c>
      <c r="L230" t="s">
        <v>60</v>
      </c>
      <c r="M230" s="3">
        <v>49.241999999999997</v>
      </c>
      <c r="N230">
        <v>8.8339999999999996</v>
      </c>
      <c r="O230">
        <v>52.348999999999997</v>
      </c>
      <c r="P230">
        <v>13.635</v>
      </c>
      <c r="Q230">
        <v>341.673</v>
      </c>
      <c r="R230" s="28">
        <v>2</v>
      </c>
      <c r="S230">
        <f t="shared" si="46"/>
        <v>10.42870527640293</v>
      </c>
      <c r="T230" s="29">
        <f t="shared" si="47"/>
        <v>18.484398827119048</v>
      </c>
      <c r="U230">
        <v>124.051</v>
      </c>
      <c r="V230" s="29">
        <v>0.27900000000000003</v>
      </c>
      <c r="W230" s="30">
        <f>1/5.574</f>
        <v>0.17940437746681021</v>
      </c>
      <c r="X230">
        <f t="shared" si="48"/>
        <v>5.5739999999999998</v>
      </c>
      <c r="Y230" s="3">
        <v>0.17899999999999999</v>
      </c>
      <c r="Z230" s="3">
        <v>0.65400000000000003</v>
      </c>
      <c r="AA230">
        <v>50.707000000000001</v>
      </c>
      <c r="AB230">
        <v>27.298999999999999</v>
      </c>
      <c r="AC230">
        <v>54.451000000000001</v>
      </c>
      <c r="AD230">
        <v>31.172000000000001</v>
      </c>
      <c r="AE230">
        <v>1087.18</v>
      </c>
      <c r="AF230" s="30">
        <f t="shared" si="41"/>
        <v>32.972412711234831</v>
      </c>
      <c r="AG230">
        <v>141.04300000000001</v>
      </c>
      <c r="AH230">
        <v>0.68700000000000006</v>
      </c>
      <c r="AI230">
        <f>1/1.857</f>
        <v>0.53850296176628976</v>
      </c>
      <c r="AJ230">
        <f t="shared" si="51"/>
        <v>1.8569999999999998</v>
      </c>
      <c r="AK230">
        <v>0.53800000000000003</v>
      </c>
      <c r="AL230">
        <v>0.99099999999999999</v>
      </c>
      <c r="AN230">
        <v>0.44121733661720386</v>
      </c>
      <c r="AO230">
        <v>31.375</v>
      </c>
      <c r="AQ230">
        <v>46.448</v>
      </c>
      <c r="AR230">
        <f t="shared" si="52"/>
        <v>0.67548656562177056</v>
      </c>
    </row>
    <row r="231" spans="1:49" x14ac:dyDescent="0.25">
      <c r="B231" t="s">
        <v>329</v>
      </c>
      <c r="C231">
        <v>1113</v>
      </c>
      <c r="D231">
        <v>700</v>
      </c>
      <c r="H231">
        <v>15618</v>
      </c>
      <c r="J231" t="s">
        <v>55</v>
      </c>
      <c r="K231" t="s">
        <v>43</v>
      </c>
      <c r="M231" s="3">
        <v>46.39</v>
      </c>
      <c r="N231">
        <v>34.31</v>
      </c>
      <c r="O231">
        <v>59.5</v>
      </c>
      <c r="P231">
        <v>42.156999999999996</v>
      </c>
      <c r="Q231">
        <v>1250.066</v>
      </c>
      <c r="R231" s="34">
        <v>0</v>
      </c>
      <c r="S231">
        <f t="shared" si="46"/>
        <v>19.947640616930777</v>
      </c>
      <c r="T231" s="29">
        <f t="shared" si="47"/>
        <v>35.356272427958238</v>
      </c>
      <c r="U231">
        <v>174.34</v>
      </c>
      <c r="V231" s="29">
        <v>0.51700000000000002</v>
      </c>
      <c r="W231" s="30">
        <f>1/1.352</f>
        <v>0.73964497041420119</v>
      </c>
      <c r="X231">
        <f t="shared" si="48"/>
        <v>1.3520000000000001</v>
      </c>
      <c r="Y231" s="3">
        <v>0.74</v>
      </c>
      <c r="Z231" s="3">
        <v>0.80100000000000005</v>
      </c>
      <c r="AA231">
        <v>51.719000000000001</v>
      </c>
      <c r="AB231">
        <v>43.613</v>
      </c>
      <c r="AC231">
        <v>51.719000000000001</v>
      </c>
      <c r="AD231">
        <v>45.000999999999998</v>
      </c>
      <c r="AE231">
        <v>1771.5889999999999</v>
      </c>
      <c r="AF231" s="30">
        <f t="shared" si="41"/>
        <v>42.090248276768335</v>
      </c>
      <c r="AG231">
        <v>167.43799999999999</v>
      </c>
      <c r="AH231">
        <v>0.79400000000000004</v>
      </c>
      <c r="AI231">
        <f>1/1.186</f>
        <v>0.84317032040472184</v>
      </c>
      <c r="AJ231">
        <f t="shared" si="51"/>
        <v>1.1859999999999999</v>
      </c>
      <c r="AK231">
        <v>0.84299999999999997</v>
      </c>
      <c r="AL231">
        <v>1</v>
      </c>
      <c r="AN231">
        <v>0.84803714208616321</v>
      </c>
      <c r="AO231">
        <v>46.576000000000001</v>
      </c>
      <c r="AQ231">
        <v>47.670999999999999</v>
      </c>
      <c r="AR231">
        <f t="shared" si="52"/>
        <v>0.97703006020431715</v>
      </c>
    </row>
    <row r="232" spans="1:49" x14ac:dyDescent="0.25">
      <c r="B232" t="s">
        <v>330</v>
      </c>
      <c r="C232">
        <v>1113</v>
      </c>
      <c r="D232">
        <v>500</v>
      </c>
      <c r="H232">
        <v>165652</v>
      </c>
      <c r="I232" s="28">
        <f t="shared" si="45"/>
        <v>331304</v>
      </c>
      <c r="J232" t="s">
        <v>55</v>
      </c>
      <c r="K232" t="s">
        <v>43</v>
      </c>
      <c r="L232" t="s">
        <v>331</v>
      </c>
      <c r="M232" s="3">
        <v>37.119999999999997</v>
      </c>
      <c r="N232">
        <v>22.84</v>
      </c>
      <c r="O232">
        <v>44.000999999999998</v>
      </c>
      <c r="P232">
        <v>23.550999999999998</v>
      </c>
      <c r="Q232">
        <v>665.93399999999997</v>
      </c>
      <c r="R232" s="28">
        <v>0</v>
      </c>
      <c r="S232">
        <f t="shared" si="46"/>
        <v>14.55930546921509</v>
      </c>
      <c r="T232" s="29">
        <f t="shared" si="47"/>
        <v>25.805697045420029</v>
      </c>
      <c r="U232">
        <v>120.68300000000001</v>
      </c>
      <c r="V232" s="29">
        <v>0.57499999999999996</v>
      </c>
      <c r="W232" s="30">
        <f>1/1.625</f>
        <v>0.61538461538461542</v>
      </c>
      <c r="X232">
        <v>1.625</v>
      </c>
      <c r="Y232" s="3">
        <v>0.62</v>
      </c>
      <c r="Z232" s="3">
        <v>0.85</v>
      </c>
      <c r="AA232">
        <v>46.392000000000003</v>
      </c>
      <c r="AB232">
        <v>24.344999999999999</v>
      </c>
      <c r="AC232">
        <v>47.237000000000002</v>
      </c>
      <c r="AD232">
        <v>24.427</v>
      </c>
      <c r="AE232">
        <v>887.03599999999994</v>
      </c>
      <c r="AF232" s="30">
        <f t="shared" si="41"/>
        <v>29.783149598388682</v>
      </c>
      <c r="AG232">
        <v>124.21</v>
      </c>
      <c r="AH232">
        <v>0.72199999999999998</v>
      </c>
      <c r="AI232">
        <f>1/1.906</f>
        <v>0.52465897166841557</v>
      </c>
      <c r="AJ232">
        <f t="shared" si="51"/>
        <v>1.9059999999999999</v>
      </c>
      <c r="AK232">
        <v>0.52500000000000002</v>
      </c>
      <c r="AL232">
        <v>0.98799999999999999</v>
      </c>
      <c r="AN232">
        <v>0.69423777045652391</v>
      </c>
      <c r="AO232">
        <v>42.784999999999997</v>
      </c>
      <c r="AQ232">
        <v>24.119</v>
      </c>
      <c r="AR232">
        <f t="shared" si="52"/>
        <v>1.7739126829470542</v>
      </c>
    </row>
    <row r="233" spans="1:49" x14ac:dyDescent="0.25">
      <c r="B233" t="s">
        <v>332</v>
      </c>
      <c r="C233">
        <v>1113</v>
      </c>
      <c r="D233">
        <v>600</v>
      </c>
      <c r="H233">
        <v>33867</v>
      </c>
      <c r="I233" s="28">
        <f t="shared" si="45"/>
        <v>67734</v>
      </c>
      <c r="J233" t="s">
        <v>55</v>
      </c>
      <c r="K233" t="s">
        <v>43</v>
      </c>
      <c r="L233" t="s">
        <v>60</v>
      </c>
      <c r="M233" s="3">
        <v>52.540999999999997</v>
      </c>
      <c r="N233">
        <v>17.431000000000001</v>
      </c>
      <c r="O233">
        <v>53.862000000000002</v>
      </c>
      <c r="P233">
        <v>21.780999999999999</v>
      </c>
      <c r="Q233">
        <v>719.29300000000001</v>
      </c>
      <c r="R233" s="28">
        <v>0</v>
      </c>
      <c r="S233">
        <f t="shared" si="46"/>
        <v>15.131360578705319</v>
      </c>
      <c r="T233" s="29">
        <f t="shared" si="47"/>
        <v>26.81963832716616</v>
      </c>
      <c r="U233">
        <v>135.374</v>
      </c>
      <c r="V233" s="29">
        <v>0.49299999999999999</v>
      </c>
      <c r="W233" s="30">
        <f>1/3.014</f>
        <v>0.33178500331785005</v>
      </c>
      <c r="X233">
        <f t="shared" si="48"/>
        <v>3.0139999999999998</v>
      </c>
      <c r="Y233" s="3">
        <v>0.33200000000000002</v>
      </c>
      <c r="Z233" s="3">
        <v>0.85099999999999998</v>
      </c>
      <c r="AA233">
        <v>52.981999999999999</v>
      </c>
      <c r="AB233">
        <v>20.692</v>
      </c>
      <c r="AC233">
        <v>54.131</v>
      </c>
      <c r="AD233">
        <v>22.126999999999999</v>
      </c>
      <c r="AE233">
        <v>861.04600000000005</v>
      </c>
      <c r="AF233" s="30">
        <f t="shared" ref="AF233:AF296" si="53">SQRT(AE233)</f>
        <v>29.343585329676401</v>
      </c>
      <c r="AG233">
        <v>130.256</v>
      </c>
      <c r="AH233">
        <v>0.63800000000000001</v>
      </c>
      <c r="AI233">
        <f>1/2.561</f>
        <v>0.39047247169074584</v>
      </c>
      <c r="AJ233">
        <f t="shared" si="51"/>
        <v>2.5609999999999999</v>
      </c>
      <c r="AK233">
        <v>0.39100000000000001</v>
      </c>
      <c r="AL233">
        <v>0.99099999999999999</v>
      </c>
      <c r="AN233">
        <v>0.58803319100603002</v>
      </c>
      <c r="AO233">
        <v>52.256</v>
      </c>
      <c r="AQ233">
        <v>21.856999999999999</v>
      </c>
      <c r="AR233">
        <f t="shared" si="52"/>
        <v>2.3908130118497506</v>
      </c>
    </row>
    <row r="234" spans="1:49" x14ac:dyDescent="0.25">
      <c r="B234" t="s">
        <v>333</v>
      </c>
      <c r="C234">
        <v>1113</v>
      </c>
      <c r="D234">
        <v>400</v>
      </c>
      <c r="H234">
        <v>3402633</v>
      </c>
      <c r="J234" t="b">
        <v>0</v>
      </c>
      <c r="R234" s="28">
        <v>0</v>
      </c>
      <c r="S234">
        <f t="shared" si="46"/>
        <v>0</v>
      </c>
      <c r="T234" s="29">
        <f t="shared" si="47"/>
        <v>0</v>
      </c>
      <c r="X234" t="e">
        <f t="shared" si="48"/>
        <v>#DIV/0!</v>
      </c>
      <c r="AF234" s="30">
        <f t="shared" si="53"/>
        <v>0</v>
      </c>
      <c r="AJ234" t="e">
        <f t="shared" si="51"/>
        <v>#DIV/0!</v>
      </c>
      <c r="AN234" t="e">
        <v>#DIV/0!</v>
      </c>
    </row>
    <row r="235" spans="1:49" x14ac:dyDescent="0.25">
      <c r="B235" s="59" t="s">
        <v>334</v>
      </c>
      <c r="C235">
        <v>1113</v>
      </c>
      <c r="D235">
        <v>700</v>
      </c>
      <c r="H235">
        <v>24872</v>
      </c>
      <c r="I235" s="28">
        <f t="shared" si="45"/>
        <v>49744</v>
      </c>
      <c r="J235" t="s">
        <v>55</v>
      </c>
      <c r="K235" t="s">
        <v>43</v>
      </c>
      <c r="L235" t="s">
        <v>335</v>
      </c>
      <c r="M235" s="3">
        <v>20.254999999999999</v>
      </c>
      <c r="N235">
        <v>15.416</v>
      </c>
      <c r="O235">
        <v>24.971</v>
      </c>
      <c r="P235">
        <v>17.734999999999999</v>
      </c>
      <c r="Q235">
        <v>245.23599999999999</v>
      </c>
      <c r="R235" s="28">
        <v>0</v>
      </c>
      <c r="S235">
        <f t="shared" si="46"/>
        <v>8.8352160838413045</v>
      </c>
      <c r="T235" s="29">
        <f t="shared" si="47"/>
        <v>15.660012771386874</v>
      </c>
      <c r="U235">
        <v>69.802000000000007</v>
      </c>
      <c r="V235" s="29">
        <v>0.63200000000000001</v>
      </c>
      <c r="W235" s="30">
        <f>1/1.314</f>
        <v>0.76103500761035003</v>
      </c>
      <c r="X235">
        <f t="shared" si="48"/>
        <v>1.3140000000000001</v>
      </c>
      <c r="Y235" s="3">
        <v>0.76100000000000001</v>
      </c>
      <c r="Z235" s="3">
        <v>0.90800000000000003</v>
      </c>
      <c r="AA235">
        <v>21.484999999999999</v>
      </c>
      <c r="AB235">
        <v>16.638000000000002</v>
      </c>
      <c r="AC235">
        <v>25.707000000000001</v>
      </c>
      <c r="AD235">
        <v>18.864999999999998</v>
      </c>
      <c r="AE235">
        <v>280.76400000000001</v>
      </c>
      <c r="AF235" s="30">
        <f t="shared" si="53"/>
        <v>16.756013845780863</v>
      </c>
      <c r="AG235">
        <v>70.849999999999994</v>
      </c>
      <c r="AH235">
        <v>0.70299999999999996</v>
      </c>
      <c r="AI235">
        <f>1/1.291</f>
        <v>0.77459333849728895</v>
      </c>
      <c r="AJ235">
        <f t="shared" si="51"/>
        <v>1.2909999999999999</v>
      </c>
      <c r="AK235">
        <v>0.77400000000000002</v>
      </c>
      <c r="AL235">
        <v>0.98699999999999999</v>
      </c>
      <c r="AN235">
        <v>0.81698632241109714</v>
      </c>
      <c r="AO235">
        <v>20.39</v>
      </c>
      <c r="AQ235">
        <v>21.823</v>
      </c>
      <c r="AR235">
        <f t="shared" ref="AR235:AR287" si="54">AO235/AQ235</f>
        <v>0.93433533428034643</v>
      </c>
    </row>
    <row r="236" spans="1:49" x14ac:dyDescent="0.25">
      <c r="B236" t="s">
        <v>336</v>
      </c>
      <c r="C236">
        <v>1113</v>
      </c>
      <c r="D236">
        <v>500</v>
      </c>
      <c r="H236">
        <v>36341</v>
      </c>
      <c r="I236" s="28">
        <f t="shared" ref="I236:I243" si="55">H236*2</f>
        <v>72682</v>
      </c>
      <c r="J236" t="s">
        <v>55</v>
      </c>
      <c r="K236" t="s">
        <v>43</v>
      </c>
      <c r="M236" s="3">
        <v>92.876000000000005</v>
      </c>
      <c r="N236">
        <v>38.223999999999997</v>
      </c>
      <c r="O236">
        <v>94.477999999999994</v>
      </c>
      <c r="P236">
        <v>47.746000000000002</v>
      </c>
      <c r="Q236">
        <v>2788.2559999999999</v>
      </c>
      <c r="R236" s="28">
        <v>0</v>
      </c>
      <c r="S236">
        <f t="shared" ref="S236:S299" si="56">SQRT(Q236/PI())</f>
        <v>29.791432493441324</v>
      </c>
      <c r="T236" s="29">
        <f t="shared" ref="T236:T299" si="57">SQRT(Q236)</f>
        <v>52.803939246991789</v>
      </c>
      <c r="U236">
        <v>263.69</v>
      </c>
      <c r="V236" s="29">
        <v>0.55000000000000004</v>
      </c>
      <c r="W236" s="30">
        <f>1/2.43</f>
        <v>0.41152263374485593</v>
      </c>
      <c r="X236">
        <f t="shared" si="48"/>
        <v>2.4300000000000002</v>
      </c>
      <c r="Y236" s="3">
        <v>0.41199999999999998</v>
      </c>
      <c r="Z236" s="3">
        <v>0.86199999999999999</v>
      </c>
      <c r="AA236">
        <v>85.212999999999994</v>
      </c>
      <c r="AB236">
        <v>65.278999999999996</v>
      </c>
      <c r="AC236">
        <v>96.447999999999993</v>
      </c>
      <c r="AD236">
        <v>73.302000000000007</v>
      </c>
      <c r="AE236">
        <v>4368.8789999999999</v>
      </c>
      <c r="AF236" s="30">
        <f t="shared" si="53"/>
        <v>66.097496170429935</v>
      </c>
      <c r="AG236">
        <v>268.762</v>
      </c>
      <c r="AH236">
        <v>0.76</v>
      </c>
      <c r="AI236">
        <f>1/1.305</f>
        <v>0.76628352490421459</v>
      </c>
      <c r="AJ236">
        <f t="shared" si="51"/>
        <v>1.3049999999999999</v>
      </c>
      <c r="AK236">
        <v>0.76600000000000001</v>
      </c>
      <c r="AL236">
        <v>0.99399999999999999</v>
      </c>
      <c r="AN236">
        <v>0.65641987006497104</v>
      </c>
      <c r="AO236">
        <v>85.84</v>
      </c>
      <c r="AP236">
        <v>24</v>
      </c>
      <c r="AQ236">
        <v>81</v>
      </c>
      <c r="AR236">
        <f t="shared" si="54"/>
        <v>1.0597530864197531</v>
      </c>
    </row>
    <row r="237" spans="1:49" x14ac:dyDescent="0.25">
      <c r="B237" s="59" t="s">
        <v>337</v>
      </c>
      <c r="C237">
        <v>1113</v>
      </c>
      <c r="D237">
        <v>500</v>
      </c>
      <c r="H237">
        <v>55648</v>
      </c>
      <c r="I237" s="28">
        <f t="shared" si="55"/>
        <v>111296</v>
      </c>
      <c r="J237" t="s">
        <v>55</v>
      </c>
      <c r="K237" t="s">
        <v>43</v>
      </c>
      <c r="L237" t="s">
        <v>338</v>
      </c>
      <c r="M237" s="3">
        <v>76.018000000000001</v>
      </c>
      <c r="N237">
        <v>30.824000000000002</v>
      </c>
      <c r="O237">
        <v>108.188</v>
      </c>
      <c r="P237">
        <v>49.838000000000001</v>
      </c>
      <c r="Q237">
        <v>1840.3679999999999</v>
      </c>
      <c r="R237" s="28">
        <v>0</v>
      </c>
      <c r="S237">
        <f t="shared" si="56"/>
        <v>24.203456955903849</v>
      </c>
      <c r="T237" s="29">
        <f t="shared" si="57"/>
        <v>42.899510486717674</v>
      </c>
      <c r="U237">
        <v>336.70400000000001</v>
      </c>
      <c r="V237" s="29">
        <v>0.20399999999999999</v>
      </c>
      <c r="W237" s="30">
        <f>1/2.466</f>
        <v>0.40551500405515001</v>
      </c>
      <c r="X237">
        <f t="shared" si="48"/>
        <v>2.4660000000000002</v>
      </c>
      <c r="Y237" s="3">
        <v>0.40500000000000003</v>
      </c>
      <c r="Z237" s="3">
        <v>0.55000000000000004</v>
      </c>
      <c r="AA237">
        <v>110.908</v>
      </c>
      <c r="AB237">
        <v>52.384999999999998</v>
      </c>
      <c r="AC237">
        <v>113.479</v>
      </c>
      <c r="AD237">
        <v>50.671999999999997</v>
      </c>
      <c r="AE237">
        <v>4563.116</v>
      </c>
      <c r="AF237" s="30">
        <f t="shared" si="53"/>
        <v>67.55084011320659</v>
      </c>
      <c r="AG237">
        <v>282.70999999999998</v>
      </c>
      <c r="AH237">
        <v>0.71699999999999997</v>
      </c>
      <c r="AI237">
        <f>1/2.117</f>
        <v>0.47236655644780351</v>
      </c>
      <c r="AJ237">
        <f t="shared" si="51"/>
        <v>2.117</v>
      </c>
      <c r="AK237">
        <v>0.47199999999999998</v>
      </c>
      <c r="AL237">
        <v>0.99299999999999999</v>
      </c>
      <c r="AN237">
        <v>0.56114211886971865</v>
      </c>
      <c r="AO237">
        <v>106.48</v>
      </c>
      <c r="AP237">
        <v>24.872</v>
      </c>
      <c r="AQ237">
        <v>49.624000000000002</v>
      </c>
      <c r="AR237">
        <f t="shared" si="54"/>
        <v>2.145735934225375</v>
      </c>
      <c r="AS237">
        <f>AQ237/(AP237*0.5)</f>
        <v>3.9903505950466389</v>
      </c>
      <c r="AT237">
        <f>T237*SQRT(AS237)</f>
        <v>85.69546979802837</v>
      </c>
      <c r="AU237">
        <f>AT237+R237</f>
        <v>85.69546979802837</v>
      </c>
      <c r="AV237">
        <f>1+1.464*(AS237^1.65)</f>
        <v>15.361814636371527</v>
      </c>
      <c r="AW237">
        <f>AU237/AV237</f>
        <v>5.578473105327725</v>
      </c>
    </row>
    <row r="238" spans="1:49" x14ac:dyDescent="0.25">
      <c r="B238" t="s">
        <v>339</v>
      </c>
      <c r="C238">
        <v>1113</v>
      </c>
      <c r="D238">
        <v>600</v>
      </c>
      <c r="H238">
        <v>32968</v>
      </c>
      <c r="I238" s="28">
        <f t="shared" si="55"/>
        <v>65936</v>
      </c>
      <c r="J238" t="s">
        <v>55</v>
      </c>
      <c r="K238" t="s">
        <v>43</v>
      </c>
      <c r="M238" s="3">
        <v>76.245999999999995</v>
      </c>
      <c r="N238">
        <v>23.53</v>
      </c>
      <c r="O238">
        <v>83.444999999999993</v>
      </c>
      <c r="P238">
        <v>33.194000000000003</v>
      </c>
      <c r="Q238">
        <v>1409.068</v>
      </c>
      <c r="R238" s="28">
        <v>2</v>
      </c>
      <c r="S238">
        <f t="shared" si="56"/>
        <v>21.178297256985076</v>
      </c>
      <c r="T238" s="29">
        <f t="shared" si="57"/>
        <v>37.537554528764922</v>
      </c>
      <c r="U238">
        <v>209.79900000000001</v>
      </c>
      <c r="V238" s="29">
        <v>0.40200000000000002</v>
      </c>
      <c r="W238" s="30">
        <f>1/3.24</f>
        <v>0.30864197530864196</v>
      </c>
      <c r="X238">
        <f t="shared" si="48"/>
        <v>3.24</v>
      </c>
      <c r="Y238" s="3">
        <v>0.309</v>
      </c>
      <c r="Z238" s="3">
        <v>0.74</v>
      </c>
      <c r="AA238">
        <v>73.406000000000006</v>
      </c>
      <c r="AB238">
        <v>49.271999999999998</v>
      </c>
      <c r="AC238">
        <v>86.218999999999994</v>
      </c>
      <c r="AD238">
        <v>57.005000000000003</v>
      </c>
      <c r="AE238">
        <v>2840.692</v>
      </c>
      <c r="AF238" s="30">
        <f t="shared" si="53"/>
        <v>53.298142556753326</v>
      </c>
      <c r="AG238">
        <v>219.221</v>
      </c>
      <c r="AH238">
        <v>0.74299999999999999</v>
      </c>
      <c r="AI238">
        <f>1/1.49</f>
        <v>0.67114093959731547</v>
      </c>
      <c r="AJ238">
        <f t="shared" si="51"/>
        <v>1.49</v>
      </c>
      <c r="AK238">
        <v>0.67100000000000004</v>
      </c>
      <c r="AL238">
        <v>0.99399999999999999</v>
      </c>
      <c r="AN238">
        <v>0.57881277477385584</v>
      </c>
      <c r="AO238">
        <v>70.396000000000001</v>
      </c>
      <c r="AQ238">
        <v>57.030999999999999</v>
      </c>
      <c r="AR238">
        <f t="shared" si="54"/>
        <v>1.2343462327506094</v>
      </c>
    </row>
    <row r="239" spans="1:49" x14ac:dyDescent="0.25">
      <c r="B239" t="s">
        <v>340</v>
      </c>
      <c r="C239">
        <v>1113</v>
      </c>
      <c r="D239">
        <v>600</v>
      </c>
      <c r="H239">
        <v>24304</v>
      </c>
      <c r="I239" s="28">
        <f t="shared" si="55"/>
        <v>48608</v>
      </c>
      <c r="J239" t="s">
        <v>55</v>
      </c>
      <c r="K239" t="s">
        <v>43</v>
      </c>
      <c r="M239" s="3">
        <v>78.619</v>
      </c>
      <c r="N239">
        <v>39.072000000000003</v>
      </c>
      <c r="O239">
        <v>82.947999999999993</v>
      </c>
      <c r="P239">
        <v>46.978000000000002</v>
      </c>
      <c r="Q239">
        <v>2412.5940000000001</v>
      </c>
      <c r="R239" s="28">
        <v>0</v>
      </c>
      <c r="S239">
        <f t="shared" si="56"/>
        <v>27.71195629232437</v>
      </c>
      <c r="T239" s="29">
        <f t="shared" si="57"/>
        <v>49.118163646455677</v>
      </c>
      <c r="U239">
        <v>245.434</v>
      </c>
      <c r="V239" s="29">
        <v>0.503</v>
      </c>
      <c r="W239" s="30">
        <f>1/2.012</f>
        <v>0.49701789264413521</v>
      </c>
      <c r="X239">
        <f t="shared" si="48"/>
        <v>2.012</v>
      </c>
      <c r="Y239" s="3">
        <v>0.497</v>
      </c>
      <c r="Z239" s="3">
        <v>0.79900000000000004</v>
      </c>
      <c r="AA239">
        <v>77.534999999999997</v>
      </c>
      <c r="AB239">
        <v>49.235999999999997</v>
      </c>
      <c r="AC239">
        <v>82.988</v>
      </c>
      <c r="AD239">
        <v>46.716000000000001</v>
      </c>
      <c r="AE239">
        <v>2998.268</v>
      </c>
      <c r="AF239" s="30">
        <f t="shared" si="53"/>
        <v>54.756442543320873</v>
      </c>
      <c r="AG239">
        <v>226.87299999999999</v>
      </c>
      <c r="AH239">
        <v>0.73199999999999998</v>
      </c>
      <c r="AI239">
        <f>1/1.575</f>
        <v>0.63492063492063489</v>
      </c>
      <c r="AJ239">
        <f t="shared" si="51"/>
        <v>1.5750000000000002</v>
      </c>
      <c r="AK239">
        <v>0.63500000000000001</v>
      </c>
      <c r="AL239">
        <v>0.99199999999999999</v>
      </c>
      <c r="AN239">
        <v>0.64577330028498203</v>
      </c>
      <c r="AO239">
        <v>82.474999999999994</v>
      </c>
      <c r="AP239">
        <v>82.474999999999994</v>
      </c>
      <c r="AQ239">
        <v>46.405999999999999</v>
      </c>
      <c r="AR239">
        <f t="shared" si="54"/>
        <v>1.7772486316424601</v>
      </c>
      <c r="AS239">
        <f>AQ239/(AP239*0.5)</f>
        <v>1.125334949984844</v>
      </c>
      <c r="AT239">
        <f>T239*SQRT(AS239)</f>
        <v>52.105434921164743</v>
      </c>
      <c r="AU239">
        <f>AT239+R239</f>
        <v>52.105434921164743</v>
      </c>
      <c r="AV239">
        <f>1+1.464*(AS239^1.65)</f>
        <v>2.7789185281994069</v>
      </c>
      <c r="AW239">
        <f>AU239/AV239</f>
        <v>18.750256400977083</v>
      </c>
    </row>
    <row r="240" spans="1:49" x14ac:dyDescent="0.25">
      <c r="B240" t="s">
        <v>341</v>
      </c>
      <c r="C240">
        <v>1113</v>
      </c>
      <c r="D240">
        <v>400</v>
      </c>
      <c r="H240">
        <v>428122</v>
      </c>
      <c r="I240" s="28">
        <f t="shared" si="55"/>
        <v>856244</v>
      </c>
      <c r="J240" t="s">
        <v>55</v>
      </c>
      <c r="K240" t="s">
        <v>43</v>
      </c>
      <c r="M240" s="3">
        <v>54.351999999999997</v>
      </c>
      <c r="N240">
        <v>32.517000000000003</v>
      </c>
      <c r="O240">
        <v>66.391000000000005</v>
      </c>
      <c r="P240">
        <v>42.79</v>
      </c>
      <c r="Q240">
        <v>1388.1079999999999</v>
      </c>
      <c r="R240" s="28">
        <v>3.26</v>
      </c>
      <c r="S240">
        <f t="shared" si="56"/>
        <v>21.020192660649172</v>
      </c>
      <c r="T240" s="29">
        <f t="shared" si="57"/>
        <v>37.257321428143491</v>
      </c>
      <c r="U240">
        <v>186.66499999999999</v>
      </c>
      <c r="V240" s="29">
        <v>0.501</v>
      </c>
      <c r="W240" s="30">
        <f>1/1.671</f>
        <v>0.59844404548174746</v>
      </c>
      <c r="X240">
        <f t="shared" si="48"/>
        <v>1.671</v>
      </c>
      <c r="Y240" s="3">
        <v>0.59799999999999998</v>
      </c>
      <c r="Z240" s="3">
        <v>0.78500000000000003</v>
      </c>
      <c r="AA240">
        <v>65.855999999999995</v>
      </c>
      <c r="AB240">
        <v>43.165999999999997</v>
      </c>
      <c r="AC240">
        <v>68.295000000000002</v>
      </c>
      <c r="AD240">
        <v>47.052999999999997</v>
      </c>
      <c r="AE240">
        <v>2130.9780000000001</v>
      </c>
      <c r="AF240" s="30">
        <f t="shared" si="53"/>
        <v>46.162517262385073</v>
      </c>
      <c r="AG240">
        <v>186.63499999999999</v>
      </c>
      <c r="AH240">
        <v>0.76900000000000002</v>
      </c>
      <c r="AI240">
        <f>1/1.456</f>
        <v>0.68681318681318682</v>
      </c>
      <c r="AJ240">
        <f t="shared" si="51"/>
        <v>1.456</v>
      </c>
      <c r="AK240">
        <v>0.68700000000000006</v>
      </c>
      <c r="AL240">
        <v>0.98699999999999999</v>
      </c>
      <c r="AN240">
        <v>0.74802239070618803</v>
      </c>
      <c r="AO240">
        <v>63.338999999999999</v>
      </c>
      <c r="AQ240">
        <v>43.576000000000001</v>
      </c>
      <c r="AR240">
        <f t="shared" si="54"/>
        <v>1.4535294657609692</v>
      </c>
    </row>
    <row r="241" spans="1:49" x14ac:dyDescent="0.25">
      <c r="B241" t="s">
        <v>342</v>
      </c>
      <c r="C241">
        <v>1113</v>
      </c>
      <c r="D241">
        <v>400</v>
      </c>
      <c r="H241">
        <v>138168</v>
      </c>
      <c r="I241" s="28">
        <f t="shared" si="55"/>
        <v>276336</v>
      </c>
      <c r="J241" t="s">
        <v>55</v>
      </c>
      <c r="K241" t="s">
        <v>43</v>
      </c>
      <c r="M241" s="3">
        <v>65.316999999999993</v>
      </c>
      <c r="N241">
        <v>40.777000000000001</v>
      </c>
      <c r="O241">
        <v>72.317999999999998</v>
      </c>
      <c r="P241">
        <v>45.77</v>
      </c>
      <c r="Q241">
        <v>2091.8389999999999</v>
      </c>
      <c r="R241" s="28">
        <v>0</v>
      </c>
      <c r="S241">
        <f t="shared" si="56"/>
        <v>25.804128235707061</v>
      </c>
      <c r="T241" s="29">
        <f t="shared" si="57"/>
        <v>45.736626460638739</v>
      </c>
      <c r="U241">
        <v>196.53700000000001</v>
      </c>
      <c r="V241" s="29">
        <v>0.68100000000000005</v>
      </c>
      <c r="W241" s="30">
        <f>1/1.602</f>
        <v>0.62421972534332082</v>
      </c>
      <c r="X241">
        <f t="shared" si="48"/>
        <v>1.6020000000000001</v>
      </c>
      <c r="Y241" s="3">
        <v>0.624</v>
      </c>
      <c r="Z241" s="3">
        <v>0.90400000000000003</v>
      </c>
      <c r="AA241">
        <v>64.171999999999997</v>
      </c>
      <c r="AB241">
        <v>53.225000000000001</v>
      </c>
      <c r="AC241">
        <v>72.248999999999995</v>
      </c>
      <c r="AD241">
        <v>52.359000000000002</v>
      </c>
      <c r="AE241">
        <v>2682.6010000000001</v>
      </c>
      <c r="AF241" s="30">
        <f t="shared" si="53"/>
        <v>51.793831679071594</v>
      </c>
      <c r="AG241">
        <v>206.16900000000001</v>
      </c>
      <c r="AH241">
        <v>0.79300000000000004</v>
      </c>
      <c r="AI241">
        <f>1/1.206</f>
        <v>0.82918739635157546</v>
      </c>
      <c r="AJ241">
        <f t="shared" si="51"/>
        <v>1.206</v>
      </c>
      <c r="AK241">
        <v>0.82899999999999996</v>
      </c>
      <c r="AL241">
        <v>0.98899999999999999</v>
      </c>
      <c r="AN241">
        <v>0.75668870822754952</v>
      </c>
      <c r="AO241">
        <v>66.441999999999993</v>
      </c>
      <c r="AP241">
        <v>30.667000000000002</v>
      </c>
      <c r="AQ241">
        <v>52.566000000000003</v>
      </c>
      <c r="AR241">
        <f t="shared" si="54"/>
        <v>1.2639729102461665</v>
      </c>
      <c r="AS241">
        <f>AQ241/(AP241*0.5)</f>
        <v>3.4281801284768645</v>
      </c>
      <c r="AT241">
        <f>T241*SQRT(AS241)</f>
        <v>84.682943334374684</v>
      </c>
      <c r="AU241">
        <f>AT241+R241</f>
        <v>84.682943334374684</v>
      </c>
      <c r="AV241">
        <f>1+1.464*(AS241^1.65)</f>
        <v>12.178822785931898</v>
      </c>
      <c r="AW241">
        <f>AU241/AV241</f>
        <v>6.9532946511213174</v>
      </c>
    </row>
    <row r="242" spans="1:49" x14ac:dyDescent="0.25">
      <c r="B242" t="s">
        <v>343</v>
      </c>
      <c r="C242">
        <v>1113</v>
      </c>
      <c r="D242">
        <v>700</v>
      </c>
      <c r="H242">
        <v>17753</v>
      </c>
      <c r="I242" s="28">
        <f t="shared" si="55"/>
        <v>35506</v>
      </c>
      <c r="J242" t="s">
        <v>55</v>
      </c>
      <c r="K242" t="s">
        <v>43</v>
      </c>
      <c r="M242" s="3">
        <v>87.441000000000003</v>
      </c>
      <c r="N242">
        <v>17.23</v>
      </c>
      <c r="O242">
        <v>100.907</v>
      </c>
      <c r="P242">
        <v>26.233000000000001</v>
      </c>
      <c r="Q242">
        <v>1183.2919999999999</v>
      </c>
      <c r="R242" s="28">
        <v>18.513000000000002</v>
      </c>
      <c r="S242">
        <f t="shared" si="56"/>
        <v>19.407564036792202</v>
      </c>
      <c r="T242" s="29">
        <f t="shared" si="57"/>
        <v>34.399011613707742</v>
      </c>
      <c r="U242">
        <v>238.483</v>
      </c>
      <c r="V242" s="29">
        <v>0.26100000000000001</v>
      </c>
      <c r="W242" s="30">
        <f>1/5.075</f>
        <v>0.19704433497536944</v>
      </c>
      <c r="X242">
        <f t="shared" si="48"/>
        <v>5.0750000000000002</v>
      </c>
      <c r="Y242" s="3">
        <v>0.19700000000000001</v>
      </c>
      <c r="Z242" s="3">
        <v>0.70099999999999996</v>
      </c>
      <c r="AA242">
        <v>113.9</v>
      </c>
      <c r="AB242">
        <v>48.542000000000002</v>
      </c>
      <c r="AC242">
        <v>109.086</v>
      </c>
      <c r="AD242">
        <v>45.569000000000003</v>
      </c>
      <c r="AE242">
        <v>4342.415</v>
      </c>
      <c r="AF242" s="30">
        <f t="shared" si="53"/>
        <v>65.897002966751074</v>
      </c>
      <c r="AG242">
        <v>283.02999999999997</v>
      </c>
      <c r="AH242">
        <v>0.68100000000000005</v>
      </c>
      <c r="AI242">
        <f>1/2.346</f>
        <v>0.42625745950554134</v>
      </c>
      <c r="AJ242">
        <f t="shared" si="51"/>
        <v>2.3460000000000001</v>
      </c>
      <c r="AK242">
        <v>0.42599999999999999</v>
      </c>
      <c r="AL242">
        <v>0.998</v>
      </c>
      <c r="AN242">
        <v>0.44885378009237281</v>
      </c>
      <c r="AO242">
        <v>101.21599999999999</v>
      </c>
      <c r="AQ242">
        <v>26.12</v>
      </c>
      <c r="AR242">
        <f t="shared" si="54"/>
        <v>3.8750382848392033</v>
      </c>
    </row>
    <row r="243" spans="1:49" x14ac:dyDescent="0.25">
      <c r="B243" t="s">
        <v>344</v>
      </c>
      <c r="C243">
        <v>1113</v>
      </c>
      <c r="D243">
        <v>700</v>
      </c>
      <c r="H243">
        <v>22856</v>
      </c>
      <c r="I243" s="28">
        <f t="shared" si="55"/>
        <v>45712</v>
      </c>
      <c r="J243" t="s">
        <v>55</v>
      </c>
      <c r="K243" t="s">
        <v>43</v>
      </c>
      <c r="L243" t="s">
        <v>60</v>
      </c>
      <c r="M243" s="3">
        <v>57.923000000000002</v>
      </c>
      <c r="N243">
        <v>12.693</v>
      </c>
      <c r="O243">
        <v>63.185000000000002</v>
      </c>
      <c r="P243">
        <v>15.848000000000001</v>
      </c>
      <c r="Q243">
        <v>577.45000000000005</v>
      </c>
      <c r="R243" s="28">
        <v>0</v>
      </c>
      <c r="S243">
        <f t="shared" si="56"/>
        <v>13.557582519639331</v>
      </c>
      <c r="T243" s="29">
        <f t="shared" si="57"/>
        <v>24.030189345904041</v>
      </c>
      <c r="U243">
        <v>159.334</v>
      </c>
      <c r="V243" s="29">
        <v>0.28599999999999998</v>
      </c>
      <c r="W243" s="30">
        <f>1/4.563</f>
        <v>0.21915406530791148</v>
      </c>
      <c r="X243">
        <f t="shared" si="48"/>
        <v>4.5629999999999997</v>
      </c>
      <c r="Y243" s="3">
        <v>0.219</v>
      </c>
      <c r="Z243" s="3">
        <v>0.79300000000000004</v>
      </c>
      <c r="AA243">
        <v>69.477000000000004</v>
      </c>
      <c r="AB243">
        <v>17.77</v>
      </c>
      <c r="AC243">
        <v>64.11</v>
      </c>
      <c r="AD243">
        <v>16.945</v>
      </c>
      <c r="AE243">
        <v>969.65899999999999</v>
      </c>
      <c r="AF243" s="30">
        <f t="shared" si="53"/>
        <v>31.139348098507135</v>
      </c>
      <c r="AG243">
        <v>152.947</v>
      </c>
      <c r="AH243">
        <v>0.52100000000000002</v>
      </c>
      <c r="AI243">
        <f>1/3.91</f>
        <v>0.25575447570332482</v>
      </c>
      <c r="AJ243">
        <f t="shared" si="51"/>
        <v>3.9099999999999997</v>
      </c>
      <c r="AK243">
        <v>0.25600000000000001</v>
      </c>
      <c r="AL243">
        <v>0.96899999999999997</v>
      </c>
      <c r="AN243">
        <v>0.46973429342714734</v>
      </c>
      <c r="AO243">
        <v>62.314</v>
      </c>
      <c r="AQ243">
        <v>17.388999999999999</v>
      </c>
      <c r="AR243">
        <f t="shared" si="54"/>
        <v>3.5835298177008457</v>
      </c>
    </row>
    <row r="244" spans="1:49" s="6" customFormat="1" x14ac:dyDescent="0.25">
      <c r="A244" s="15" t="s">
        <v>345</v>
      </c>
      <c r="B244" s="6" t="s">
        <v>346</v>
      </c>
      <c r="C244" s="6">
        <v>1163</v>
      </c>
      <c r="D244" s="6">
        <v>500</v>
      </c>
      <c r="E244" s="13"/>
      <c r="F244" s="13"/>
      <c r="G244" s="13"/>
      <c r="H244" s="6">
        <v>120248</v>
      </c>
      <c r="I244" s="39">
        <v>240496</v>
      </c>
      <c r="J244" s="6" t="b">
        <v>0</v>
      </c>
      <c r="K244" s="6" t="s">
        <v>43</v>
      </c>
      <c r="L244" s="6" t="s">
        <v>347</v>
      </c>
      <c r="M244" s="15">
        <v>311.81</v>
      </c>
      <c r="N244" s="6">
        <v>100.59</v>
      </c>
      <c r="O244" s="6">
        <v>412.77</v>
      </c>
      <c r="P244" s="6">
        <v>218.46</v>
      </c>
      <c r="Q244" s="6">
        <v>24633.99</v>
      </c>
      <c r="R244" s="39">
        <v>986.15</v>
      </c>
      <c r="S244" s="15">
        <f t="shared" si="56"/>
        <v>88.550790810430584</v>
      </c>
      <c r="T244" s="40">
        <f t="shared" si="57"/>
        <v>156.95219017267647</v>
      </c>
      <c r="U244" s="6">
        <v>1485.58</v>
      </c>
      <c r="V244" s="40">
        <v>0.14000000000000001</v>
      </c>
      <c r="W244" s="41">
        <f t="shared" ref="W244:W307" si="58">1/X244</f>
        <v>0.32258064516129031</v>
      </c>
      <c r="X244" s="6">
        <v>3.1</v>
      </c>
      <c r="Y244" s="15">
        <v>0.32</v>
      </c>
      <c r="Z244" s="15">
        <v>0.38</v>
      </c>
      <c r="AA244" s="6">
        <v>409.36</v>
      </c>
      <c r="AB244" s="6">
        <v>192.64</v>
      </c>
      <c r="AC244" s="6">
        <v>416.66</v>
      </c>
      <c r="AD244" s="6">
        <v>214.77</v>
      </c>
      <c r="AE244" s="6">
        <v>61934.03</v>
      </c>
      <c r="AF244" s="41">
        <f t="shared" si="53"/>
        <v>248.86548575485511</v>
      </c>
      <c r="AG244" s="6">
        <v>1038.23</v>
      </c>
      <c r="AH244" s="6">
        <v>0.72</v>
      </c>
      <c r="AI244" s="15">
        <f t="shared" ref="AI244:AI307" si="59">1/AJ244</f>
        <v>0.46948356807511737</v>
      </c>
      <c r="AJ244" s="6">
        <v>2.13</v>
      </c>
      <c r="AK244" s="6">
        <v>0.47</v>
      </c>
      <c r="AL244" s="6">
        <v>0.97</v>
      </c>
      <c r="AN244" s="6">
        <v>0</v>
      </c>
      <c r="AO244" s="6">
        <v>334.22</v>
      </c>
      <c r="AQ244" s="6">
        <v>315.31</v>
      </c>
      <c r="AR244" s="15">
        <f t="shared" si="54"/>
        <v>1.0599727252545115</v>
      </c>
      <c r="AS244" s="15"/>
      <c r="AT244" s="15"/>
      <c r="AU244" s="15"/>
      <c r="AV244" s="15"/>
      <c r="AW244" s="15"/>
    </row>
    <row r="245" spans="1:49" x14ac:dyDescent="0.25">
      <c r="A245" s="3" t="s">
        <v>296</v>
      </c>
      <c r="B245" s="14" t="s">
        <v>348</v>
      </c>
      <c r="C245">
        <v>1163</v>
      </c>
      <c r="D245" s="14">
        <v>600</v>
      </c>
      <c r="E245" s="5"/>
      <c r="F245" s="5"/>
      <c r="G245" s="5"/>
      <c r="H245" s="14">
        <v>145890</v>
      </c>
      <c r="I245" s="47">
        <v>291780</v>
      </c>
      <c r="J245" s="14" t="s">
        <v>55</v>
      </c>
      <c r="K245" t="s">
        <v>43</v>
      </c>
      <c r="M245" s="3">
        <v>108.49</v>
      </c>
      <c r="N245">
        <v>59.02</v>
      </c>
      <c r="O245">
        <v>120.23</v>
      </c>
      <c r="P245">
        <v>69.09</v>
      </c>
      <c r="Q245">
        <v>5008</v>
      </c>
      <c r="R245" s="28">
        <v>29.568999999999999</v>
      </c>
      <c r="S245" s="3">
        <f t="shared" si="56"/>
        <v>39.926130666625134</v>
      </c>
      <c r="T245" s="29">
        <f t="shared" si="57"/>
        <v>70.767224051816527</v>
      </c>
      <c r="U245">
        <v>344.73</v>
      </c>
      <c r="V245" s="29">
        <v>0.53</v>
      </c>
      <c r="W245" s="30">
        <f t="shared" si="58"/>
        <v>0.54347826086956519</v>
      </c>
      <c r="X245">
        <v>1.84</v>
      </c>
      <c r="Y245" s="3">
        <v>0.54</v>
      </c>
      <c r="Z245" s="3">
        <v>0.84</v>
      </c>
      <c r="AA245">
        <v>155.66</v>
      </c>
      <c r="AB245">
        <v>87.32</v>
      </c>
      <c r="AC245">
        <v>163.63999999999999</v>
      </c>
      <c r="AD245">
        <v>80.17</v>
      </c>
      <c r="AE245">
        <v>10674.81</v>
      </c>
      <c r="AF245" s="30">
        <f t="shared" si="53"/>
        <v>103.3189721203226</v>
      </c>
      <c r="AG245">
        <v>425.09</v>
      </c>
      <c r="AH245">
        <v>0.74</v>
      </c>
      <c r="AI245" s="3">
        <f t="shared" si="59"/>
        <v>0.5617977528089888</v>
      </c>
      <c r="AJ245">
        <v>1.78</v>
      </c>
      <c r="AK245">
        <v>0.56000000000000005</v>
      </c>
      <c r="AL245">
        <v>0.99</v>
      </c>
      <c r="AN245">
        <v>0.71419483374574944</v>
      </c>
      <c r="AO245">
        <v>80.83</v>
      </c>
      <c r="AQ245">
        <v>151.25</v>
      </c>
      <c r="AR245" s="3">
        <f t="shared" si="54"/>
        <v>0.53441322314049589</v>
      </c>
    </row>
    <row r="246" spans="1:49" x14ac:dyDescent="0.25">
      <c r="A246" s="3"/>
      <c r="B246" t="s">
        <v>349</v>
      </c>
      <c r="C246">
        <v>1163</v>
      </c>
      <c r="D246">
        <v>700</v>
      </c>
      <c r="E246" s="5"/>
      <c r="F246" s="5"/>
      <c r="G246" s="5"/>
      <c r="H246">
        <v>81706</v>
      </c>
      <c r="I246" s="28">
        <v>163412</v>
      </c>
      <c r="J246" s="3" t="b">
        <v>0</v>
      </c>
      <c r="K246" s="3" t="s">
        <v>43</v>
      </c>
      <c r="L246" s="3"/>
      <c r="M246" s="3">
        <v>98.8</v>
      </c>
      <c r="N246" s="3">
        <v>41.41</v>
      </c>
      <c r="O246" s="3">
        <v>106.91</v>
      </c>
      <c r="P246" s="3">
        <v>49.51</v>
      </c>
      <c r="Q246" s="3">
        <v>3213.01</v>
      </c>
      <c r="R246" s="30">
        <v>183.74</v>
      </c>
      <c r="S246" s="3">
        <f t="shared" si="56"/>
        <v>31.98019461178092</v>
      </c>
      <c r="T246" s="29">
        <f t="shared" si="57"/>
        <v>56.683419092358925</v>
      </c>
      <c r="U246" s="3">
        <v>285.13</v>
      </c>
      <c r="V246" s="29">
        <v>0.5</v>
      </c>
      <c r="W246" s="30">
        <f t="shared" si="58"/>
        <v>0.41841004184100417</v>
      </c>
      <c r="X246" s="3">
        <v>2.39</v>
      </c>
      <c r="Y246" s="3">
        <v>0.42</v>
      </c>
      <c r="Z246" s="3">
        <v>0.76</v>
      </c>
      <c r="AA246" s="3">
        <v>101.73</v>
      </c>
      <c r="AB246" s="3">
        <v>56.36</v>
      </c>
      <c r="AC246" s="3">
        <v>107.43</v>
      </c>
      <c r="AD246" s="3">
        <v>53.87</v>
      </c>
      <c r="AE246" s="3">
        <v>4503.1499999999996</v>
      </c>
      <c r="AF246" s="30">
        <f t="shared" si="53"/>
        <v>67.105513931419964</v>
      </c>
      <c r="AG246" s="3">
        <v>267.55</v>
      </c>
      <c r="AH246" s="3">
        <v>0.79</v>
      </c>
      <c r="AI246" s="3">
        <f t="shared" si="59"/>
        <v>0.55555555555555558</v>
      </c>
      <c r="AJ246" s="3">
        <v>1.8</v>
      </c>
      <c r="AK246" s="3">
        <v>0.55000000000000004</v>
      </c>
      <c r="AL246" s="3">
        <v>1</v>
      </c>
      <c r="AM246" s="3"/>
      <c r="AN246" s="3">
        <v>0.63551504839013773</v>
      </c>
      <c r="AO246" s="3">
        <v>52.08</v>
      </c>
      <c r="AP246" s="3"/>
      <c r="AQ246" s="3">
        <v>96.45</v>
      </c>
      <c r="AR246" s="3">
        <f t="shared" si="54"/>
        <v>0.5399688958009331</v>
      </c>
      <c r="AS246" s="3"/>
      <c r="AT246" s="3"/>
      <c r="AU246" s="3"/>
      <c r="AV246" s="3"/>
      <c r="AW246" s="3"/>
    </row>
    <row r="247" spans="1:49" x14ac:dyDescent="0.25">
      <c r="A247" s="3"/>
      <c r="B247" t="s">
        <v>350</v>
      </c>
      <c r="C247">
        <v>1163</v>
      </c>
      <c r="D247">
        <v>700</v>
      </c>
      <c r="E247" s="5"/>
      <c r="F247" s="5"/>
      <c r="G247" s="5"/>
      <c r="H247">
        <v>53815</v>
      </c>
      <c r="I247" s="28">
        <v>107630</v>
      </c>
      <c r="J247" s="3" t="b">
        <v>0</v>
      </c>
      <c r="K247" s="3" t="s">
        <v>43</v>
      </c>
      <c r="L247" s="3"/>
      <c r="M247" s="3">
        <v>104.53</v>
      </c>
      <c r="N247" s="3">
        <v>63.91</v>
      </c>
      <c r="O247" s="3">
        <v>111.84</v>
      </c>
      <c r="P247" s="3">
        <v>68.75</v>
      </c>
      <c r="Q247" s="3">
        <v>5246.85</v>
      </c>
      <c r="R247" s="30">
        <v>321.23</v>
      </c>
      <c r="S247" s="3">
        <f t="shared" si="56"/>
        <v>40.867153391488159</v>
      </c>
      <c r="T247" s="29">
        <f t="shared" si="57"/>
        <v>72.435143404289605</v>
      </c>
      <c r="U247" s="3">
        <v>305.85000000000002</v>
      </c>
      <c r="V247" s="29">
        <v>0.7</v>
      </c>
      <c r="W247" s="30">
        <f t="shared" si="58"/>
        <v>0.6097560975609756</v>
      </c>
      <c r="X247" s="3">
        <v>1.64</v>
      </c>
      <c r="Y247" s="3">
        <v>0.61</v>
      </c>
      <c r="Z247" s="3">
        <v>0.92</v>
      </c>
      <c r="AA247" s="3">
        <v>108.66</v>
      </c>
      <c r="AB247" s="3">
        <v>68.459999999999994</v>
      </c>
      <c r="AC247" s="3">
        <v>114.35</v>
      </c>
      <c r="AD247" s="3">
        <v>70.510000000000005</v>
      </c>
      <c r="AE247" s="3">
        <v>5842.41</v>
      </c>
      <c r="AF247" s="30">
        <f t="shared" si="53"/>
        <v>76.435659217409778</v>
      </c>
      <c r="AG247" s="3">
        <v>295.13</v>
      </c>
      <c r="AH247" s="3">
        <v>0.84</v>
      </c>
      <c r="AI247" s="3">
        <f t="shared" si="59"/>
        <v>0.62893081761006286</v>
      </c>
      <c r="AJ247" s="3">
        <v>1.59</v>
      </c>
      <c r="AK247" s="3">
        <v>0.63</v>
      </c>
      <c r="AL247" s="3">
        <v>1</v>
      </c>
      <c r="AM247" s="3"/>
      <c r="AN247" s="3">
        <v>0.75019567392480757</v>
      </c>
      <c r="AO247" s="3">
        <v>74.63</v>
      </c>
      <c r="AP247" s="3"/>
      <c r="AQ247" s="3">
        <v>112.06</v>
      </c>
      <c r="AR247" s="3">
        <f t="shared" si="54"/>
        <v>0.66598250936998027</v>
      </c>
      <c r="AS247" s="3"/>
      <c r="AT247" s="3"/>
      <c r="AU247" s="3"/>
      <c r="AV247" s="3"/>
      <c r="AW247" s="3"/>
    </row>
    <row r="248" spans="1:49" x14ac:dyDescent="0.25">
      <c r="B248" t="s">
        <v>351</v>
      </c>
      <c r="C248">
        <v>1163</v>
      </c>
      <c r="D248">
        <v>600</v>
      </c>
      <c r="E248" s="5"/>
      <c r="F248" s="5"/>
      <c r="G248" s="5"/>
      <c r="H248">
        <v>136435</v>
      </c>
      <c r="I248" s="28">
        <v>272870</v>
      </c>
      <c r="J248" t="b">
        <v>0</v>
      </c>
      <c r="K248" t="s">
        <v>64</v>
      </c>
      <c r="M248" s="3">
        <v>97.72</v>
      </c>
      <c r="N248">
        <v>91.27</v>
      </c>
      <c r="O248">
        <v>117.73</v>
      </c>
      <c r="P248">
        <v>102.68</v>
      </c>
      <c r="Q248">
        <v>7004.58</v>
      </c>
      <c r="R248" s="28">
        <v>848.44</v>
      </c>
      <c r="S248" s="3">
        <f t="shared" si="56"/>
        <v>47.21892695270887</v>
      </c>
      <c r="T248" s="29">
        <f t="shared" si="57"/>
        <v>83.693368912955108</v>
      </c>
      <c r="U248">
        <v>380.17</v>
      </c>
      <c r="V248" s="29">
        <v>0.61</v>
      </c>
      <c r="W248" s="30">
        <f t="shared" si="58"/>
        <v>0.93457943925233644</v>
      </c>
      <c r="X248">
        <v>1.07</v>
      </c>
      <c r="Y248" s="3">
        <v>0.93</v>
      </c>
      <c r="Z248" s="3">
        <v>0.87</v>
      </c>
      <c r="AA248">
        <v>106.61</v>
      </c>
      <c r="AB248">
        <v>99.92</v>
      </c>
      <c r="AC248">
        <v>120.42</v>
      </c>
      <c r="AD248">
        <v>104.11</v>
      </c>
      <c r="AE248">
        <v>8367.02</v>
      </c>
      <c r="AF248" s="30">
        <f t="shared" si="53"/>
        <v>91.471416300394083</v>
      </c>
      <c r="AG248">
        <v>355.8</v>
      </c>
      <c r="AH248">
        <v>0.83</v>
      </c>
      <c r="AI248" s="3">
        <f t="shared" si="59"/>
        <v>0.93457943925233644</v>
      </c>
      <c r="AJ248">
        <v>1.07</v>
      </c>
      <c r="AK248">
        <v>0.94</v>
      </c>
      <c r="AL248">
        <v>1</v>
      </c>
      <c r="AN248">
        <v>0.83869107198626047</v>
      </c>
      <c r="AO248">
        <v>118.64</v>
      </c>
      <c r="AQ248">
        <v>115.92</v>
      </c>
      <c r="AR248" s="3">
        <f t="shared" si="54"/>
        <v>1.0234644582470669</v>
      </c>
      <c r="AS248" s="3"/>
      <c r="AT248" s="3"/>
      <c r="AU248" s="3"/>
      <c r="AV248" s="3"/>
      <c r="AW248" s="3"/>
    </row>
    <row r="249" spans="1:49" x14ac:dyDescent="0.25">
      <c r="B249" s="6" t="s">
        <v>352</v>
      </c>
      <c r="C249" s="6">
        <v>1163</v>
      </c>
      <c r="D249" s="6">
        <v>500</v>
      </c>
      <c r="E249" s="5"/>
      <c r="F249" s="5"/>
      <c r="G249" s="5"/>
      <c r="H249" s="6">
        <v>2085371</v>
      </c>
      <c r="I249" s="39">
        <v>4170742</v>
      </c>
      <c r="J249" t="b">
        <v>0</v>
      </c>
      <c r="K249" t="s">
        <v>43</v>
      </c>
      <c r="M249" s="3">
        <v>101.94</v>
      </c>
      <c r="N249">
        <v>48.84</v>
      </c>
      <c r="O249">
        <v>102.05</v>
      </c>
      <c r="P249">
        <v>54.91</v>
      </c>
      <c r="Q249">
        <v>3910.12</v>
      </c>
      <c r="R249" s="28">
        <v>669.28</v>
      </c>
      <c r="S249" s="3">
        <f t="shared" si="56"/>
        <v>35.27931195707994</v>
      </c>
      <c r="T249" s="29">
        <f t="shared" si="57"/>
        <v>62.530952335623354</v>
      </c>
      <c r="U249">
        <v>288.24</v>
      </c>
      <c r="V249" s="29">
        <v>0.59</v>
      </c>
      <c r="W249" s="30">
        <f t="shared" si="58"/>
        <v>0.47846889952153115</v>
      </c>
      <c r="X249">
        <v>2.09</v>
      </c>
      <c r="Y249" s="3">
        <v>0.48</v>
      </c>
      <c r="Z249" s="3">
        <v>0.83</v>
      </c>
      <c r="AA249">
        <v>103.85</v>
      </c>
      <c r="AB249">
        <v>57.95</v>
      </c>
      <c r="AC249">
        <v>102.37</v>
      </c>
      <c r="AD249">
        <v>55.49</v>
      </c>
      <c r="AE249">
        <v>4726.8100000000004</v>
      </c>
      <c r="AF249" s="30">
        <f t="shared" si="53"/>
        <v>68.751799976436985</v>
      </c>
      <c r="AG249">
        <v>268.33999999999997</v>
      </c>
      <c r="AH249">
        <v>0.82</v>
      </c>
      <c r="AI249" s="3">
        <f t="shared" si="59"/>
        <v>0.55865921787709494</v>
      </c>
      <c r="AJ249">
        <v>1.79</v>
      </c>
      <c r="AK249">
        <v>0.56000000000000005</v>
      </c>
      <c r="AL249">
        <v>1</v>
      </c>
      <c r="AN249">
        <v>0.68160746122796267</v>
      </c>
      <c r="AO249">
        <v>69.319999999999993</v>
      </c>
      <c r="AQ249">
        <v>96.36</v>
      </c>
      <c r="AR249" s="3">
        <f t="shared" si="54"/>
        <v>0.71938563719385629</v>
      </c>
      <c r="AS249" s="3"/>
      <c r="AT249" s="3"/>
      <c r="AU249" s="3"/>
      <c r="AV249" s="3"/>
      <c r="AW249" s="3"/>
    </row>
    <row r="250" spans="1:49" x14ac:dyDescent="0.25">
      <c r="B250" t="s">
        <v>353</v>
      </c>
      <c r="C250">
        <v>1163</v>
      </c>
      <c r="D250">
        <v>600</v>
      </c>
      <c r="E250" s="5"/>
      <c r="F250" s="5"/>
      <c r="G250" s="5"/>
      <c r="H250">
        <v>426998</v>
      </c>
      <c r="I250" s="28">
        <v>853996</v>
      </c>
      <c r="J250" t="b">
        <v>0</v>
      </c>
      <c r="K250" t="s">
        <v>43</v>
      </c>
      <c r="M250" s="3">
        <v>84.72</v>
      </c>
      <c r="N250">
        <v>47.86</v>
      </c>
      <c r="O250">
        <v>103.79</v>
      </c>
      <c r="P250">
        <v>63.38</v>
      </c>
      <c r="Q250">
        <v>3184.52</v>
      </c>
      <c r="R250" s="28">
        <v>1725.36</v>
      </c>
      <c r="S250" s="3">
        <f t="shared" si="56"/>
        <v>31.83809351625824</v>
      </c>
      <c r="T250" s="29">
        <f t="shared" si="57"/>
        <v>56.431551458381861</v>
      </c>
      <c r="U250">
        <v>339.71</v>
      </c>
      <c r="V250" s="29">
        <v>0.35</v>
      </c>
      <c r="W250" s="30">
        <f t="shared" si="58"/>
        <v>0.56497175141242939</v>
      </c>
      <c r="X250">
        <v>1.77</v>
      </c>
      <c r="Y250" s="3">
        <v>0.56000000000000005</v>
      </c>
      <c r="Z250" s="3">
        <v>0.69</v>
      </c>
      <c r="AA250">
        <v>97.16</v>
      </c>
      <c r="AB250">
        <v>61.39</v>
      </c>
      <c r="AC250">
        <v>104.64</v>
      </c>
      <c r="AD250">
        <v>63.32</v>
      </c>
      <c r="AE250">
        <v>4684.79</v>
      </c>
      <c r="AF250" s="30">
        <f t="shared" si="53"/>
        <v>68.445525785108842</v>
      </c>
      <c r="AG250">
        <v>273.68</v>
      </c>
      <c r="AH250">
        <v>0.79</v>
      </c>
      <c r="AI250" s="3">
        <f t="shared" si="59"/>
        <v>0.63291139240506322</v>
      </c>
      <c r="AJ250">
        <v>1.58</v>
      </c>
      <c r="AK250">
        <v>0.63</v>
      </c>
      <c r="AL250">
        <v>1</v>
      </c>
      <c r="AN250">
        <v>0.5937659239167753</v>
      </c>
      <c r="AO250">
        <v>66.319999999999993</v>
      </c>
      <c r="AQ250">
        <v>101.73</v>
      </c>
      <c r="AR250" s="3">
        <f t="shared" si="54"/>
        <v>0.65192175366165328</v>
      </c>
      <c r="AS250" s="3"/>
      <c r="AT250" s="3"/>
      <c r="AU250" s="3"/>
      <c r="AV250" s="3"/>
      <c r="AW250" s="3"/>
    </row>
    <row r="251" spans="1:49" x14ac:dyDescent="0.25">
      <c r="B251" t="s">
        <v>354</v>
      </c>
      <c r="C251">
        <v>1163</v>
      </c>
      <c r="D251">
        <v>700</v>
      </c>
      <c r="E251" s="5"/>
      <c r="F251" s="5"/>
      <c r="G251" s="5"/>
      <c r="H251">
        <v>211822</v>
      </c>
      <c r="I251" s="28">
        <v>423644</v>
      </c>
      <c r="J251" s="3" t="b">
        <v>0</v>
      </c>
      <c r="K251" s="3" t="s">
        <v>43</v>
      </c>
      <c r="L251" s="3"/>
      <c r="M251" s="3">
        <v>62.93</v>
      </c>
      <c r="N251" s="3">
        <v>27.89</v>
      </c>
      <c r="O251" s="3">
        <v>64.09</v>
      </c>
      <c r="P251" s="3">
        <v>31.75</v>
      </c>
      <c r="Q251" s="3">
        <v>1378.31</v>
      </c>
      <c r="R251" s="30">
        <v>118.65</v>
      </c>
      <c r="S251" s="3">
        <f t="shared" si="56"/>
        <v>20.945875470506849</v>
      </c>
      <c r="T251" s="29">
        <f t="shared" si="57"/>
        <v>37.125597638287253</v>
      </c>
      <c r="U251" s="3">
        <v>164.09</v>
      </c>
      <c r="V251" s="29">
        <v>0.64</v>
      </c>
      <c r="W251" s="30">
        <f t="shared" si="58"/>
        <v>0.44247787610619471</v>
      </c>
      <c r="X251" s="3">
        <v>2.2599999999999998</v>
      </c>
      <c r="Y251" s="3">
        <v>0.44</v>
      </c>
      <c r="Z251" s="3">
        <v>0.89</v>
      </c>
      <c r="AA251" s="3">
        <v>64.86</v>
      </c>
      <c r="AB251" s="3">
        <v>31.32</v>
      </c>
      <c r="AC251" s="3">
        <v>64.48</v>
      </c>
      <c r="AD251" s="3">
        <v>31.68</v>
      </c>
      <c r="AE251" s="3">
        <v>1595.47</v>
      </c>
      <c r="AF251" s="30">
        <f t="shared" si="53"/>
        <v>39.943334863278501</v>
      </c>
      <c r="AG251" s="3">
        <v>163.77000000000001</v>
      </c>
      <c r="AH251" s="3">
        <v>0.75</v>
      </c>
      <c r="AI251" s="3">
        <f t="shared" si="59"/>
        <v>0.48309178743961356</v>
      </c>
      <c r="AJ251" s="3">
        <v>2.0699999999999998</v>
      </c>
      <c r="AK251" s="3">
        <v>0.48</v>
      </c>
      <c r="AL251" s="3">
        <v>1</v>
      </c>
      <c r="AM251" s="3"/>
      <c r="AN251" s="3">
        <v>0.66152996824946841</v>
      </c>
      <c r="AO251" s="3">
        <v>39.549999999999997</v>
      </c>
      <c r="AP251" s="3"/>
      <c r="AQ251" s="3">
        <v>63.5</v>
      </c>
      <c r="AR251" s="3">
        <f t="shared" si="54"/>
        <v>0.62283464566929125</v>
      </c>
      <c r="AS251" s="3"/>
      <c r="AT251" s="3"/>
      <c r="AU251" s="3"/>
      <c r="AV251" s="3"/>
      <c r="AW251" s="3"/>
    </row>
    <row r="252" spans="1:49" x14ac:dyDescent="0.25">
      <c r="B252" t="s">
        <v>355</v>
      </c>
      <c r="C252">
        <v>1163</v>
      </c>
      <c r="D252">
        <v>600</v>
      </c>
      <c r="E252" s="5"/>
      <c r="F252" s="5"/>
      <c r="G252" s="5"/>
      <c r="H252">
        <v>1005499</v>
      </c>
      <c r="I252" s="28">
        <v>2010998</v>
      </c>
      <c r="J252" t="b">
        <v>0</v>
      </c>
      <c r="K252" t="s">
        <v>64</v>
      </c>
      <c r="M252" s="3">
        <v>24.67</v>
      </c>
      <c r="N252">
        <v>22.02</v>
      </c>
      <c r="O252">
        <v>25.44</v>
      </c>
      <c r="P252">
        <v>22.01</v>
      </c>
      <c r="Q252">
        <v>426.72</v>
      </c>
      <c r="R252" s="28">
        <v>643.16</v>
      </c>
      <c r="S252" s="3">
        <f t="shared" si="56"/>
        <v>11.654578269175902</v>
      </c>
      <c r="T252" s="29">
        <f t="shared" si="57"/>
        <v>20.65720213388057</v>
      </c>
      <c r="U252">
        <v>75.459999999999994</v>
      </c>
      <c r="V252" s="29">
        <v>0.94</v>
      </c>
      <c r="W252" s="30">
        <f t="shared" si="58"/>
        <v>0.89285714285714279</v>
      </c>
      <c r="X252">
        <v>1.1200000000000001</v>
      </c>
      <c r="Y252" s="3">
        <v>0.89</v>
      </c>
      <c r="Z252" s="3">
        <v>0.99</v>
      </c>
      <c r="AA252">
        <v>24.9</v>
      </c>
      <c r="AB252">
        <v>22.52</v>
      </c>
      <c r="AC252">
        <v>25.92</v>
      </c>
      <c r="AD252">
        <v>22.48</v>
      </c>
      <c r="AE252">
        <v>440.44</v>
      </c>
      <c r="AF252" s="30">
        <f t="shared" si="53"/>
        <v>20.986662431172803</v>
      </c>
      <c r="AG252">
        <v>76.12</v>
      </c>
      <c r="AH252">
        <v>0.96</v>
      </c>
      <c r="AI252" s="3">
        <f t="shared" si="59"/>
        <v>0.9009009009009008</v>
      </c>
      <c r="AJ252">
        <v>1.1100000000000001</v>
      </c>
      <c r="AK252">
        <v>0.9</v>
      </c>
      <c r="AL252">
        <v>1</v>
      </c>
      <c r="AN252">
        <v>0.9477310566758046</v>
      </c>
      <c r="AO252">
        <v>24.71</v>
      </c>
      <c r="AQ252">
        <v>23.06</v>
      </c>
      <c r="AR252" s="3">
        <f t="shared" si="54"/>
        <v>1.0715524718126628</v>
      </c>
      <c r="AS252" s="3"/>
      <c r="AT252" s="3"/>
      <c r="AU252" s="3"/>
      <c r="AV252" s="3"/>
      <c r="AW252" s="3"/>
    </row>
    <row r="253" spans="1:49" x14ac:dyDescent="0.25">
      <c r="B253" s="7" t="s">
        <v>356</v>
      </c>
      <c r="C253">
        <v>1163</v>
      </c>
      <c r="D253" s="7">
        <v>500</v>
      </c>
      <c r="E253" s="5"/>
      <c r="F253" s="5"/>
      <c r="G253" s="5"/>
      <c r="H253" s="7">
        <v>3458151</v>
      </c>
      <c r="I253" s="42">
        <v>6916302</v>
      </c>
      <c r="J253" t="b">
        <v>0</v>
      </c>
      <c r="K253" t="s">
        <v>43</v>
      </c>
      <c r="M253" s="3">
        <v>20.18</v>
      </c>
      <c r="N253">
        <v>8.1</v>
      </c>
      <c r="O253">
        <v>22.97</v>
      </c>
      <c r="P253">
        <v>11.77</v>
      </c>
      <c r="Q253">
        <v>128.41999999999999</v>
      </c>
      <c r="R253" s="28">
        <v>83.78</v>
      </c>
      <c r="S253" s="3">
        <f t="shared" si="56"/>
        <v>6.3935401448432616</v>
      </c>
      <c r="T253" s="29">
        <f t="shared" si="57"/>
        <v>11.33225485064645</v>
      </c>
      <c r="U253">
        <v>64.510000000000005</v>
      </c>
      <c r="V253" s="29">
        <v>0.39</v>
      </c>
      <c r="W253" s="30">
        <f t="shared" si="58"/>
        <v>0.40160642570281119</v>
      </c>
      <c r="X253">
        <v>2.4900000000000002</v>
      </c>
      <c r="Y253" s="3">
        <v>0.4</v>
      </c>
      <c r="Z253" s="3">
        <v>0.75</v>
      </c>
      <c r="AA253">
        <v>20.170000000000002</v>
      </c>
      <c r="AB253">
        <v>10.71</v>
      </c>
      <c r="AC253">
        <v>23.07</v>
      </c>
      <c r="AD253">
        <v>11.61</v>
      </c>
      <c r="AE253">
        <v>169.58</v>
      </c>
      <c r="AF253" s="30">
        <f t="shared" si="53"/>
        <v>13.022288585344745</v>
      </c>
      <c r="AG253">
        <v>57.6</v>
      </c>
      <c r="AH253">
        <v>0.64</v>
      </c>
      <c r="AI253" s="3">
        <f t="shared" si="59"/>
        <v>0.53191489361702127</v>
      </c>
      <c r="AJ253">
        <v>1.88</v>
      </c>
      <c r="AK253">
        <v>0.53</v>
      </c>
      <c r="AL253">
        <v>1</v>
      </c>
      <c r="AN253">
        <v>0.54581948769205957</v>
      </c>
      <c r="AO253">
        <v>22.61</v>
      </c>
      <c r="AQ253">
        <v>12.55</v>
      </c>
      <c r="AR253" s="3">
        <f t="shared" si="54"/>
        <v>1.8015936254980078</v>
      </c>
      <c r="AS253" s="3"/>
      <c r="AT253" s="3"/>
      <c r="AU253" s="3"/>
      <c r="AV253" s="3"/>
      <c r="AW253" s="3"/>
    </row>
    <row r="254" spans="1:49" x14ac:dyDescent="0.25">
      <c r="B254" s="6" t="s">
        <v>357</v>
      </c>
      <c r="C254" s="6">
        <v>1163</v>
      </c>
      <c r="D254" s="6">
        <v>700</v>
      </c>
      <c r="E254" s="5"/>
      <c r="F254" s="5"/>
      <c r="G254" s="5"/>
      <c r="H254" s="6">
        <v>89272</v>
      </c>
      <c r="I254" s="39">
        <v>178544</v>
      </c>
      <c r="J254" s="3" t="s">
        <v>55</v>
      </c>
      <c r="K254" s="3" t="s">
        <v>43</v>
      </c>
      <c r="L254" s="3"/>
      <c r="M254" s="3">
        <v>27.89</v>
      </c>
      <c r="N254" s="3">
        <v>19.920000000000002</v>
      </c>
      <c r="O254" s="3">
        <v>29.94</v>
      </c>
      <c r="P254" s="3">
        <v>20.55</v>
      </c>
      <c r="Q254" s="3">
        <v>436.25</v>
      </c>
      <c r="R254" s="30">
        <v>0</v>
      </c>
      <c r="S254" s="3">
        <f t="shared" si="56"/>
        <v>11.784001351310119</v>
      </c>
      <c r="T254" s="29">
        <f t="shared" si="57"/>
        <v>20.886598574205422</v>
      </c>
      <c r="U254" s="3">
        <v>328.28</v>
      </c>
      <c r="V254" s="29">
        <v>0.22</v>
      </c>
      <c r="W254" s="30">
        <f t="shared" si="58"/>
        <v>0.44052863436123346</v>
      </c>
      <c r="X254" s="3">
        <v>2.27</v>
      </c>
      <c r="Y254" s="3">
        <v>0.44</v>
      </c>
      <c r="Z254" s="3">
        <v>0.56000000000000005</v>
      </c>
      <c r="AA254" s="3">
        <v>32.72</v>
      </c>
      <c r="AB254" s="3">
        <v>26.89</v>
      </c>
      <c r="AC254" s="3">
        <v>36.96</v>
      </c>
      <c r="AD254" s="3">
        <v>27.03</v>
      </c>
      <c r="AE254" s="3">
        <v>690.88</v>
      </c>
      <c r="AF254" s="30">
        <f t="shared" si="53"/>
        <v>26.284596249514657</v>
      </c>
      <c r="AG254" s="3">
        <v>102.89</v>
      </c>
      <c r="AH254" s="3">
        <v>0.82</v>
      </c>
      <c r="AI254" s="3">
        <f t="shared" si="59"/>
        <v>0.81967213114754101</v>
      </c>
      <c r="AJ254" s="3">
        <v>1.22</v>
      </c>
      <c r="AK254" s="3">
        <v>0.82</v>
      </c>
      <c r="AL254" s="3">
        <v>0.995</v>
      </c>
      <c r="AM254" s="3"/>
      <c r="AN254" s="3">
        <v>0.84318547659407583</v>
      </c>
      <c r="AO254" s="3">
        <v>25.58</v>
      </c>
      <c r="AP254" s="3"/>
      <c r="AQ254" s="3">
        <v>32.83</v>
      </c>
      <c r="AR254" s="3">
        <f t="shared" si="54"/>
        <v>0.77916539750228453</v>
      </c>
    </row>
    <row r="255" spans="1:49" x14ac:dyDescent="0.25">
      <c r="B255" t="s">
        <v>358</v>
      </c>
      <c r="C255">
        <v>1163</v>
      </c>
      <c r="D255">
        <v>500</v>
      </c>
      <c r="E255" s="5"/>
      <c r="F255" s="5"/>
      <c r="G255" s="5"/>
      <c r="H255">
        <v>1828716</v>
      </c>
      <c r="I255" s="28">
        <v>3657432</v>
      </c>
      <c r="J255" t="b">
        <v>0</v>
      </c>
      <c r="K255" t="s">
        <v>43</v>
      </c>
      <c r="M255" s="3">
        <v>131.32</v>
      </c>
      <c r="N255">
        <v>34.39</v>
      </c>
      <c r="O255">
        <v>128.49</v>
      </c>
      <c r="P255">
        <v>51.37</v>
      </c>
      <c r="Q255">
        <v>3546.95</v>
      </c>
      <c r="R255" s="28">
        <v>790.82</v>
      </c>
      <c r="S255" s="3">
        <f t="shared" si="56"/>
        <v>33.601030502048538</v>
      </c>
      <c r="T255" s="29">
        <f t="shared" si="57"/>
        <v>59.556275907749637</v>
      </c>
      <c r="U255">
        <v>338.45</v>
      </c>
      <c r="V255" s="29">
        <v>0.39</v>
      </c>
      <c r="W255" s="30">
        <f t="shared" si="58"/>
        <v>0.26178010471204188</v>
      </c>
      <c r="X255">
        <v>3.82</v>
      </c>
      <c r="Y255" s="3">
        <v>0.26</v>
      </c>
      <c r="Z255" s="3">
        <v>0.7</v>
      </c>
      <c r="AA255">
        <v>133.56</v>
      </c>
      <c r="AB255">
        <v>48.18</v>
      </c>
      <c r="AC255">
        <v>128.44</v>
      </c>
      <c r="AD255">
        <v>50.03</v>
      </c>
      <c r="AE255">
        <v>5053.67</v>
      </c>
      <c r="AF255" s="30">
        <f t="shared" si="53"/>
        <v>71.089169357926806</v>
      </c>
      <c r="AG255">
        <v>314.14</v>
      </c>
      <c r="AH255">
        <v>0.64</v>
      </c>
      <c r="AI255" s="3">
        <f t="shared" si="59"/>
        <v>0.36101083032490977</v>
      </c>
      <c r="AJ255">
        <v>2.77</v>
      </c>
      <c r="AK255">
        <v>0.36</v>
      </c>
      <c r="AL255">
        <v>1</v>
      </c>
      <c r="AN255">
        <v>0.5010160302673925</v>
      </c>
      <c r="AO255">
        <v>120.23</v>
      </c>
      <c r="AQ255">
        <v>85</v>
      </c>
      <c r="AR255" s="3">
        <f t="shared" si="54"/>
        <v>1.4144705882352941</v>
      </c>
      <c r="AS255" s="3"/>
      <c r="AT255" s="3"/>
      <c r="AU255" s="3"/>
      <c r="AV255" s="3"/>
      <c r="AW255" s="3"/>
    </row>
    <row r="256" spans="1:49" x14ac:dyDescent="0.25">
      <c r="B256" t="s">
        <v>359</v>
      </c>
      <c r="C256">
        <v>1163</v>
      </c>
      <c r="D256">
        <v>600</v>
      </c>
      <c r="E256" s="5"/>
      <c r="F256" s="5"/>
      <c r="G256" s="5"/>
      <c r="H256">
        <v>335783</v>
      </c>
      <c r="I256" s="28">
        <v>671566</v>
      </c>
      <c r="J256" t="b">
        <v>0</v>
      </c>
      <c r="K256" t="s">
        <v>43</v>
      </c>
      <c r="L256" t="s">
        <v>360</v>
      </c>
      <c r="M256" s="3">
        <v>87.64</v>
      </c>
      <c r="N256">
        <v>53.85</v>
      </c>
      <c r="O256">
        <v>104.23</v>
      </c>
      <c r="P256">
        <v>72.22</v>
      </c>
      <c r="Q256">
        <v>3706.83</v>
      </c>
      <c r="R256" s="28">
        <v>599.29</v>
      </c>
      <c r="S256" s="3">
        <f t="shared" si="56"/>
        <v>34.349972858834413</v>
      </c>
      <c r="T256" s="29">
        <f t="shared" si="57"/>
        <v>60.883741672141014</v>
      </c>
      <c r="U256">
        <v>399.66</v>
      </c>
      <c r="V256" s="29">
        <v>0.28999999999999998</v>
      </c>
      <c r="W256" s="30">
        <f t="shared" si="58"/>
        <v>0.61349693251533743</v>
      </c>
      <c r="X256">
        <v>1.63</v>
      </c>
      <c r="Y256" s="3">
        <v>0.61</v>
      </c>
      <c r="Z256" s="3">
        <v>0.61</v>
      </c>
      <c r="AA256">
        <v>127.31</v>
      </c>
      <c r="AB256">
        <v>84.08</v>
      </c>
      <c r="AC256">
        <v>139.63999999999999</v>
      </c>
      <c r="AD256">
        <v>87.67</v>
      </c>
      <c r="AE256">
        <v>8407.7199999999993</v>
      </c>
      <c r="AF256" s="30">
        <f t="shared" si="53"/>
        <v>91.693620279711936</v>
      </c>
      <c r="AG256">
        <v>363.2</v>
      </c>
      <c r="AH256">
        <v>0.8</v>
      </c>
      <c r="AI256" s="3">
        <f t="shared" si="59"/>
        <v>0.66225165562913912</v>
      </c>
      <c r="AJ256">
        <v>1.51</v>
      </c>
      <c r="AK256">
        <v>0.66</v>
      </c>
      <c r="AL256">
        <v>0.98</v>
      </c>
      <c r="AN256">
        <v>0.69087213171946393</v>
      </c>
      <c r="AO256">
        <v>109.36</v>
      </c>
      <c r="AQ256">
        <v>116.6</v>
      </c>
      <c r="AR256" s="3">
        <f t="shared" si="54"/>
        <v>0.93790737564322479</v>
      </c>
      <c r="AS256" s="3"/>
      <c r="AT256" s="3"/>
      <c r="AU256" s="3"/>
      <c r="AV256" s="3"/>
      <c r="AW256" s="3"/>
    </row>
    <row r="257" spans="1:49" x14ac:dyDescent="0.25">
      <c r="A257" s="3"/>
      <c r="B257" t="s">
        <v>361</v>
      </c>
      <c r="C257">
        <v>1163</v>
      </c>
      <c r="D257">
        <v>700</v>
      </c>
      <c r="E257" s="5"/>
      <c r="F257" s="5"/>
      <c r="G257" s="5"/>
      <c r="H257">
        <v>58591</v>
      </c>
      <c r="I257" s="28">
        <v>117182</v>
      </c>
      <c r="J257" s="3" t="b">
        <v>0</v>
      </c>
      <c r="K257" s="3" t="s">
        <v>43</v>
      </c>
      <c r="L257" s="3" t="s">
        <v>362</v>
      </c>
      <c r="M257" s="3">
        <v>126.83</v>
      </c>
      <c r="N257" s="3">
        <v>56.95</v>
      </c>
      <c r="O257" s="3">
        <v>150.37</v>
      </c>
      <c r="P257" s="3">
        <v>83.02</v>
      </c>
      <c r="Q257" s="3">
        <v>5672.68</v>
      </c>
      <c r="R257" s="30">
        <v>839.45</v>
      </c>
      <c r="S257" s="3">
        <f t="shared" si="56"/>
        <v>42.493177395401553</v>
      </c>
      <c r="T257" s="29">
        <f t="shared" si="57"/>
        <v>75.317195911690717</v>
      </c>
      <c r="U257" s="3">
        <v>457.63</v>
      </c>
      <c r="V257" s="29">
        <v>0.34</v>
      </c>
      <c r="W257" s="30">
        <f t="shared" si="58"/>
        <v>0.44843049327354262</v>
      </c>
      <c r="X257" s="3">
        <v>2.23</v>
      </c>
      <c r="Y257" s="3">
        <v>0.45</v>
      </c>
      <c r="Z257" s="3">
        <v>0.65</v>
      </c>
      <c r="AA257" s="3">
        <v>141.12</v>
      </c>
      <c r="AB257" s="3">
        <v>73.73</v>
      </c>
      <c r="AC257" s="3">
        <v>150.57</v>
      </c>
      <c r="AD257" s="3">
        <v>80.12</v>
      </c>
      <c r="AE257" s="3">
        <v>8187.35</v>
      </c>
      <c r="AF257" s="30">
        <f t="shared" si="53"/>
        <v>90.483976482026918</v>
      </c>
      <c r="AG257" s="3">
        <v>378.51</v>
      </c>
      <c r="AH257" s="3">
        <v>0.72</v>
      </c>
      <c r="AI257" s="3">
        <f t="shared" si="59"/>
        <v>0.52356020942408377</v>
      </c>
      <c r="AJ257" s="3">
        <v>1.91</v>
      </c>
      <c r="AK257" s="3">
        <v>0.52</v>
      </c>
      <c r="AL257" s="3">
        <v>0.98</v>
      </c>
      <c r="AM257" s="3"/>
      <c r="AN257" s="3">
        <v>0.55388506944143967</v>
      </c>
      <c r="AO257" s="3">
        <v>96.91</v>
      </c>
      <c r="AP257" s="3"/>
      <c r="AQ257" s="3">
        <v>124.75</v>
      </c>
      <c r="AR257" s="3">
        <f t="shared" si="54"/>
        <v>0.7768336673346693</v>
      </c>
      <c r="AS257" s="3"/>
      <c r="AT257" s="3"/>
      <c r="AU257" s="3"/>
      <c r="AV257" s="3"/>
      <c r="AW257" s="3"/>
    </row>
    <row r="258" spans="1:49" x14ac:dyDescent="0.25">
      <c r="B258" s="7" t="s">
        <v>363</v>
      </c>
      <c r="C258">
        <v>1161</v>
      </c>
      <c r="D258" s="7">
        <v>500</v>
      </c>
      <c r="E258" s="5"/>
      <c r="F258" s="5"/>
      <c r="G258" s="5"/>
      <c r="H258" s="7">
        <v>1034008</v>
      </c>
      <c r="I258" s="42">
        <v>2068016</v>
      </c>
      <c r="J258" t="b">
        <v>0</v>
      </c>
      <c r="K258" t="s">
        <v>43</v>
      </c>
      <c r="M258" s="3">
        <v>136.6</v>
      </c>
      <c r="N258">
        <v>54.05</v>
      </c>
      <c r="O258">
        <v>168.44</v>
      </c>
      <c r="P258">
        <v>79.87</v>
      </c>
      <c r="Q258">
        <v>5798.76</v>
      </c>
      <c r="R258" s="28">
        <v>412.82</v>
      </c>
      <c r="S258" s="3">
        <f t="shared" si="56"/>
        <v>42.962805257654189</v>
      </c>
      <c r="T258" s="29">
        <f t="shared" si="57"/>
        <v>76.14958962463291</v>
      </c>
      <c r="U258">
        <v>515.70000000000005</v>
      </c>
      <c r="V258" s="29">
        <v>0.27</v>
      </c>
      <c r="W258" s="30">
        <f t="shared" si="58"/>
        <v>0.39525691699604748</v>
      </c>
      <c r="X258">
        <v>2.5299999999999998</v>
      </c>
      <c r="Y258" s="3">
        <v>0.4</v>
      </c>
      <c r="Z258" s="3">
        <v>0.61</v>
      </c>
      <c r="AA258">
        <v>158.18</v>
      </c>
      <c r="AB258">
        <v>78.44</v>
      </c>
      <c r="AC258">
        <v>170.01</v>
      </c>
      <c r="AD258">
        <v>80.55</v>
      </c>
      <c r="AE258">
        <v>9745.4</v>
      </c>
      <c r="AF258" s="30">
        <f t="shared" si="53"/>
        <v>98.718792537186147</v>
      </c>
      <c r="AG258">
        <v>414.2</v>
      </c>
      <c r="AH258">
        <v>0.71</v>
      </c>
      <c r="AI258" s="3">
        <f t="shared" si="59"/>
        <v>0.49504950495049505</v>
      </c>
      <c r="AJ258">
        <v>2.02</v>
      </c>
      <c r="AK258">
        <v>0.5</v>
      </c>
      <c r="AL258">
        <v>1</v>
      </c>
      <c r="AN258">
        <v>0.58563094760917078</v>
      </c>
      <c r="AO258">
        <v>112.73</v>
      </c>
      <c r="AQ258">
        <v>143.86000000000001</v>
      </c>
      <c r="AR258" s="3">
        <f t="shared" si="54"/>
        <v>0.7836090643681356</v>
      </c>
      <c r="AS258" s="3"/>
      <c r="AT258" s="3"/>
      <c r="AU258" s="3"/>
      <c r="AV258" s="3"/>
      <c r="AW258" s="3"/>
    </row>
    <row r="259" spans="1:49" x14ac:dyDescent="0.25">
      <c r="B259" s="6" t="s">
        <v>364</v>
      </c>
      <c r="C259" s="6">
        <v>1161</v>
      </c>
      <c r="D259" s="6">
        <v>600</v>
      </c>
      <c r="E259" s="5"/>
      <c r="F259" s="5"/>
      <c r="G259" s="5"/>
      <c r="H259" s="6">
        <v>139347</v>
      </c>
      <c r="I259" s="39">
        <v>278694</v>
      </c>
      <c r="J259" t="b">
        <v>0</v>
      </c>
      <c r="K259" t="s">
        <v>43</v>
      </c>
      <c r="M259" s="3">
        <v>108.79</v>
      </c>
      <c r="N259">
        <v>69.95</v>
      </c>
      <c r="O259">
        <v>153.35</v>
      </c>
      <c r="P259">
        <v>106.55</v>
      </c>
      <c r="Q259">
        <v>5977.05</v>
      </c>
      <c r="R259" s="28">
        <v>1305.31</v>
      </c>
      <c r="S259" s="3">
        <f t="shared" si="56"/>
        <v>43.618277192191194</v>
      </c>
      <c r="T259" s="29">
        <f t="shared" si="57"/>
        <v>77.311383379163516</v>
      </c>
      <c r="U259">
        <v>600.71</v>
      </c>
      <c r="V259" s="29">
        <v>0.21</v>
      </c>
      <c r="W259" s="30">
        <f t="shared" si="58"/>
        <v>0.64102564102564097</v>
      </c>
      <c r="X259">
        <v>1.56</v>
      </c>
      <c r="Y259" s="3">
        <v>0.64</v>
      </c>
      <c r="Z259" s="3">
        <v>0.56999999999999995</v>
      </c>
      <c r="AA259">
        <v>134.88999999999999</v>
      </c>
      <c r="AB259">
        <v>97.33</v>
      </c>
      <c r="AC259">
        <v>155.38</v>
      </c>
      <c r="AD259">
        <v>101.85</v>
      </c>
      <c r="AE259">
        <v>10311.61</v>
      </c>
      <c r="AF259" s="30">
        <f t="shared" si="53"/>
        <v>101.54609790632036</v>
      </c>
      <c r="AG259">
        <v>400.34</v>
      </c>
      <c r="AH259">
        <v>0.81</v>
      </c>
      <c r="AI259" s="3">
        <f t="shared" si="59"/>
        <v>0.71942446043165476</v>
      </c>
      <c r="AJ259">
        <v>1.39</v>
      </c>
      <c r="AK259">
        <v>0.72</v>
      </c>
      <c r="AL259">
        <v>1</v>
      </c>
      <c r="AN259">
        <v>0.64951906070389431</v>
      </c>
      <c r="AO259">
        <v>129.51</v>
      </c>
      <c r="AQ259">
        <v>116.15</v>
      </c>
      <c r="AR259" s="3">
        <f t="shared" si="54"/>
        <v>1.1150236762806713</v>
      </c>
      <c r="AS259" s="3"/>
      <c r="AT259" s="3"/>
      <c r="AU259" s="3"/>
      <c r="AV259" s="3"/>
      <c r="AW259" s="3"/>
    </row>
    <row r="260" spans="1:49" x14ac:dyDescent="0.25">
      <c r="B260" t="s">
        <v>365</v>
      </c>
      <c r="C260">
        <v>1161</v>
      </c>
      <c r="D260">
        <v>700</v>
      </c>
      <c r="E260" s="5"/>
      <c r="F260" s="5"/>
      <c r="G260" s="5"/>
      <c r="H260">
        <v>87571</v>
      </c>
      <c r="I260" s="28">
        <v>175142</v>
      </c>
      <c r="J260" s="3" t="b">
        <v>0</v>
      </c>
      <c r="K260" t="s">
        <v>43</v>
      </c>
      <c r="M260" s="3">
        <v>100.2</v>
      </c>
      <c r="N260">
        <v>73.84</v>
      </c>
      <c r="O260">
        <v>131.4</v>
      </c>
      <c r="P260">
        <v>95.8</v>
      </c>
      <c r="Q260">
        <v>5810.8</v>
      </c>
      <c r="R260" s="28">
        <v>631.15</v>
      </c>
      <c r="S260" s="3">
        <f t="shared" si="56"/>
        <v>43.007384094324671</v>
      </c>
      <c r="T260" s="29">
        <f t="shared" si="57"/>
        <v>76.228603555358404</v>
      </c>
      <c r="U260">
        <v>480.34</v>
      </c>
      <c r="V260" s="29">
        <v>0.32</v>
      </c>
      <c r="W260" s="30">
        <f t="shared" si="58"/>
        <v>0.73529411764705876</v>
      </c>
      <c r="X260">
        <v>1.36</v>
      </c>
      <c r="Y260" s="3">
        <v>0.74</v>
      </c>
      <c r="Z260" s="3">
        <v>0.64</v>
      </c>
      <c r="AA260">
        <v>121.95</v>
      </c>
      <c r="AB260">
        <v>96.85</v>
      </c>
      <c r="AC260">
        <v>130.46</v>
      </c>
      <c r="AD260">
        <v>97.51</v>
      </c>
      <c r="AE260">
        <v>9275.93</v>
      </c>
      <c r="AF260" s="30">
        <f t="shared" si="53"/>
        <v>96.31162961968819</v>
      </c>
      <c r="AG260">
        <v>361.4</v>
      </c>
      <c r="AH260">
        <v>0.89</v>
      </c>
      <c r="AI260" s="3">
        <f t="shared" si="59"/>
        <v>0.79365079365079361</v>
      </c>
      <c r="AJ260">
        <v>1.26</v>
      </c>
      <c r="AK260">
        <v>0.79</v>
      </c>
      <c r="AL260">
        <v>1</v>
      </c>
      <c r="AN260">
        <v>0.64575192148495308</v>
      </c>
      <c r="AO260" s="3">
        <v>130.22999999999999</v>
      </c>
      <c r="AP260" s="3"/>
      <c r="AQ260" s="3">
        <v>86.14</v>
      </c>
      <c r="AR260" s="3">
        <f t="shared" si="54"/>
        <v>1.5118411887624796</v>
      </c>
      <c r="AS260" s="3"/>
      <c r="AT260" s="3"/>
      <c r="AU260" s="3"/>
      <c r="AV260" s="3"/>
      <c r="AW260" s="3"/>
    </row>
    <row r="261" spans="1:49" x14ac:dyDescent="0.25">
      <c r="B261" t="s">
        <v>366</v>
      </c>
      <c r="C261">
        <v>1161</v>
      </c>
      <c r="D261">
        <v>700</v>
      </c>
      <c r="E261" s="5"/>
      <c r="F261" s="5"/>
      <c r="G261" s="5"/>
      <c r="H261">
        <v>105518</v>
      </c>
      <c r="I261" s="28">
        <v>211036</v>
      </c>
      <c r="J261" s="3" t="b">
        <v>0</v>
      </c>
      <c r="K261" s="3" t="s">
        <v>43</v>
      </c>
      <c r="L261" t="s">
        <v>367</v>
      </c>
      <c r="M261" s="3">
        <v>96.94</v>
      </c>
      <c r="N261" s="3">
        <v>50.3</v>
      </c>
      <c r="O261" s="3">
        <v>112.57</v>
      </c>
      <c r="P261" s="3">
        <v>63.69</v>
      </c>
      <c r="Q261" s="3">
        <v>3829.74</v>
      </c>
      <c r="R261" s="30">
        <v>291.26</v>
      </c>
      <c r="S261" s="3">
        <f t="shared" si="56"/>
        <v>34.914812093343855</v>
      </c>
      <c r="T261" s="29">
        <f t="shared" si="57"/>
        <v>61.884893148489802</v>
      </c>
      <c r="U261" s="3">
        <v>333.44</v>
      </c>
      <c r="V261" s="29">
        <v>0.43</v>
      </c>
      <c r="W261" s="30">
        <f t="shared" si="58"/>
        <v>0.5181347150259068</v>
      </c>
      <c r="X261" s="3">
        <v>1.93</v>
      </c>
      <c r="Y261" s="3">
        <v>0.52</v>
      </c>
      <c r="Z261" s="3">
        <v>0.74</v>
      </c>
      <c r="AA261" s="3">
        <v>109.47</v>
      </c>
      <c r="AB261" s="3">
        <v>60.43</v>
      </c>
      <c r="AC261" s="3">
        <v>114.14</v>
      </c>
      <c r="AD261" s="3">
        <v>64.58</v>
      </c>
      <c r="AE261" s="3">
        <v>5195.8100000000004</v>
      </c>
      <c r="AF261" s="30">
        <f t="shared" si="53"/>
        <v>72.08196723175638</v>
      </c>
      <c r="AG261" s="3">
        <v>285.43</v>
      </c>
      <c r="AH261" s="3">
        <v>0.8</v>
      </c>
      <c r="AI261" s="3">
        <f t="shared" si="59"/>
        <v>0.5524861878453039</v>
      </c>
      <c r="AJ261" s="3">
        <v>1.81</v>
      </c>
      <c r="AK261" s="3">
        <v>0.55000000000000004</v>
      </c>
      <c r="AL261" s="3">
        <v>1</v>
      </c>
      <c r="AN261">
        <v>0.64298672620065511</v>
      </c>
      <c r="AO261" s="3">
        <v>96.59</v>
      </c>
      <c r="AP261" s="3"/>
      <c r="AQ261" s="3">
        <v>68.64</v>
      </c>
      <c r="AR261" s="3">
        <f t="shared" si="54"/>
        <v>1.4071969696969697</v>
      </c>
      <c r="AS261" s="3"/>
      <c r="AT261" s="3"/>
      <c r="AU261" s="3"/>
      <c r="AV261" s="3"/>
      <c r="AW261" s="3"/>
    </row>
    <row r="262" spans="1:49" x14ac:dyDescent="0.25">
      <c r="B262" t="s">
        <v>368</v>
      </c>
      <c r="C262">
        <v>1161</v>
      </c>
      <c r="D262">
        <v>700</v>
      </c>
      <c r="E262" s="5"/>
      <c r="F262" s="5"/>
      <c r="G262" s="5"/>
      <c r="H262">
        <v>44786</v>
      </c>
      <c r="I262" s="28">
        <v>89572</v>
      </c>
      <c r="J262" s="3" t="s">
        <v>55</v>
      </c>
      <c r="K262" t="s">
        <v>43</v>
      </c>
      <c r="L262" t="s">
        <v>369</v>
      </c>
      <c r="M262" s="3">
        <v>129.97499999999999</v>
      </c>
      <c r="N262">
        <v>45.167000000000002</v>
      </c>
      <c r="O262">
        <v>149.13</v>
      </c>
      <c r="P262">
        <v>62.25</v>
      </c>
      <c r="Q262">
        <v>4423.72</v>
      </c>
      <c r="R262" s="30">
        <v>66.590999999999994</v>
      </c>
      <c r="S262" s="3">
        <f t="shared" si="56"/>
        <v>37.524842567410708</v>
      </c>
      <c r="T262" s="29">
        <f t="shared" si="57"/>
        <v>66.511051713230344</v>
      </c>
      <c r="U262">
        <v>372.66</v>
      </c>
      <c r="V262" s="29">
        <v>0.4</v>
      </c>
      <c r="W262" s="30">
        <f t="shared" si="58"/>
        <v>0.35335689045936397</v>
      </c>
      <c r="X262">
        <v>2.83</v>
      </c>
      <c r="Y262" s="3">
        <v>0.35</v>
      </c>
      <c r="Z262" s="3">
        <v>0.71</v>
      </c>
      <c r="AA262">
        <v>144.07499999999999</v>
      </c>
      <c r="AB262">
        <v>58.814</v>
      </c>
      <c r="AC262">
        <v>160.471</v>
      </c>
      <c r="AD262">
        <v>66.718000000000004</v>
      </c>
      <c r="AE262">
        <v>6655.1139999999996</v>
      </c>
      <c r="AF262" s="30">
        <f t="shared" si="53"/>
        <v>81.578882071281171</v>
      </c>
      <c r="AG262">
        <v>361.57400000000001</v>
      </c>
      <c r="AH262">
        <v>0.64</v>
      </c>
      <c r="AI262" s="3">
        <f t="shared" si="59"/>
        <v>0.4081632653061224</v>
      </c>
      <c r="AJ262">
        <v>2.4500000000000002</v>
      </c>
      <c r="AK262">
        <v>0.40799999999999997</v>
      </c>
      <c r="AL262">
        <v>0.99099999999999999</v>
      </c>
      <c r="AN262">
        <v>0.59508224246530883</v>
      </c>
      <c r="AO262" s="3">
        <v>138.655</v>
      </c>
      <c r="AP262" s="3">
        <v>0</v>
      </c>
      <c r="AQ262" s="3">
        <v>102.967</v>
      </c>
      <c r="AR262" s="3">
        <f t="shared" si="54"/>
        <v>1.3465964823681373</v>
      </c>
    </row>
    <row r="263" spans="1:49" x14ac:dyDescent="0.25">
      <c r="B263" s="7" t="s">
        <v>370</v>
      </c>
      <c r="C263">
        <v>1161</v>
      </c>
      <c r="D263" s="7">
        <v>500</v>
      </c>
      <c r="E263" s="5"/>
      <c r="F263" s="5"/>
      <c r="G263" s="5"/>
      <c r="H263" s="7">
        <v>1055218</v>
      </c>
      <c r="I263" s="42">
        <v>2110436</v>
      </c>
      <c r="J263" t="b">
        <v>0</v>
      </c>
      <c r="K263" t="s">
        <v>43</v>
      </c>
      <c r="M263" s="3">
        <v>105</v>
      </c>
      <c r="N263">
        <v>48.81</v>
      </c>
      <c r="O263">
        <v>159.30000000000001</v>
      </c>
      <c r="P263">
        <v>93.92</v>
      </c>
      <c r="Q263">
        <v>4025</v>
      </c>
      <c r="R263" s="28">
        <v>798.02</v>
      </c>
      <c r="S263" s="3">
        <f t="shared" si="56"/>
        <v>35.793816391798146</v>
      </c>
      <c r="T263" s="29">
        <f t="shared" si="57"/>
        <v>63.442887702247603</v>
      </c>
      <c r="U263">
        <v>659.06</v>
      </c>
      <c r="V263" s="29">
        <v>0.12</v>
      </c>
      <c r="W263" s="30">
        <f t="shared" si="58"/>
        <v>0.46511627906976744</v>
      </c>
      <c r="X263">
        <v>2.15</v>
      </c>
      <c r="Y263" s="3">
        <v>0.46</v>
      </c>
      <c r="Z263" s="3">
        <v>0.44</v>
      </c>
      <c r="AA263">
        <v>138.28</v>
      </c>
      <c r="AB263">
        <v>87.06</v>
      </c>
      <c r="AC263">
        <v>161.49</v>
      </c>
      <c r="AD263">
        <v>92.69</v>
      </c>
      <c r="AE263">
        <v>9454.9599999999991</v>
      </c>
      <c r="AF263" s="30">
        <f t="shared" si="53"/>
        <v>97.236618616650787</v>
      </c>
      <c r="AG263">
        <v>413.75</v>
      </c>
      <c r="AH263">
        <v>0.69</v>
      </c>
      <c r="AI263" s="3">
        <f t="shared" si="59"/>
        <v>0.62893081761006286</v>
      </c>
      <c r="AJ263">
        <v>1.59</v>
      </c>
      <c r="AK263">
        <v>0.63</v>
      </c>
      <c r="AL263">
        <v>1</v>
      </c>
      <c r="AN263">
        <v>0.58090825981710636</v>
      </c>
      <c r="AO263">
        <v>107.5</v>
      </c>
      <c r="AQ263">
        <v>160</v>
      </c>
      <c r="AR263" s="3">
        <f t="shared" si="54"/>
        <v>0.671875</v>
      </c>
      <c r="AS263" s="3"/>
      <c r="AT263" s="3"/>
      <c r="AU263" s="3"/>
      <c r="AV263" s="3"/>
      <c r="AW263" s="3"/>
    </row>
    <row r="264" spans="1:49" x14ac:dyDescent="0.25">
      <c r="B264" s="14" t="s">
        <v>371</v>
      </c>
      <c r="C264">
        <v>1161</v>
      </c>
      <c r="D264" s="14">
        <v>600</v>
      </c>
      <c r="E264" s="5"/>
      <c r="F264" s="5"/>
      <c r="G264" s="5"/>
      <c r="H264" s="14">
        <v>46612</v>
      </c>
      <c r="I264" s="47">
        <v>93224</v>
      </c>
      <c r="J264" s="14" t="s">
        <v>55</v>
      </c>
      <c r="K264" t="s">
        <v>43</v>
      </c>
      <c r="M264" s="3">
        <v>58.12</v>
      </c>
      <c r="N264">
        <v>28.05</v>
      </c>
      <c r="O264">
        <v>59.42</v>
      </c>
      <c r="P264">
        <v>31.68</v>
      </c>
      <c r="Q264">
        <v>1280.53</v>
      </c>
      <c r="R264" s="28">
        <v>6.59</v>
      </c>
      <c r="S264" s="3">
        <f t="shared" si="56"/>
        <v>20.189238681905007</v>
      </c>
      <c r="T264" s="29">
        <f t="shared" si="57"/>
        <v>35.784493848593137</v>
      </c>
      <c r="U264">
        <v>177.96</v>
      </c>
      <c r="V264" s="29">
        <v>0.51</v>
      </c>
      <c r="W264" s="30">
        <f t="shared" si="58"/>
        <v>0.48309178743961356</v>
      </c>
      <c r="X264">
        <v>2.0699999999999998</v>
      </c>
      <c r="Y264" s="3">
        <v>0.48</v>
      </c>
      <c r="Z264" s="3">
        <v>2.0699999999999998</v>
      </c>
      <c r="AA264">
        <v>63.32</v>
      </c>
      <c r="AB264">
        <v>44.08</v>
      </c>
      <c r="AC264">
        <v>71</v>
      </c>
      <c r="AD264">
        <v>44.84</v>
      </c>
      <c r="AE264">
        <v>2192.1</v>
      </c>
      <c r="AF264" s="30">
        <f t="shared" si="53"/>
        <v>46.819867577770871</v>
      </c>
      <c r="AG264">
        <v>186.03</v>
      </c>
      <c r="AH264">
        <v>0.8</v>
      </c>
      <c r="AI264" s="3">
        <f t="shared" si="59"/>
        <v>0.69444444444444442</v>
      </c>
      <c r="AJ264">
        <v>1.44</v>
      </c>
      <c r="AK264">
        <v>0.7</v>
      </c>
      <c r="AL264">
        <v>1</v>
      </c>
      <c r="AN264">
        <v>0.60614636395944199</v>
      </c>
      <c r="AO264">
        <v>45.45</v>
      </c>
      <c r="AQ264">
        <v>58.86</v>
      </c>
      <c r="AR264" s="3">
        <f t="shared" si="54"/>
        <v>0.77217125382263008</v>
      </c>
    </row>
    <row r="265" spans="1:49" x14ac:dyDescent="0.25">
      <c r="B265" t="s">
        <v>372</v>
      </c>
      <c r="C265">
        <v>1161</v>
      </c>
      <c r="D265">
        <v>600</v>
      </c>
      <c r="E265" s="5"/>
      <c r="F265" s="5"/>
      <c r="G265" s="5"/>
      <c r="H265">
        <v>168963</v>
      </c>
      <c r="I265" s="28">
        <v>337926</v>
      </c>
      <c r="J265" t="b">
        <v>0</v>
      </c>
      <c r="K265" t="s">
        <v>43</v>
      </c>
      <c r="L265" t="s">
        <v>362</v>
      </c>
      <c r="M265" s="3">
        <v>161.02000000000001</v>
      </c>
      <c r="N265">
        <v>86.24</v>
      </c>
      <c r="O265">
        <v>210.71</v>
      </c>
      <c r="P265">
        <v>108.94</v>
      </c>
      <c r="Q265">
        <v>10905.96</v>
      </c>
      <c r="R265" s="28">
        <v>636.33000000000004</v>
      </c>
      <c r="S265" s="3">
        <f t="shared" si="56"/>
        <v>58.919223402256193</v>
      </c>
      <c r="T265" s="29">
        <f t="shared" si="57"/>
        <v>104.43160441169138</v>
      </c>
      <c r="U265">
        <v>683.32</v>
      </c>
      <c r="V265" s="29">
        <v>0.28999999999999998</v>
      </c>
      <c r="W265" s="30">
        <f t="shared" si="58"/>
        <v>0.53475935828876997</v>
      </c>
      <c r="X265">
        <v>1.87</v>
      </c>
      <c r="Y265" s="3">
        <v>0.54</v>
      </c>
      <c r="Z265" s="3">
        <v>0.64</v>
      </c>
      <c r="AA265">
        <v>194.18</v>
      </c>
      <c r="AB265">
        <v>115.53</v>
      </c>
      <c r="AC265">
        <v>218.94</v>
      </c>
      <c r="AD265">
        <v>112.04</v>
      </c>
      <c r="AE265">
        <v>17618.53</v>
      </c>
      <c r="AF265" s="30">
        <f t="shared" si="53"/>
        <v>132.73481080711269</v>
      </c>
      <c r="AG265">
        <v>540.01</v>
      </c>
      <c r="AH265">
        <v>0.76</v>
      </c>
      <c r="AI265" s="3">
        <f t="shared" si="59"/>
        <v>0.59523809523809523</v>
      </c>
      <c r="AJ265">
        <v>1.68</v>
      </c>
      <c r="AK265">
        <v>0.59</v>
      </c>
      <c r="AL265">
        <v>1</v>
      </c>
      <c r="AN265">
        <v>0</v>
      </c>
      <c r="AO265">
        <v>193.27</v>
      </c>
      <c r="AQ265">
        <v>117.96</v>
      </c>
      <c r="AR265" s="3">
        <f t="shared" si="54"/>
        <v>1.6384367582231267</v>
      </c>
      <c r="AS265" s="3"/>
      <c r="AT265" s="3"/>
      <c r="AU265" s="3"/>
      <c r="AV265" s="3"/>
      <c r="AW265" s="3"/>
    </row>
    <row r="266" spans="1:49" x14ac:dyDescent="0.25">
      <c r="B266" t="s">
        <v>373</v>
      </c>
      <c r="C266">
        <v>1161</v>
      </c>
      <c r="D266">
        <v>500</v>
      </c>
      <c r="E266" s="5"/>
      <c r="F266" s="5"/>
      <c r="G266" s="5"/>
      <c r="H266">
        <v>3985111</v>
      </c>
      <c r="I266" s="28">
        <v>7970222</v>
      </c>
      <c r="J266" t="b">
        <v>0</v>
      </c>
      <c r="K266" t="s">
        <v>64</v>
      </c>
      <c r="L266" t="s">
        <v>374</v>
      </c>
      <c r="M266" s="3">
        <v>31.99</v>
      </c>
      <c r="N266">
        <v>28.71</v>
      </c>
      <c r="O266">
        <v>35.479999999999997</v>
      </c>
      <c r="P266">
        <v>30.45</v>
      </c>
      <c r="Q266">
        <v>721.23</v>
      </c>
      <c r="R266" s="28">
        <v>177.27</v>
      </c>
      <c r="S266" s="3">
        <f t="shared" si="56"/>
        <v>15.151720668370816</v>
      </c>
      <c r="T266" s="29">
        <f t="shared" si="57"/>
        <v>26.855725646498552</v>
      </c>
      <c r="U266">
        <v>112.77</v>
      </c>
      <c r="V266" s="29">
        <v>0.71</v>
      </c>
      <c r="W266" s="30">
        <f t="shared" si="58"/>
        <v>0.9009009009009008</v>
      </c>
      <c r="X266">
        <v>1.1100000000000001</v>
      </c>
      <c r="Y266" s="3">
        <v>0.9</v>
      </c>
      <c r="Z266" s="3">
        <v>0.89</v>
      </c>
      <c r="AA266">
        <v>34.14</v>
      </c>
      <c r="AB266">
        <v>31.29</v>
      </c>
      <c r="AC266">
        <v>35.79</v>
      </c>
      <c r="AD266">
        <v>31.48</v>
      </c>
      <c r="AE266">
        <v>838.84</v>
      </c>
      <c r="AF266" s="30">
        <f t="shared" si="53"/>
        <v>28.962734677512756</v>
      </c>
      <c r="AG266">
        <v>107.43</v>
      </c>
      <c r="AH266">
        <v>0.91</v>
      </c>
      <c r="AI266" s="3">
        <f t="shared" si="59"/>
        <v>0.9174311926605504</v>
      </c>
      <c r="AJ266">
        <v>1.0900000000000001</v>
      </c>
      <c r="AK266">
        <v>0.92</v>
      </c>
      <c r="AL266">
        <v>1</v>
      </c>
      <c r="AN266">
        <v>0.8755008764181228</v>
      </c>
      <c r="AO266">
        <v>31.82</v>
      </c>
      <c r="AQ266">
        <v>35.68</v>
      </c>
      <c r="AR266" s="3">
        <f t="shared" si="54"/>
        <v>0.89181614349775784</v>
      </c>
      <c r="AS266" s="3"/>
      <c r="AT266" s="3"/>
      <c r="AU266" s="3"/>
      <c r="AV266" s="3"/>
      <c r="AW266" s="3"/>
    </row>
    <row r="267" spans="1:49" x14ac:dyDescent="0.25">
      <c r="B267" t="s">
        <v>375</v>
      </c>
      <c r="C267">
        <v>1161</v>
      </c>
      <c r="D267">
        <v>700</v>
      </c>
      <c r="E267" s="5"/>
      <c r="F267" s="5"/>
      <c r="G267" s="5"/>
      <c r="H267">
        <v>28231</v>
      </c>
      <c r="I267" s="28">
        <v>56462</v>
      </c>
      <c r="J267" s="3" t="s">
        <v>55</v>
      </c>
      <c r="K267" s="3" t="s">
        <v>64</v>
      </c>
      <c r="M267" s="3">
        <v>37.585000000000001</v>
      </c>
      <c r="N267" s="3">
        <v>35.942</v>
      </c>
      <c r="O267" s="3">
        <v>38.322000000000003</v>
      </c>
      <c r="P267" s="3">
        <v>36.076999999999998</v>
      </c>
      <c r="Q267" s="3">
        <v>1060.991</v>
      </c>
      <c r="R267" s="30">
        <v>4.8</v>
      </c>
      <c r="S267" s="3">
        <f t="shared" si="56"/>
        <v>18.37726651197142</v>
      </c>
      <c r="T267" s="29">
        <f t="shared" si="57"/>
        <v>32.572856798260723</v>
      </c>
      <c r="U267" s="3">
        <v>116.9838</v>
      </c>
      <c r="V267" s="29">
        <v>0.97699999999999998</v>
      </c>
      <c r="W267" s="30">
        <f t="shared" si="58"/>
        <v>0.95602294455066916</v>
      </c>
      <c r="X267" s="3">
        <v>1.046</v>
      </c>
      <c r="Y267" s="3">
        <v>0.95599999999999996</v>
      </c>
      <c r="Z267" s="3">
        <v>0.999</v>
      </c>
      <c r="AA267" s="3">
        <v>44.445999999999998</v>
      </c>
      <c r="AB267" s="3">
        <v>40.085999999999999</v>
      </c>
      <c r="AC267" s="3">
        <v>48.750999999999998</v>
      </c>
      <c r="AD267" s="3">
        <v>37.209000000000003</v>
      </c>
      <c r="AE267" s="3">
        <v>1399.3109999999999</v>
      </c>
      <c r="AF267" s="30">
        <f t="shared" si="53"/>
        <v>37.407365584868444</v>
      </c>
      <c r="AG267" s="3">
        <v>141.62200000000001</v>
      </c>
      <c r="AH267" s="3">
        <v>0.877</v>
      </c>
      <c r="AI267" s="3">
        <f t="shared" si="59"/>
        <v>0.90171325518485124</v>
      </c>
      <c r="AJ267" s="3">
        <v>1.109</v>
      </c>
      <c r="AK267" s="3">
        <v>0.90200000000000002</v>
      </c>
      <c r="AL267" s="3">
        <v>1</v>
      </c>
      <c r="AN267">
        <v>0.95888558337347218</v>
      </c>
      <c r="AO267" s="3">
        <v>37.045999999999999</v>
      </c>
      <c r="AP267" s="3">
        <v>0</v>
      </c>
      <c r="AQ267" s="3">
        <v>37.770000000000003</v>
      </c>
      <c r="AR267" s="3">
        <f t="shared" si="54"/>
        <v>0.98083134763039437</v>
      </c>
    </row>
    <row r="268" spans="1:49" x14ac:dyDescent="0.25">
      <c r="B268" s="7" t="s">
        <v>376</v>
      </c>
      <c r="C268" s="7">
        <v>1161</v>
      </c>
      <c r="D268" s="7">
        <v>600</v>
      </c>
      <c r="E268" s="19"/>
      <c r="F268" s="19"/>
      <c r="G268" s="19"/>
      <c r="H268" s="7">
        <v>287798</v>
      </c>
      <c r="I268" s="42">
        <v>575596</v>
      </c>
      <c r="J268" t="b">
        <v>0</v>
      </c>
      <c r="K268" t="s">
        <v>64</v>
      </c>
      <c r="M268" s="3">
        <v>75.7</v>
      </c>
      <c r="N268">
        <v>63.56</v>
      </c>
      <c r="O268">
        <v>82.55</v>
      </c>
      <c r="P268">
        <v>67.75</v>
      </c>
      <c r="Q268">
        <v>3779.29</v>
      </c>
      <c r="R268" s="28">
        <v>1325.47</v>
      </c>
      <c r="S268" s="3">
        <f t="shared" si="56"/>
        <v>34.6840794854864</v>
      </c>
      <c r="T268" s="29">
        <f t="shared" si="57"/>
        <v>61.475930249163369</v>
      </c>
      <c r="U268">
        <v>285.2</v>
      </c>
      <c r="V268" s="29">
        <v>0.57999999999999996</v>
      </c>
      <c r="W268" s="30">
        <f t="shared" si="58"/>
        <v>0.84033613445378152</v>
      </c>
      <c r="X268">
        <v>1.19</v>
      </c>
      <c r="Y268" s="3">
        <v>0.84</v>
      </c>
      <c r="Z268" s="3">
        <v>0.88</v>
      </c>
      <c r="AA268">
        <v>79.13</v>
      </c>
      <c r="AB268">
        <v>69.55</v>
      </c>
      <c r="AC268">
        <v>84.52</v>
      </c>
      <c r="AD268">
        <v>68.459999999999994</v>
      </c>
      <c r="AE268">
        <v>4322.62</v>
      </c>
      <c r="AF268" s="30">
        <f t="shared" si="53"/>
        <v>65.746634894875044</v>
      </c>
      <c r="AG268">
        <v>245.59</v>
      </c>
      <c r="AH268">
        <v>0.9</v>
      </c>
      <c r="AI268" s="3">
        <f t="shared" si="59"/>
        <v>0.87719298245614041</v>
      </c>
      <c r="AJ268">
        <v>1.1399999999999999</v>
      </c>
      <c r="AK268">
        <v>0.88</v>
      </c>
      <c r="AL268">
        <v>1</v>
      </c>
      <c r="AN268">
        <v>0.83888544274973498</v>
      </c>
      <c r="AO268">
        <v>82.27</v>
      </c>
      <c r="AQ268">
        <v>69.55</v>
      </c>
      <c r="AR268" s="3">
        <f t="shared" si="54"/>
        <v>1.1828900071890727</v>
      </c>
      <c r="AS268" s="3"/>
      <c r="AT268" s="3"/>
      <c r="AU268" s="3"/>
      <c r="AV268" s="3"/>
      <c r="AW268" s="3"/>
    </row>
    <row r="269" spans="1:49" x14ac:dyDescent="0.25">
      <c r="B269" s="6" t="s">
        <v>377</v>
      </c>
      <c r="C269" s="6">
        <v>1161</v>
      </c>
      <c r="D269" s="6">
        <v>700</v>
      </c>
      <c r="E269" s="5"/>
      <c r="F269" s="5"/>
      <c r="G269" s="5"/>
      <c r="H269" s="6">
        <v>74868</v>
      </c>
      <c r="I269" s="39">
        <v>149736</v>
      </c>
      <c r="J269" s="3" t="s">
        <v>55</v>
      </c>
      <c r="K269" s="3" t="s">
        <v>43</v>
      </c>
      <c r="M269" s="3">
        <v>35</v>
      </c>
      <c r="N269" s="3">
        <v>22.53</v>
      </c>
      <c r="O269" s="3">
        <v>48.25</v>
      </c>
      <c r="P269" s="3">
        <v>33.64</v>
      </c>
      <c r="Q269" s="3">
        <v>619.15</v>
      </c>
      <c r="R269" s="30">
        <v>2</v>
      </c>
      <c r="S269" s="3">
        <f t="shared" si="56"/>
        <v>14.038574216447126</v>
      </c>
      <c r="T269" s="29">
        <f t="shared" si="57"/>
        <v>24.882724931164592</v>
      </c>
      <c r="U269" s="3">
        <v>143.32</v>
      </c>
      <c r="V269" s="29">
        <v>0.38</v>
      </c>
      <c r="W269" s="30">
        <f t="shared" si="58"/>
        <v>0.64516129032258063</v>
      </c>
      <c r="X269" s="3">
        <v>1.55</v>
      </c>
      <c r="Y269" s="3">
        <v>0.64</v>
      </c>
      <c r="Z269" s="3">
        <v>0.66</v>
      </c>
      <c r="AA269" s="3">
        <v>41.98</v>
      </c>
      <c r="AB269" s="3">
        <v>30.55</v>
      </c>
      <c r="AC269" s="3">
        <v>49.26</v>
      </c>
      <c r="AD269" s="3">
        <v>35.33</v>
      </c>
      <c r="AE269" s="3">
        <v>1007.27</v>
      </c>
      <c r="AF269" s="30">
        <f t="shared" si="53"/>
        <v>31.737517231188704</v>
      </c>
      <c r="AG269" s="3">
        <v>135.05000000000001</v>
      </c>
      <c r="AH269" s="3">
        <v>0.69</v>
      </c>
      <c r="AI269" s="3">
        <f t="shared" si="59"/>
        <v>0.72992700729927007</v>
      </c>
      <c r="AJ269" s="3">
        <v>1.37</v>
      </c>
      <c r="AK269" s="3">
        <v>0.73</v>
      </c>
      <c r="AL269" s="3">
        <v>0.99</v>
      </c>
      <c r="AN269">
        <v>0.7536857454291751</v>
      </c>
      <c r="AO269" s="3">
        <v>44</v>
      </c>
      <c r="AP269" s="3"/>
      <c r="AQ269" s="3">
        <v>36.68</v>
      </c>
      <c r="AR269" s="3">
        <f t="shared" si="54"/>
        <v>1.1995637949836424</v>
      </c>
    </row>
    <row r="270" spans="1:49" x14ac:dyDescent="0.25">
      <c r="B270" t="s">
        <v>378</v>
      </c>
      <c r="C270">
        <v>1161</v>
      </c>
      <c r="D270">
        <v>600</v>
      </c>
      <c r="E270" s="5"/>
      <c r="F270" s="5"/>
      <c r="G270" s="5"/>
      <c r="H270">
        <v>152583</v>
      </c>
      <c r="I270" s="28">
        <v>305166</v>
      </c>
      <c r="J270" t="b">
        <v>0</v>
      </c>
      <c r="K270" t="s">
        <v>43</v>
      </c>
      <c r="M270" s="3">
        <v>124.13</v>
      </c>
      <c r="N270">
        <v>68.55</v>
      </c>
      <c r="O270">
        <v>160.38999999999999</v>
      </c>
      <c r="P270">
        <v>100.66</v>
      </c>
      <c r="Q270">
        <v>6682.85</v>
      </c>
      <c r="R270" s="28">
        <v>1507.51</v>
      </c>
      <c r="S270" s="3">
        <f t="shared" si="56"/>
        <v>46.121765175276472</v>
      </c>
      <c r="T270" s="29">
        <f t="shared" si="57"/>
        <v>81.748700295478713</v>
      </c>
      <c r="U270">
        <v>546.22</v>
      </c>
      <c r="V270" s="29">
        <v>0.28000000000000003</v>
      </c>
      <c r="W270" s="30">
        <f t="shared" si="58"/>
        <v>0.5524861878453039</v>
      </c>
      <c r="X270">
        <v>1.81</v>
      </c>
      <c r="Y270" s="3">
        <v>0.55000000000000004</v>
      </c>
      <c r="Z270" s="3">
        <v>0.67</v>
      </c>
      <c r="AA270">
        <v>141.33000000000001</v>
      </c>
      <c r="AB270">
        <v>81.11</v>
      </c>
      <c r="AC270">
        <v>162.21</v>
      </c>
      <c r="AD270">
        <v>101.69</v>
      </c>
      <c r="AE270">
        <v>9003.2000000000007</v>
      </c>
      <c r="AF270" s="30">
        <f t="shared" si="53"/>
        <v>94.885193787018224</v>
      </c>
      <c r="AG270">
        <v>431.43</v>
      </c>
      <c r="AH270">
        <v>0.61</v>
      </c>
      <c r="AI270" s="3">
        <f t="shared" si="59"/>
        <v>0.57471264367816088</v>
      </c>
      <c r="AJ270">
        <v>1.74</v>
      </c>
      <c r="AK270">
        <v>0.56999999999999995</v>
      </c>
      <c r="AL270">
        <v>0.9</v>
      </c>
      <c r="AN270">
        <v>0.68693142254048667</v>
      </c>
      <c r="AO270">
        <v>152.05000000000001</v>
      </c>
      <c r="AQ270">
        <v>121.59</v>
      </c>
      <c r="AR270" s="3">
        <f t="shared" si="54"/>
        <v>1.250514022534748</v>
      </c>
      <c r="AS270" s="3"/>
      <c r="AT270" s="3"/>
      <c r="AU270" s="3"/>
      <c r="AV270" s="3"/>
      <c r="AW270" s="3"/>
    </row>
    <row r="271" spans="1:49" ht="14.25" customHeight="1" x14ac:dyDescent="0.25">
      <c r="B271" t="s">
        <v>379</v>
      </c>
      <c r="C271">
        <v>1161</v>
      </c>
      <c r="D271">
        <v>500</v>
      </c>
      <c r="E271" s="5"/>
      <c r="F271" s="5"/>
      <c r="G271" s="5"/>
      <c r="H271">
        <v>423576</v>
      </c>
      <c r="I271" s="28">
        <v>847152</v>
      </c>
      <c r="J271" t="b">
        <v>0</v>
      </c>
      <c r="K271" t="s">
        <v>43</v>
      </c>
      <c r="M271" s="3">
        <v>194.44</v>
      </c>
      <c r="N271">
        <v>44.42</v>
      </c>
      <c r="O271">
        <v>200.64</v>
      </c>
      <c r="P271">
        <v>50.24</v>
      </c>
      <c r="Q271">
        <v>6783.32</v>
      </c>
      <c r="R271" s="28">
        <v>331.97</v>
      </c>
      <c r="S271" s="3">
        <f t="shared" si="56"/>
        <v>46.467169239671044</v>
      </c>
      <c r="T271" s="29">
        <f t="shared" si="57"/>
        <v>82.360913059533274</v>
      </c>
      <c r="U271">
        <v>487.29</v>
      </c>
      <c r="V271" s="29">
        <v>0.36</v>
      </c>
      <c r="W271" s="30">
        <f t="shared" si="58"/>
        <v>0.22831050228310504</v>
      </c>
      <c r="X271">
        <v>4.38</v>
      </c>
      <c r="Y271" s="3">
        <v>0.23</v>
      </c>
      <c r="Z271" s="3">
        <v>0.81</v>
      </c>
      <c r="AA271">
        <v>208.95</v>
      </c>
      <c r="AB271">
        <v>51.98</v>
      </c>
      <c r="AC271">
        <v>202.49</v>
      </c>
      <c r="AD271">
        <v>49.66</v>
      </c>
      <c r="AE271">
        <v>8530.57</v>
      </c>
      <c r="AF271" s="30">
        <f t="shared" si="53"/>
        <v>92.361084878860098</v>
      </c>
      <c r="AG271">
        <v>454.36</v>
      </c>
      <c r="AH271">
        <v>0.52</v>
      </c>
      <c r="AI271" s="3">
        <f t="shared" si="59"/>
        <v>0.24875621890547267</v>
      </c>
      <c r="AJ271">
        <v>4.0199999999999996</v>
      </c>
      <c r="AK271">
        <v>0.25</v>
      </c>
      <c r="AL271">
        <v>1</v>
      </c>
      <c r="AN271">
        <v>0.50001413779887272</v>
      </c>
      <c r="AO271">
        <v>190.09</v>
      </c>
      <c r="AQ271">
        <v>106.39</v>
      </c>
      <c r="AR271" s="3">
        <f t="shared" si="54"/>
        <v>1.7867280759469875</v>
      </c>
      <c r="AS271" s="3"/>
      <c r="AT271" s="3"/>
      <c r="AU271" s="3"/>
      <c r="AV271" s="3"/>
      <c r="AW271" s="3"/>
    </row>
    <row r="272" spans="1:49" x14ac:dyDescent="0.25">
      <c r="B272" s="10" t="s">
        <v>380</v>
      </c>
      <c r="C272" s="10">
        <v>1178</v>
      </c>
      <c r="D272" s="10">
        <v>500</v>
      </c>
      <c r="E272" s="5"/>
      <c r="F272" s="5"/>
      <c r="G272" s="5"/>
      <c r="H272" s="10">
        <v>731564</v>
      </c>
      <c r="I272" s="44">
        <v>1463128</v>
      </c>
      <c r="J272" s="11" t="b">
        <v>0</v>
      </c>
      <c r="K272" t="s">
        <v>43</v>
      </c>
      <c r="M272" s="3">
        <v>104.68</v>
      </c>
      <c r="N272">
        <v>72.3</v>
      </c>
      <c r="O272">
        <v>113.93</v>
      </c>
      <c r="P272">
        <v>76.709999999999994</v>
      </c>
      <c r="Q272">
        <v>5944.15</v>
      </c>
      <c r="R272" s="28">
        <v>1057.67</v>
      </c>
      <c r="S272" s="3">
        <f t="shared" si="56"/>
        <v>43.498065588706119</v>
      </c>
      <c r="T272" s="29">
        <f t="shared" si="57"/>
        <v>77.098313859642872</v>
      </c>
      <c r="U272">
        <v>306.83</v>
      </c>
      <c r="V272" s="29">
        <v>0.79</v>
      </c>
      <c r="W272" s="30">
        <f t="shared" si="58"/>
        <v>0.68965517241379315</v>
      </c>
      <c r="X272">
        <v>1.45</v>
      </c>
      <c r="Y272" s="3">
        <v>0.69</v>
      </c>
      <c r="Z272" s="3">
        <v>0.96</v>
      </c>
      <c r="AA272">
        <v>108.86</v>
      </c>
      <c r="AB272">
        <v>72.77</v>
      </c>
      <c r="AC272">
        <v>116.85</v>
      </c>
      <c r="AD272">
        <v>77.98</v>
      </c>
      <c r="AE272">
        <v>6221.97</v>
      </c>
      <c r="AF272" s="30">
        <f t="shared" si="53"/>
        <v>78.879465008327742</v>
      </c>
      <c r="AG272">
        <v>304.60000000000002</v>
      </c>
      <c r="AH272">
        <v>0.84</v>
      </c>
      <c r="AI272" s="3">
        <f t="shared" si="59"/>
        <v>0.66666666666666663</v>
      </c>
      <c r="AJ272">
        <v>1.5</v>
      </c>
      <c r="AK272">
        <v>0.67</v>
      </c>
      <c r="AL272">
        <v>1</v>
      </c>
      <c r="AN272">
        <v>0.82900290601546345</v>
      </c>
      <c r="AO272">
        <v>115.01</v>
      </c>
      <c r="AQ272">
        <v>75.77</v>
      </c>
      <c r="AR272" s="3">
        <f t="shared" si="54"/>
        <v>1.5178830671769832</v>
      </c>
      <c r="AS272" s="3"/>
      <c r="AT272" s="3"/>
      <c r="AU272" s="3"/>
      <c r="AV272" s="3"/>
      <c r="AW272" s="3"/>
    </row>
    <row r="273" spans="1:49" x14ac:dyDescent="0.25">
      <c r="B273" s="16" t="s">
        <v>381</v>
      </c>
      <c r="C273" s="14">
        <v>1178</v>
      </c>
      <c r="D273" s="16">
        <v>600</v>
      </c>
      <c r="E273" s="5"/>
      <c r="F273" s="5"/>
      <c r="G273" s="5"/>
      <c r="H273" s="16">
        <v>143974</v>
      </c>
      <c r="I273" s="48">
        <v>287948</v>
      </c>
      <c r="J273" s="14" t="b">
        <v>0</v>
      </c>
      <c r="K273" t="s">
        <v>64</v>
      </c>
      <c r="L273" t="s">
        <v>382</v>
      </c>
      <c r="M273" s="3">
        <v>56.31</v>
      </c>
      <c r="N273">
        <v>24.1</v>
      </c>
      <c r="O273">
        <v>53.27</v>
      </c>
      <c r="P273">
        <v>25.62</v>
      </c>
      <c r="Q273">
        <v>1065.96</v>
      </c>
      <c r="R273" s="28">
        <v>1714.71</v>
      </c>
      <c r="S273" s="3">
        <f t="shared" si="56"/>
        <v>18.420249897231948</v>
      </c>
      <c r="T273" s="29">
        <f t="shared" si="57"/>
        <v>32.649042864990697</v>
      </c>
      <c r="U273">
        <v>139.88</v>
      </c>
      <c r="V273" s="29">
        <v>0.68</v>
      </c>
      <c r="W273" s="30">
        <f t="shared" si="58"/>
        <v>0.42735042735042739</v>
      </c>
      <c r="X273">
        <v>2.34</v>
      </c>
      <c r="Y273" s="3">
        <v>0.43</v>
      </c>
      <c r="Z273" s="3">
        <v>0.92</v>
      </c>
      <c r="AA273">
        <v>55.3</v>
      </c>
      <c r="AB273">
        <v>26.74</v>
      </c>
      <c r="AC273">
        <v>53.34</v>
      </c>
      <c r="AD273">
        <v>26.08</v>
      </c>
      <c r="AE273">
        <v>1161.42</v>
      </c>
      <c r="AF273" s="30">
        <f t="shared" si="53"/>
        <v>34.079612673855316</v>
      </c>
      <c r="AG273">
        <v>134.57</v>
      </c>
      <c r="AH273">
        <v>2.0699999999999998</v>
      </c>
      <c r="AI273" s="3">
        <f t="shared" si="59"/>
        <v>0.48309178743961356</v>
      </c>
      <c r="AJ273">
        <v>2.0699999999999998</v>
      </c>
      <c r="AK273">
        <v>0.48</v>
      </c>
      <c r="AL273">
        <v>1</v>
      </c>
      <c r="AN273">
        <v>0.65864272143729485</v>
      </c>
      <c r="AO273">
        <v>53.57</v>
      </c>
      <c r="AQ273">
        <v>25.63</v>
      </c>
      <c r="AR273" s="3">
        <f t="shared" si="54"/>
        <v>2.0901287553648071</v>
      </c>
      <c r="AS273" s="3"/>
      <c r="AT273" s="3"/>
      <c r="AU273" s="3"/>
      <c r="AV273" s="3"/>
      <c r="AW273" s="3"/>
    </row>
    <row r="274" spans="1:49" x14ac:dyDescent="0.25">
      <c r="B274" s="6" t="s">
        <v>383</v>
      </c>
      <c r="C274" s="6">
        <v>1178</v>
      </c>
      <c r="D274" s="6">
        <v>700</v>
      </c>
      <c r="E274" s="5"/>
      <c r="F274" s="5"/>
      <c r="G274" s="5"/>
      <c r="H274" s="6">
        <v>57773</v>
      </c>
      <c r="I274" s="39">
        <v>115546</v>
      </c>
      <c r="J274" s="15" t="b">
        <v>0</v>
      </c>
      <c r="K274" t="s">
        <v>43</v>
      </c>
      <c r="M274" s="3">
        <v>95.47</v>
      </c>
      <c r="N274">
        <v>51.89</v>
      </c>
      <c r="O274">
        <v>101.08</v>
      </c>
      <c r="P274">
        <v>53.36</v>
      </c>
      <c r="Q274">
        <v>3890.78</v>
      </c>
      <c r="R274" s="28">
        <v>124.52</v>
      </c>
      <c r="S274" s="3">
        <f t="shared" si="56"/>
        <v>35.191955600196039</v>
      </c>
      <c r="T274" s="29">
        <f t="shared" si="57"/>
        <v>62.376117224463407</v>
      </c>
      <c r="U274">
        <v>262.69</v>
      </c>
      <c r="V274" s="29">
        <v>0.71</v>
      </c>
      <c r="W274" s="30">
        <f t="shared" si="58"/>
        <v>0.54347826086956519</v>
      </c>
      <c r="X274">
        <v>1.84</v>
      </c>
      <c r="Y274" s="3">
        <v>0.54</v>
      </c>
      <c r="Z274" s="3">
        <v>0.96</v>
      </c>
      <c r="AA274">
        <v>97.72</v>
      </c>
      <c r="AB274">
        <v>53.74</v>
      </c>
      <c r="AC274">
        <v>101.82</v>
      </c>
      <c r="AD274">
        <v>54.22</v>
      </c>
      <c r="AE274">
        <v>4124.49</v>
      </c>
      <c r="AF274" s="30">
        <f t="shared" si="53"/>
        <v>64.222192425983096</v>
      </c>
      <c r="AG274">
        <v>263.33</v>
      </c>
      <c r="AH274">
        <v>0.75</v>
      </c>
      <c r="AI274" s="3">
        <f t="shared" si="59"/>
        <v>0.54945054945054939</v>
      </c>
      <c r="AJ274">
        <v>1.82</v>
      </c>
      <c r="AK274">
        <v>0.55000000000000004</v>
      </c>
      <c r="AL274">
        <v>1</v>
      </c>
      <c r="AN274">
        <v>0.73474586247616291</v>
      </c>
      <c r="AO274" s="3">
        <v>97.64</v>
      </c>
      <c r="AP274" s="3"/>
      <c r="AQ274" s="3">
        <v>54.851999999999997</v>
      </c>
      <c r="AR274" s="3">
        <f t="shared" si="54"/>
        <v>1.7800627142127909</v>
      </c>
      <c r="AS274" s="3"/>
      <c r="AT274" s="3"/>
      <c r="AU274" s="3"/>
      <c r="AV274" s="3"/>
      <c r="AW274" s="3"/>
    </row>
    <row r="275" spans="1:49" x14ac:dyDescent="0.25">
      <c r="B275" s="21" t="s">
        <v>384</v>
      </c>
      <c r="C275" s="10">
        <v>1178</v>
      </c>
      <c r="D275" s="21">
        <v>500</v>
      </c>
      <c r="E275" s="5"/>
      <c r="F275" s="5"/>
      <c r="G275" s="5"/>
      <c r="H275" s="21">
        <v>942969</v>
      </c>
      <c r="I275" s="52">
        <v>1885938</v>
      </c>
      <c r="J275" s="21" t="s">
        <v>55</v>
      </c>
      <c r="K275" t="s">
        <v>43</v>
      </c>
      <c r="M275" s="3">
        <v>102.91</v>
      </c>
      <c r="N275">
        <v>37.69</v>
      </c>
      <c r="O275">
        <v>116.86</v>
      </c>
      <c r="P275">
        <v>57.34</v>
      </c>
      <c r="Q275">
        <v>3046.04</v>
      </c>
      <c r="R275" s="28">
        <v>29.72</v>
      </c>
      <c r="S275" s="3">
        <f t="shared" si="56"/>
        <v>31.138154179579651</v>
      </c>
      <c r="T275" s="29">
        <f t="shared" si="57"/>
        <v>55.190941285685639</v>
      </c>
      <c r="U275">
        <v>360.99</v>
      </c>
      <c r="V275" s="29">
        <v>0.28999999999999998</v>
      </c>
      <c r="W275" s="30">
        <f t="shared" si="58"/>
        <v>0.36630036630036628</v>
      </c>
      <c r="X275">
        <v>2.73</v>
      </c>
      <c r="Y275" s="3">
        <v>0.37</v>
      </c>
      <c r="Z275" s="3">
        <v>0.56999999999999995</v>
      </c>
      <c r="AA275">
        <v>113.49</v>
      </c>
      <c r="AB275">
        <v>57.81</v>
      </c>
      <c r="AC275">
        <v>117.99</v>
      </c>
      <c r="AD275">
        <v>54.29</v>
      </c>
      <c r="AE275">
        <v>5152.7299999999996</v>
      </c>
      <c r="AF275" s="30">
        <f t="shared" si="53"/>
        <v>71.782518763275505</v>
      </c>
      <c r="AG275">
        <v>298.93</v>
      </c>
      <c r="AH275">
        <v>0.72</v>
      </c>
      <c r="AI275" s="3">
        <f t="shared" si="59"/>
        <v>0.51020408163265307</v>
      </c>
      <c r="AJ275">
        <v>1.96</v>
      </c>
      <c r="AK275">
        <v>0.51</v>
      </c>
      <c r="AL275">
        <v>1</v>
      </c>
      <c r="AN275">
        <v>0.62030008274995274</v>
      </c>
      <c r="AO275">
        <v>75.989999999999995</v>
      </c>
      <c r="AQ275">
        <v>102.76</v>
      </c>
      <c r="AR275" s="3">
        <f t="shared" si="54"/>
        <v>0.73949007395873867</v>
      </c>
    </row>
    <row r="276" spans="1:49" x14ac:dyDescent="0.25">
      <c r="B276" s="14" t="s">
        <v>385</v>
      </c>
      <c r="C276" s="14">
        <v>1178</v>
      </c>
      <c r="D276" s="14">
        <v>600</v>
      </c>
      <c r="E276" s="5"/>
      <c r="F276" s="5"/>
      <c r="G276" s="5"/>
      <c r="H276" s="14">
        <v>76016</v>
      </c>
      <c r="I276" s="47">
        <v>152032</v>
      </c>
      <c r="J276" s="14" t="b">
        <v>0</v>
      </c>
      <c r="K276" t="s">
        <v>64</v>
      </c>
      <c r="L276" t="s">
        <v>386</v>
      </c>
      <c r="M276" s="3">
        <v>39.590000000000003</v>
      </c>
      <c r="N276">
        <v>20.9</v>
      </c>
      <c r="O276">
        <v>38.46</v>
      </c>
      <c r="P276">
        <v>22.72</v>
      </c>
      <c r="Q276">
        <v>712.18</v>
      </c>
      <c r="R276" s="28">
        <v>1168.92</v>
      </c>
      <c r="S276" s="3">
        <f t="shared" si="56"/>
        <v>15.056358614963049</v>
      </c>
      <c r="T276" s="29">
        <f t="shared" si="57"/>
        <v>26.686700807705698</v>
      </c>
      <c r="U276">
        <v>103.63</v>
      </c>
      <c r="V276" s="29">
        <v>0.83</v>
      </c>
      <c r="W276" s="30">
        <f t="shared" si="58"/>
        <v>0.5780346820809249</v>
      </c>
      <c r="X276">
        <v>1.73</v>
      </c>
      <c r="Y276" s="3">
        <v>0.57999999999999996</v>
      </c>
      <c r="Z276" s="3">
        <v>0.97</v>
      </c>
      <c r="AA276">
        <v>39.64</v>
      </c>
      <c r="AB276">
        <v>24.61</v>
      </c>
      <c r="AC276">
        <v>39.15</v>
      </c>
      <c r="AD276">
        <v>23.74</v>
      </c>
      <c r="AE276">
        <v>766.1</v>
      </c>
      <c r="AF276" s="30">
        <f t="shared" si="53"/>
        <v>27.678511520672494</v>
      </c>
      <c r="AG276">
        <v>104.66</v>
      </c>
      <c r="AH276">
        <v>0.88</v>
      </c>
      <c r="AI276" s="3">
        <f t="shared" si="59"/>
        <v>0.6211180124223602</v>
      </c>
      <c r="AJ276">
        <v>1.61</v>
      </c>
      <c r="AK276">
        <v>0.62</v>
      </c>
      <c r="AL276">
        <v>1</v>
      </c>
      <c r="AN276">
        <v>0.72760828978329173</v>
      </c>
      <c r="AO276">
        <v>38.56</v>
      </c>
      <c r="AQ276">
        <v>22.37</v>
      </c>
      <c r="AR276" s="3">
        <f t="shared" si="54"/>
        <v>1.723737147966026</v>
      </c>
      <c r="AS276" s="3"/>
      <c r="AT276" s="3"/>
      <c r="AU276" s="3"/>
      <c r="AV276" s="3"/>
      <c r="AW276" s="3"/>
    </row>
    <row r="277" spans="1:49" x14ac:dyDescent="0.25">
      <c r="B277" s="14" t="s">
        <v>387</v>
      </c>
      <c r="C277" s="14">
        <v>1178</v>
      </c>
      <c r="D277" s="14">
        <v>600</v>
      </c>
      <c r="E277" s="5"/>
      <c r="F277" s="5"/>
      <c r="G277" s="5"/>
      <c r="H277" s="14">
        <v>465818</v>
      </c>
      <c r="I277" s="47">
        <v>931636</v>
      </c>
      <c r="J277" s="46" t="s">
        <v>55</v>
      </c>
      <c r="K277" t="s">
        <v>43</v>
      </c>
      <c r="M277" s="3">
        <v>21.5</v>
      </c>
      <c r="N277">
        <v>10.43</v>
      </c>
      <c r="O277">
        <v>23.54</v>
      </c>
      <c r="P277">
        <v>12.09</v>
      </c>
      <c r="Q277">
        <v>176.14</v>
      </c>
      <c r="R277" s="28">
        <v>1.74</v>
      </c>
      <c r="S277" s="3">
        <f t="shared" si="56"/>
        <v>7.4877969625526628</v>
      </c>
      <c r="T277" s="29">
        <f t="shared" si="57"/>
        <v>13.271774561075093</v>
      </c>
      <c r="U277">
        <v>58.64</v>
      </c>
      <c r="V277" s="29">
        <v>0.64</v>
      </c>
      <c r="W277" s="30">
        <f t="shared" si="58"/>
        <v>0.4854368932038835</v>
      </c>
      <c r="X277">
        <v>2.06</v>
      </c>
      <c r="Y277" s="3">
        <v>0.49</v>
      </c>
      <c r="Z277" s="3">
        <v>0.94</v>
      </c>
      <c r="AA277">
        <v>23.68</v>
      </c>
      <c r="AB277">
        <v>15.47</v>
      </c>
      <c r="AC277">
        <v>27.85</v>
      </c>
      <c r="AD277">
        <v>16.09</v>
      </c>
      <c r="AE277">
        <v>287.70999999999998</v>
      </c>
      <c r="AF277" s="30">
        <f t="shared" si="53"/>
        <v>16.962016389568781</v>
      </c>
      <c r="AG277">
        <v>69.290000000000006</v>
      </c>
      <c r="AH277">
        <v>0.75</v>
      </c>
      <c r="AI277" s="3">
        <f t="shared" si="59"/>
        <v>0.65359477124183007</v>
      </c>
      <c r="AJ277">
        <v>1.53</v>
      </c>
      <c r="AK277">
        <v>0.65</v>
      </c>
      <c r="AL277">
        <v>1</v>
      </c>
      <c r="AN277">
        <v>0.6970815643917746</v>
      </c>
      <c r="AO277">
        <v>16.59</v>
      </c>
      <c r="AQ277">
        <v>22.58</v>
      </c>
      <c r="AR277" s="3">
        <f t="shared" si="54"/>
        <v>0.73472099202834373</v>
      </c>
    </row>
    <row r="278" spans="1:49" x14ac:dyDescent="0.25">
      <c r="B278" s="12" t="s">
        <v>388</v>
      </c>
      <c r="C278" s="10">
        <v>1178</v>
      </c>
      <c r="D278" s="12">
        <v>500</v>
      </c>
      <c r="E278" s="5"/>
      <c r="F278" s="5"/>
      <c r="G278" s="5"/>
      <c r="H278" s="12">
        <v>3692308</v>
      </c>
      <c r="I278" s="45">
        <v>7384616</v>
      </c>
      <c r="J278" s="64" t="b">
        <v>0</v>
      </c>
      <c r="K278" t="s">
        <v>64</v>
      </c>
      <c r="M278" s="3">
        <v>33.44</v>
      </c>
      <c r="N278">
        <v>27.13</v>
      </c>
      <c r="O278">
        <v>34.97</v>
      </c>
      <c r="P278">
        <v>27.31</v>
      </c>
      <c r="Q278">
        <v>712.74</v>
      </c>
      <c r="R278" s="28">
        <v>362.14</v>
      </c>
      <c r="S278" s="3">
        <f t="shared" si="56"/>
        <v>15.062276995150334</v>
      </c>
      <c r="T278" s="29">
        <f t="shared" si="57"/>
        <v>26.697190863459774</v>
      </c>
      <c r="U278">
        <v>98.94</v>
      </c>
      <c r="V278" s="29">
        <v>0.91</v>
      </c>
      <c r="W278" s="30">
        <f t="shared" si="58"/>
        <v>0.81300813008130079</v>
      </c>
      <c r="X278">
        <v>1.23</v>
      </c>
      <c r="Y278" s="3">
        <v>0.81</v>
      </c>
      <c r="Z278" s="3">
        <v>0.98</v>
      </c>
      <c r="AA278">
        <v>33.96</v>
      </c>
      <c r="AB278">
        <v>28.39</v>
      </c>
      <c r="AC278">
        <v>35.08</v>
      </c>
      <c r="AD278">
        <v>27.31</v>
      </c>
      <c r="AE278">
        <v>712.74</v>
      </c>
      <c r="AF278" s="30">
        <f t="shared" si="53"/>
        <v>26.697190863459774</v>
      </c>
      <c r="AG278">
        <v>100.78</v>
      </c>
      <c r="AH278">
        <v>0.94</v>
      </c>
      <c r="AI278" s="3">
        <f t="shared" si="59"/>
        <v>0.83333333333333337</v>
      </c>
      <c r="AJ278">
        <v>1.2</v>
      </c>
      <c r="AK278">
        <v>0.84</v>
      </c>
      <c r="AL278">
        <v>1</v>
      </c>
      <c r="AN278">
        <v>0.89416678261976756</v>
      </c>
      <c r="AO278">
        <v>33.57</v>
      </c>
      <c r="AQ278">
        <v>29.26</v>
      </c>
      <c r="AR278" s="3">
        <f t="shared" si="54"/>
        <v>1.1473000683526999</v>
      </c>
      <c r="AS278" s="3"/>
      <c r="AT278" s="3"/>
      <c r="AU278" s="3"/>
      <c r="AV278" s="3"/>
      <c r="AW278" s="3"/>
    </row>
    <row r="279" spans="1:49" x14ac:dyDescent="0.25">
      <c r="B279" s="61" t="s">
        <v>389</v>
      </c>
      <c r="C279" s="6">
        <v>1178</v>
      </c>
      <c r="D279" s="6">
        <v>700</v>
      </c>
      <c r="E279" s="5"/>
      <c r="F279" s="5"/>
      <c r="G279" s="13"/>
      <c r="H279" s="6">
        <v>55094</v>
      </c>
      <c r="I279" s="39">
        <v>110188</v>
      </c>
      <c r="J279" s="15" t="b">
        <v>0</v>
      </c>
      <c r="K279" t="s">
        <v>64</v>
      </c>
      <c r="L279" t="s">
        <v>390</v>
      </c>
      <c r="M279" s="3">
        <v>5.16</v>
      </c>
      <c r="N279">
        <v>3.75</v>
      </c>
      <c r="O279">
        <v>5.26</v>
      </c>
      <c r="P279">
        <v>3.85</v>
      </c>
      <c r="Q279">
        <v>17.11</v>
      </c>
      <c r="R279" s="28">
        <v>420.46</v>
      </c>
      <c r="S279" s="3">
        <f t="shared" si="56"/>
        <v>2.3337270947145168</v>
      </c>
      <c r="T279" s="29">
        <f t="shared" si="57"/>
        <v>4.1364235759892871</v>
      </c>
      <c r="U279">
        <v>15.06</v>
      </c>
      <c r="V279" s="29">
        <v>0.95</v>
      </c>
      <c r="W279" s="30">
        <f t="shared" si="58"/>
        <v>0.86206896551724144</v>
      </c>
      <c r="X279">
        <v>1.1599999999999999</v>
      </c>
      <c r="Y279" s="3">
        <v>0.86</v>
      </c>
      <c r="Z279" s="3">
        <v>1</v>
      </c>
      <c r="AA279">
        <v>5.01</v>
      </c>
      <c r="AB279">
        <v>4.54</v>
      </c>
      <c r="AC279">
        <v>5.19</v>
      </c>
      <c r="AD279">
        <v>4.37</v>
      </c>
      <c r="AE279">
        <v>17.850000000000001</v>
      </c>
      <c r="AF279" s="30">
        <f t="shared" si="53"/>
        <v>4.224926034855522</v>
      </c>
      <c r="AG279">
        <v>15.47</v>
      </c>
      <c r="AH279">
        <v>0.94</v>
      </c>
      <c r="AI279" s="3">
        <f t="shared" si="59"/>
        <v>0.90909090909090906</v>
      </c>
      <c r="AJ279">
        <v>1.1000000000000001</v>
      </c>
      <c r="AK279">
        <v>0.91</v>
      </c>
      <c r="AL279">
        <v>1</v>
      </c>
      <c r="AN279">
        <v>0.87608915711508017</v>
      </c>
      <c r="AO279" s="3">
        <v>4.93</v>
      </c>
      <c r="AP279" s="3"/>
      <c r="AQ279" s="3">
        <v>4.33</v>
      </c>
      <c r="AR279" s="3">
        <f t="shared" si="54"/>
        <v>1.1385681293302539</v>
      </c>
      <c r="AS279" s="3"/>
      <c r="AT279" s="3"/>
      <c r="AU279" s="3"/>
      <c r="AV279" s="3"/>
      <c r="AW279" s="3"/>
    </row>
    <row r="280" spans="1:49" x14ac:dyDescent="0.25">
      <c r="B280" s="14" t="s">
        <v>391</v>
      </c>
      <c r="C280" s="14">
        <v>1178</v>
      </c>
      <c r="D280" s="14">
        <v>600</v>
      </c>
      <c r="E280" s="5"/>
      <c r="F280" s="5"/>
      <c r="G280" s="5"/>
      <c r="H280" s="14">
        <v>437553</v>
      </c>
      <c r="I280" s="47">
        <v>875106</v>
      </c>
      <c r="J280" s="14" t="b">
        <v>0</v>
      </c>
      <c r="K280" t="s">
        <v>43</v>
      </c>
      <c r="L280" t="s">
        <v>382</v>
      </c>
      <c r="M280" s="3">
        <v>63.63</v>
      </c>
      <c r="N280">
        <v>60.61</v>
      </c>
      <c r="O280">
        <v>74.150000000000006</v>
      </c>
      <c r="P280">
        <v>63.63</v>
      </c>
      <c r="Q280">
        <v>3029.1</v>
      </c>
      <c r="R280" s="28">
        <v>729.09</v>
      </c>
      <c r="S280" s="3">
        <f t="shared" si="56"/>
        <v>31.05144885893926</v>
      </c>
      <c r="T280" s="29">
        <f t="shared" si="57"/>
        <v>55.037260106222583</v>
      </c>
      <c r="U280">
        <v>308.42</v>
      </c>
      <c r="V280" s="29">
        <v>0.4</v>
      </c>
      <c r="W280" s="30">
        <f t="shared" si="58"/>
        <v>0.95238095238095233</v>
      </c>
      <c r="X280">
        <v>1.05</v>
      </c>
      <c r="Y280" s="3">
        <v>0.95</v>
      </c>
      <c r="Z280" s="3">
        <v>0.85</v>
      </c>
      <c r="AA280">
        <v>71.08</v>
      </c>
      <c r="AB280">
        <v>65.599999999999994</v>
      </c>
      <c r="AC280">
        <v>73.98</v>
      </c>
      <c r="AD280">
        <v>64.849999999999994</v>
      </c>
      <c r="AE280">
        <v>3661.9</v>
      </c>
      <c r="AF280" s="30">
        <f t="shared" si="53"/>
        <v>60.513634827202374</v>
      </c>
      <c r="AG280">
        <v>218.23</v>
      </c>
      <c r="AH280">
        <v>0.97</v>
      </c>
      <c r="AI280" s="3">
        <f t="shared" si="59"/>
        <v>0.92592592592592582</v>
      </c>
      <c r="AJ280">
        <v>1.08</v>
      </c>
      <c r="AK280">
        <v>0.92</v>
      </c>
      <c r="AL280">
        <v>1</v>
      </c>
      <c r="AN280">
        <v>0.92027583172842475</v>
      </c>
      <c r="AO280">
        <v>69.45</v>
      </c>
      <c r="AQ280">
        <v>70.81</v>
      </c>
      <c r="AR280" s="3">
        <f t="shared" si="54"/>
        <v>0.98079367320999855</v>
      </c>
      <c r="AS280" s="3"/>
      <c r="AT280" s="3"/>
      <c r="AU280" s="3"/>
      <c r="AV280" s="3"/>
      <c r="AW280" s="3"/>
    </row>
    <row r="281" spans="1:49" x14ac:dyDescent="0.25">
      <c r="B281" t="s">
        <v>392</v>
      </c>
      <c r="C281">
        <v>1178</v>
      </c>
      <c r="D281">
        <v>700</v>
      </c>
      <c r="E281" s="5"/>
      <c r="F281" s="5"/>
      <c r="G281" s="5"/>
      <c r="H281">
        <v>35194</v>
      </c>
      <c r="I281" s="28">
        <v>70388</v>
      </c>
      <c r="J281" s="3" t="s">
        <v>55</v>
      </c>
      <c r="K281" t="s">
        <v>43</v>
      </c>
      <c r="L281" t="s">
        <v>393</v>
      </c>
      <c r="M281" s="3">
        <v>15.13</v>
      </c>
      <c r="N281">
        <v>4.1500000000000004</v>
      </c>
      <c r="O281">
        <v>15.74</v>
      </c>
      <c r="P281">
        <v>4.0199999999999996</v>
      </c>
      <c r="Q281">
        <v>49.3</v>
      </c>
      <c r="R281" s="28">
        <v>0</v>
      </c>
      <c r="S281" s="3">
        <f t="shared" si="56"/>
        <v>3.9613984132955977</v>
      </c>
      <c r="T281" s="29">
        <f t="shared" si="57"/>
        <v>7.0213958726167833</v>
      </c>
      <c r="U281">
        <v>35.18</v>
      </c>
      <c r="V281" s="29">
        <v>0.5</v>
      </c>
      <c r="W281" s="30">
        <f t="shared" si="58"/>
        <v>0.27472527472527469</v>
      </c>
      <c r="X281">
        <v>3.64</v>
      </c>
      <c r="Y281" s="3">
        <v>0.27</v>
      </c>
      <c r="Z281" s="3">
        <v>1</v>
      </c>
      <c r="AA281">
        <v>15.13</v>
      </c>
      <c r="AB281">
        <v>4.1500000000000004</v>
      </c>
      <c r="AC281">
        <v>15.74</v>
      </c>
      <c r="AD281">
        <v>4.0199999999999996</v>
      </c>
      <c r="AE281">
        <v>49.3</v>
      </c>
      <c r="AF281" s="30">
        <f t="shared" si="53"/>
        <v>7.0213958726167833</v>
      </c>
      <c r="AG281">
        <v>35.18</v>
      </c>
      <c r="AH281">
        <v>0.5</v>
      </c>
      <c r="AI281" s="3">
        <f t="shared" si="59"/>
        <v>0.27472527472527469</v>
      </c>
      <c r="AJ281">
        <v>3.64</v>
      </c>
      <c r="AK281">
        <v>0.27</v>
      </c>
      <c r="AL281">
        <v>1</v>
      </c>
      <c r="AN281">
        <v>0.53647746839630039</v>
      </c>
      <c r="AO281" s="3">
        <v>14.19</v>
      </c>
      <c r="AP281" s="3"/>
      <c r="AQ281" s="3">
        <v>4.53</v>
      </c>
      <c r="AR281" s="3">
        <f t="shared" si="54"/>
        <v>3.1324503311258276</v>
      </c>
    </row>
    <row r="282" spans="1:49" x14ac:dyDescent="0.25">
      <c r="B282" t="s">
        <v>394</v>
      </c>
      <c r="C282">
        <v>1178</v>
      </c>
      <c r="D282">
        <v>700</v>
      </c>
      <c r="E282" s="5"/>
      <c r="F282" s="5"/>
      <c r="G282" s="5"/>
      <c r="H282">
        <v>43913</v>
      </c>
      <c r="I282" s="28">
        <v>87826</v>
      </c>
      <c r="J282" s="3" t="b">
        <v>0</v>
      </c>
      <c r="K282" t="s">
        <v>64</v>
      </c>
      <c r="L282" t="s">
        <v>367</v>
      </c>
      <c r="M282" s="3">
        <v>112.13</v>
      </c>
      <c r="N282">
        <v>88.28</v>
      </c>
      <c r="O282">
        <v>123.86</v>
      </c>
      <c r="P282">
        <v>99.69</v>
      </c>
      <c r="Q282">
        <v>7774.97</v>
      </c>
      <c r="R282" s="28">
        <v>650.82000000000005</v>
      </c>
      <c r="S282" s="3">
        <f t="shared" si="56"/>
        <v>49.74786242425283</v>
      </c>
      <c r="T282" s="29">
        <f t="shared" si="57"/>
        <v>88.17579032818476</v>
      </c>
      <c r="U282">
        <v>368.46</v>
      </c>
      <c r="V282" s="29">
        <v>0.72</v>
      </c>
      <c r="W282" s="30">
        <f t="shared" si="58"/>
        <v>0.78740157480314954</v>
      </c>
      <c r="X282">
        <v>1.27</v>
      </c>
      <c r="Y282" s="3">
        <v>0.79</v>
      </c>
      <c r="Z282" s="3">
        <v>0.94</v>
      </c>
      <c r="AA282">
        <v>113.74</v>
      </c>
      <c r="AB282">
        <v>94.01</v>
      </c>
      <c r="AC282">
        <v>124.95</v>
      </c>
      <c r="AD282">
        <v>101.95</v>
      </c>
      <c r="AE282">
        <v>8398.0300000000007</v>
      </c>
      <c r="AF282" s="30">
        <f t="shared" si="53"/>
        <v>91.640766037828385</v>
      </c>
      <c r="AG282">
        <v>360.63</v>
      </c>
      <c r="AH282">
        <v>0.81</v>
      </c>
      <c r="AI282" s="3">
        <f t="shared" si="59"/>
        <v>0.82644628099173556</v>
      </c>
      <c r="AJ282">
        <v>1.21</v>
      </c>
      <c r="AK282">
        <v>0.83</v>
      </c>
      <c r="AL282">
        <v>1</v>
      </c>
      <c r="AN282">
        <v>0.84252874927928734</v>
      </c>
      <c r="AO282" s="3">
        <v>121.36</v>
      </c>
      <c r="AP282" s="3"/>
      <c r="AQ282" s="3">
        <v>133.81</v>
      </c>
      <c r="AR282" s="3">
        <f t="shared" si="54"/>
        <v>0.90695762648531497</v>
      </c>
      <c r="AS282" s="3"/>
      <c r="AT282" s="3"/>
      <c r="AU282" s="3"/>
      <c r="AV282" s="3"/>
      <c r="AW282" s="3"/>
    </row>
    <row r="283" spans="1:49" x14ac:dyDescent="0.25">
      <c r="B283" t="s">
        <v>395</v>
      </c>
      <c r="C283">
        <v>1178</v>
      </c>
      <c r="D283">
        <v>700</v>
      </c>
      <c r="E283" s="5"/>
      <c r="F283" s="5"/>
      <c r="G283" s="5"/>
      <c r="H283">
        <v>58566</v>
      </c>
      <c r="I283" s="28">
        <v>117132</v>
      </c>
      <c r="J283" s="3" t="b">
        <v>0</v>
      </c>
      <c r="K283" t="s">
        <v>64</v>
      </c>
      <c r="M283" s="3">
        <v>33.11</v>
      </c>
      <c r="N283">
        <v>30.14</v>
      </c>
      <c r="O283">
        <v>35.35</v>
      </c>
      <c r="P283">
        <v>29.4</v>
      </c>
      <c r="Q283">
        <v>783.87</v>
      </c>
      <c r="R283" s="28">
        <v>1905.8</v>
      </c>
      <c r="S283" s="3">
        <f t="shared" si="56"/>
        <v>15.795998559220244</v>
      </c>
      <c r="T283" s="29">
        <f t="shared" si="57"/>
        <v>27.997678475187904</v>
      </c>
      <c r="U283">
        <v>101.71</v>
      </c>
      <c r="V283" s="29">
        <v>0.95</v>
      </c>
      <c r="W283" s="30">
        <f t="shared" si="58"/>
        <v>0.90909090909090906</v>
      </c>
      <c r="X283">
        <v>1.1000000000000001</v>
      </c>
      <c r="Y283" s="3">
        <v>0.91</v>
      </c>
      <c r="Z283" s="3">
        <v>1</v>
      </c>
      <c r="AA283">
        <v>33.11</v>
      </c>
      <c r="AB283">
        <v>30.4</v>
      </c>
      <c r="AC283">
        <v>34.369999999999997</v>
      </c>
      <c r="AD283">
        <v>30.26</v>
      </c>
      <c r="AE283">
        <v>790.49</v>
      </c>
      <c r="AF283" s="30">
        <f t="shared" si="53"/>
        <v>28.115654002708172</v>
      </c>
      <c r="AG283">
        <v>102.14</v>
      </c>
      <c r="AH283">
        <v>0.95</v>
      </c>
      <c r="AI283" s="3">
        <f t="shared" si="59"/>
        <v>0.9174311926605504</v>
      </c>
      <c r="AJ283">
        <v>1.0900000000000001</v>
      </c>
      <c r="AK283">
        <v>0.92</v>
      </c>
      <c r="AL283">
        <v>1</v>
      </c>
      <c r="AN283">
        <v>0.94373804506824388</v>
      </c>
      <c r="AO283" s="3">
        <v>32.83</v>
      </c>
      <c r="AP283" s="3"/>
      <c r="AQ283" s="3">
        <v>33.28</v>
      </c>
      <c r="AR283" s="3">
        <f t="shared" si="54"/>
        <v>0.98647836538461531</v>
      </c>
      <c r="AS283" s="3"/>
      <c r="AT283" s="3"/>
      <c r="AU283" s="3"/>
      <c r="AV283" s="3"/>
      <c r="AW283" s="3"/>
    </row>
    <row r="284" spans="1:49" x14ac:dyDescent="0.25">
      <c r="A284" s="6"/>
      <c r="B284" s="17" t="s">
        <v>396</v>
      </c>
      <c r="C284" s="17">
        <v>1178</v>
      </c>
      <c r="D284" s="17">
        <v>600</v>
      </c>
      <c r="E284" s="13"/>
      <c r="F284" s="13"/>
      <c r="G284" s="13"/>
      <c r="H284" s="17">
        <v>160443</v>
      </c>
      <c r="I284" s="49">
        <v>320886</v>
      </c>
      <c r="J284" s="17" t="b">
        <v>0</v>
      </c>
      <c r="K284" s="6" t="s">
        <v>43</v>
      </c>
      <c r="L284" s="6"/>
      <c r="M284" s="15">
        <v>94.13</v>
      </c>
      <c r="N284" s="6">
        <v>59.72</v>
      </c>
      <c r="O284" s="6">
        <v>127.46</v>
      </c>
      <c r="P284" s="6">
        <v>91.24</v>
      </c>
      <c r="Q284" s="6">
        <v>4415.03</v>
      </c>
      <c r="R284" s="39">
        <v>1908.48</v>
      </c>
      <c r="S284" s="15">
        <f t="shared" si="56"/>
        <v>37.487967360181337</v>
      </c>
      <c r="T284" s="40">
        <f t="shared" si="57"/>
        <v>66.445692110173695</v>
      </c>
      <c r="U284" s="6">
        <v>414.26</v>
      </c>
      <c r="V284" s="40">
        <v>0.32</v>
      </c>
      <c r="W284" s="41">
        <f t="shared" si="58"/>
        <v>0.63291139240506322</v>
      </c>
      <c r="X284" s="6">
        <v>1.58</v>
      </c>
      <c r="Y284" s="15">
        <v>0.63</v>
      </c>
      <c r="Z284" s="15">
        <v>0.6</v>
      </c>
      <c r="AA284" s="6">
        <v>112.43</v>
      </c>
      <c r="AB284" s="6">
        <v>85.26</v>
      </c>
      <c r="AC284" s="6">
        <v>128.55000000000001</v>
      </c>
      <c r="AD284" s="6">
        <v>92.08</v>
      </c>
      <c r="AE284" s="6">
        <v>7528.93</v>
      </c>
      <c r="AF284" s="41">
        <f t="shared" si="53"/>
        <v>86.769407051102988</v>
      </c>
      <c r="AG284" s="6">
        <v>342.82</v>
      </c>
      <c r="AH284" s="6">
        <v>0.81</v>
      </c>
      <c r="AI284" s="15">
        <f t="shared" si="59"/>
        <v>0.75757575757575757</v>
      </c>
      <c r="AJ284" s="6">
        <v>1.32</v>
      </c>
      <c r="AK284" s="6">
        <v>0.76</v>
      </c>
      <c r="AL284" s="6">
        <v>1</v>
      </c>
      <c r="AM284" s="6"/>
      <c r="AN284" s="6">
        <v>0.64198463409123074</v>
      </c>
      <c r="AO284" s="6">
        <v>105.71</v>
      </c>
      <c r="AP284" s="6"/>
      <c r="AQ284" s="6">
        <v>96.41</v>
      </c>
      <c r="AR284" s="15">
        <f t="shared" si="54"/>
        <v>1.0964630225080385</v>
      </c>
      <c r="AS284" s="3"/>
      <c r="AT284" s="3"/>
      <c r="AU284" s="3"/>
      <c r="AV284" s="3"/>
      <c r="AW284" s="3"/>
    </row>
    <row r="285" spans="1:49" x14ac:dyDescent="0.25">
      <c r="B285" s="10" t="s">
        <v>397</v>
      </c>
      <c r="C285" s="10">
        <v>1178</v>
      </c>
      <c r="D285" s="10">
        <v>500</v>
      </c>
      <c r="E285" s="5"/>
      <c r="F285" s="5"/>
      <c r="G285" s="5"/>
      <c r="H285" s="10">
        <v>1663404</v>
      </c>
      <c r="I285" s="44">
        <v>3326808</v>
      </c>
      <c r="J285" s="23" t="b">
        <v>0</v>
      </c>
      <c r="K285" t="s">
        <v>43</v>
      </c>
      <c r="L285" t="s">
        <v>398</v>
      </c>
      <c r="M285" s="3">
        <v>121.11</v>
      </c>
      <c r="N285">
        <v>76.8</v>
      </c>
      <c r="O285">
        <v>156.03</v>
      </c>
      <c r="P285">
        <v>90.03</v>
      </c>
      <c r="Q285">
        <v>7305.68</v>
      </c>
      <c r="R285" s="28">
        <v>670.55</v>
      </c>
      <c r="S285" s="3">
        <f t="shared" si="56"/>
        <v>48.223128986982964</v>
      </c>
      <c r="T285" s="29">
        <f t="shared" si="57"/>
        <v>85.473270675691353</v>
      </c>
      <c r="U285">
        <v>450.04</v>
      </c>
      <c r="V285" s="29">
        <v>0.45</v>
      </c>
      <c r="W285" s="30">
        <f t="shared" si="58"/>
        <v>0.63291139240506322</v>
      </c>
      <c r="X285">
        <v>1.58</v>
      </c>
      <c r="Y285" s="3">
        <v>0.63</v>
      </c>
      <c r="Z285" s="3">
        <v>0.76</v>
      </c>
      <c r="AA285">
        <v>139.01</v>
      </c>
      <c r="AB285">
        <v>89.26</v>
      </c>
      <c r="AC285">
        <v>157.13</v>
      </c>
      <c r="AD285">
        <v>91.72</v>
      </c>
      <c r="AE285">
        <v>9744.68</v>
      </c>
      <c r="AF285" s="30">
        <f t="shared" si="53"/>
        <v>98.715145747752402</v>
      </c>
      <c r="AG285">
        <v>400.83</v>
      </c>
      <c r="AH285">
        <v>0.76</v>
      </c>
      <c r="AI285" s="3">
        <f t="shared" si="59"/>
        <v>0.64102564102564097</v>
      </c>
      <c r="AJ285">
        <v>1.56</v>
      </c>
      <c r="AK285">
        <v>0.64</v>
      </c>
      <c r="AL285">
        <v>1</v>
      </c>
      <c r="AN285">
        <v>0.76652040585803294</v>
      </c>
      <c r="AO285">
        <v>146.13999999999999</v>
      </c>
      <c r="AQ285">
        <v>91.59</v>
      </c>
      <c r="AR285" s="3">
        <f t="shared" si="54"/>
        <v>1.5955890381045963</v>
      </c>
      <c r="AS285" s="3"/>
      <c r="AT285" s="3"/>
      <c r="AU285" s="3"/>
      <c r="AV285" s="3"/>
      <c r="AW285" s="3"/>
    </row>
    <row r="286" spans="1:49" x14ac:dyDescent="0.25">
      <c r="B286" s="14" t="s">
        <v>399</v>
      </c>
      <c r="C286" s="5">
        <v>1139.7</v>
      </c>
      <c r="D286" s="14">
        <v>600</v>
      </c>
      <c r="E286" s="14"/>
      <c r="F286" s="14"/>
      <c r="G286" s="14"/>
      <c r="H286" s="14">
        <v>51502</v>
      </c>
      <c r="I286" s="47">
        <v>103004</v>
      </c>
      <c r="J286" s="17" t="b">
        <v>0</v>
      </c>
      <c r="K286" t="s">
        <v>43</v>
      </c>
      <c r="M286" s="3">
        <v>53.92</v>
      </c>
      <c r="N286">
        <v>28.44</v>
      </c>
      <c r="O286">
        <v>62.54</v>
      </c>
      <c r="P286">
        <v>29.64</v>
      </c>
      <c r="Q286">
        <v>1204.29</v>
      </c>
      <c r="R286" s="28">
        <v>71.5</v>
      </c>
      <c r="S286" s="3">
        <f t="shared" si="56"/>
        <v>19.579004388177587</v>
      </c>
      <c r="T286" s="29">
        <f t="shared" si="57"/>
        <v>34.702881724721365</v>
      </c>
      <c r="U286">
        <v>155.84</v>
      </c>
      <c r="V286" s="29">
        <v>0.62</v>
      </c>
      <c r="W286" s="30">
        <f t="shared" si="58"/>
        <v>0.52631578947368418</v>
      </c>
      <c r="X286">
        <v>1.9</v>
      </c>
      <c r="Y286" s="3">
        <v>0.53</v>
      </c>
      <c r="Z286" s="3">
        <v>0.9</v>
      </c>
      <c r="AA286">
        <v>55.65</v>
      </c>
      <c r="AB286">
        <v>31.12</v>
      </c>
      <c r="AC286">
        <v>60.2</v>
      </c>
      <c r="AD286">
        <v>30.66</v>
      </c>
      <c r="AE286">
        <v>1359.91</v>
      </c>
      <c r="AF286" s="30">
        <f t="shared" si="53"/>
        <v>36.876957575157959</v>
      </c>
      <c r="AG286">
        <v>146.13</v>
      </c>
      <c r="AH286">
        <v>0.8</v>
      </c>
      <c r="AI286" s="3">
        <f t="shared" si="59"/>
        <v>0.55865921787709494</v>
      </c>
      <c r="AJ286">
        <v>1.79</v>
      </c>
      <c r="AK286">
        <v>0.56000000000000005</v>
      </c>
      <c r="AL286">
        <v>1</v>
      </c>
      <c r="AN286">
        <v>0.77064255514652902</v>
      </c>
      <c r="AO286">
        <v>60.87</v>
      </c>
      <c r="AQ286">
        <v>31.45</v>
      </c>
      <c r="AR286" s="3">
        <f t="shared" si="54"/>
        <v>1.9354531001589825</v>
      </c>
      <c r="AS286" s="3"/>
      <c r="AT286" s="3"/>
      <c r="AU286" s="3"/>
      <c r="AV286" s="3"/>
      <c r="AW286" s="3"/>
    </row>
    <row r="287" spans="1:49" x14ac:dyDescent="0.25">
      <c r="B287" t="s">
        <v>400</v>
      </c>
      <c r="C287" s="5">
        <v>1139.7</v>
      </c>
      <c r="D287">
        <v>700</v>
      </c>
      <c r="H287">
        <v>34939</v>
      </c>
      <c r="I287" s="28">
        <v>69878</v>
      </c>
      <c r="J287" s="15" t="s">
        <v>55</v>
      </c>
      <c r="K287" t="s">
        <v>43</v>
      </c>
      <c r="L287" t="s">
        <v>401</v>
      </c>
      <c r="M287" s="3">
        <v>30.19</v>
      </c>
      <c r="N287">
        <v>19.55</v>
      </c>
      <c r="O287">
        <v>36.97</v>
      </c>
      <c r="P287">
        <v>29.8</v>
      </c>
      <c r="Q287">
        <v>463.43</v>
      </c>
      <c r="R287" s="28">
        <v>0</v>
      </c>
      <c r="S287" s="3">
        <f t="shared" si="56"/>
        <v>12.14554859008658</v>
      </c>
      <c r="T287" s="29">
        <f t="shared" si="57"/>
        <v>21.52742436985902</v>
      </c>
      <c r="U287">
        <v>118.5</v>
      </c>
      <c r="V287" s="29">
        <v>0.41</v>
      </c>
      <c r="W287" s="30">
        <f t="shared" si="58"/>
        <v>0.64935064935064934</v>
      </c>
      <c r="X287">
        <v>1.54</v>
      </c>
      <c r="Y287" s="3">
        <v>0.65</v>
      </c>
      <c r="Z287" s="3">
        <v>0.66</v>
      </c>
      <c r="AA287">
        <v>33.65</v>
      </c>
      <c r="AB287">
        <v>25.64</v>
      </c>
      <c r="AC287">
        <v>37.909999999999997</v>
      </c>
      <c r="AD287">
        <v>29.55</v>
      </c>
      <c r="AE287">
        <v>677.61</v>
      </c>
      <c r="AF287" s="30">
        <f t="shared" si="53"/>
        <v>26.030943125442075</v>
      </c>
      <c r="AG287">
        <v>106.22</v>
      </c>
      <c r="AH287">
        <v>0.75</v>
      </c>
      <c r="AI287" s="3">
        <f t="shared" si="59"/>
        <v>0.76335877862595414</v>
      </c>
      <c r="AJ287">
        <v>1.31</v>
      </c>
      <c r="AK287">
        <v>0.76</v>
      </c>
      <c r="AL287">
        <v>0.95</v>
      </c>
      <c r="AN287">
        <v>0.74989571957949575</v>
      </c>
      <c r="AO287" s="3">
        <v>32.159999999999997</v>
      </c>
      <c r="AP287" s="3">
        <v>32.159999999999997</v>
      </c>
      <c r="AQ287" s="3">
        <v>30.14</v>
      </c>
      <c r="AR287" s="3">
        <f t="shared" si="54"/>
        <v>1.0670205706702056</v>
      </c>
      <c r="AS287" s="3"/>
      <c r="AT287" s="3"/>
      <c r="AU287" s="3"/>
      <c r="AV287" s="3"/>
      <c r="AW287" s="3"/>
    </row>
    <row r="288" spans="1:49" x14ac:dyDescent="0.25">
      <c r="B288" s="7" t="s">
        <v>402</v>
      </c>
      <c r="C288" s="5">
        <v>1139.7</v>
      </c>
      <c r="D288" s="7">
        <v>700</v>
      </c>
      <c r="H288" s="7">
        <v>30292</v>
      </c>
      <c r="I288" s="42">
        <v>60584</v>
      </c>
      <c r="J288" s="3" t="s">
        <v>55</v>
      </c>
      <c r="K288" t="s">
        <v>43</v>
      </c>
      <c r="M288" s="3">
        <v>48.57</v>
      </c>
      <c r="N288">
        <v>18.98</v>
      </c>
      <c r="O288">
        <v>52.79</v>
      </c>
      <c r="P288">
        <v>23.54</v>
      </c>
      <c r="Q288">
        <v>724.04</v>
      </c>
      <c r="R288" s="28">
        <v>0</v>
      </c>
      <c r="S288" s="3">
        <f t="shared" si="56"/>
        <v>15.181208449675928</v>
      </c>
      <c r="T288" s="29">
        <f t="shared" si="57"/>
        <v>26.907991378027457</v>
      </c>
      <c r="U288">
        <v>140.41</v>
      </c>
      <c r="V288" s="29">
        <v>0.46</v>
      </c>
      <c r="W288" s="30">
        <f t="shared" si="58"/>
        <v>0.390625</v>
      </c>
      <c r="X288">
        <v>2.56</v>
      </c>
      <c r="Y288" s="3">
        <v>0.39</v>
      </c>
      <c r="Z288" s="3">
        <v>0.77</v>
      </c>
      <c r="AA288">
        <v>53.46</v>
      </c>
      <c r="AB288">
        <v>29.66</v>
      </c>
      <c r="AC288">
        <v>59.05</v>
      </c>
      <c r="AD288">
        <v>34.03</v>
      </c>
      <c r="AE288">
        <v>1245.46</v>
      </c>
      <c r="AF288" s="30">
        <f t="shared" si="53"/>
        <v>35.291075359076267</v>
      </c>
      <c r="AG288">
        <v>151.28</v>
      </c>
      <c r="AH288">
        <v>0.68</v>
      </c>
      <c r="AI288" s="3">
        <f t="shared" si="59"/>
        <v>0.55555555555555558</v>
      </c>
      <c r="AJ288">
        <v>1.8</v>
      </c>
      <c r="AK288">
        <v>0.55000000000000004</v>
      </c>
      <c r="AL288">
        <v>1</v>
      </c>
      <c r="AN288">
        <v>0.61290404825533806</v>
      </c>
      <c r="AO288" s="3"/>
      <c r="AP288" s="3">
        <v>48.62</v>
      </c>
      <c r="AQ288" s="3">
        <v>36.21</v>
      </c>
      <c r="AR288" s="3">
        <f>AP288/AQ288</f>
        <v>1.3427230046948355</v>
      </c>
      <c r="AS288" s="3"/>
      <c r="AT288" s="3"/>
      <c r="AU288" s="3"/>
      <c r="AV288" s="3"/>
      <c r="AW288" s="3"/>
    </row>
    <row r="289" spans="2:49" x14ac:dyDescent="0.25">
      <c r="B289" s="17" t="s">
        <v>403</v>
      </c>
      <c r="C289" s="13">
        <v>1139.7</v>
      </c>
      <c r="D289" s="17">
        <v>600</v>
      </c>
      <c r="E289" s="14"/>
      <c r="F289" s="14"/>
      <c r="G289" s="14"/>
      <c r="H289" s="17">
        <v>118261</v>
      </c>
      <c r="I289" s="49">
        <v>236522</v>
      </c>
      <c r="J289" s="17" t="b">
        <v>0</v>
      </c>
      <c r="K289" t="s">
        <v>43</v>
      </c>
      <c r="L289" t="s">
        <v>44</v>
      </c>
      <c r="M289" s="3">
        <v>148.99</v>
      </c>
      <c r="N289">
        <v>77.849999999999994</v>
      </c>
      <c r="O289">
        <v>169.08</v>
      </c>
      <c r="P289">
        <v>95.46</v>
      </c>
      <c r="Q289">
        <v>9109.2099999999991</v>
      </c>
      <c r="R289" s="28">
        <v>1029.29</v>
      </c>
      <c r="S289" s="3">
        <f t="shared" si="56"/>
        <v>53.84748460535782</v>
      </c>
      <c r="T289" s="29">
        <f t="shared" si="57"/>
        <v>95.442181450341963</v>
      </c>
      <c r="U289">
        <v>575.02</v>
      </c>
      <c r="V289" s="29">
        <v>0.35</v>
      </c>
      <c r="W289" s="30">
        <f t="shared" si="58"/>
        <v>0.52356020942408377</v>
      </c>
      <c r="X289">
        <v>1.91</v>
      </c>
      <c r="Y289" s="3">
        <v>0.52</v>
      </c>
      <c r="Z289" s="3">
        <v>0.77</v>
      </c>
      <c r="AA289">
        <v>158.86000000000001</v>
      </c>
      <c r="AB289">
        <v>93.45</v>
      </c>
      <c r="AC289">
        <v>167.25</v>
      </c>
      <c r="AD289">
        <v>97.85</v>
      </c>
      <c r="AE289">
        <v>11659.17</v>
      </c>
      <c r="AF289" s="30">
        <f t="shared" si="53"/>
        <v>107.97763657350535</v>
      </c>
      <c r="AG289">
        <v>422.65</v>
      </c>
      <c r="AH289">
        <v>0.82</v>
      </c>
      <c r="AI289" s="3">
        <f t="shared" si="59"/>
        <v>0.58823529411764708</v>
      </c>
      <c r="AJ289">
        <v>1.7</v>
      </c>
      <c r="AK289">
        <v>0.59</v>
      </c>
      <c r="AL289">
        <v>1</v>
      </c>
      <c r="AN289">
        <v>0.63575107375308748</v>
      </c>
      <c r="AO289">
        <v>104.3</v>
      </c>
      <c r="AQ289">
        <v>152.71</v>
      </c>
      <c r="AR289" s="3">
        <f t="shared" ref="AR289:AR352" si="60">AO289/AQ289</f>
        <v>0.68299391002553855</v>
      </c>
      <c r="AS289" s="3"/>
      <c r="AT289" s="3"/>
      <c r="AU289" s="3"/>
      <c r="AV289" s="3"/>
      <c r="AW289" s="3"/>
    </row>
    <row r="290" spans="2:49" x14ac:dyDescent="0.25">
      <c r="B290" s="14" t="s">
        <v>404</v>
      </c>
      <c r="C290" s="5">
        <v>1139.7</v>
      </c>
      <c r="D290" s="14">
        <v>600</v>
      </c>
      <c r="E290" s="14"/>
      <c r="F290" s="14"/>
      <c r="G290" s="14"/>
      <c r="H290" s="14">
        <v>591337</v>
      </c>
      <c r="I290" s="47">
        <v>1182674</v>
      </c>
      <c r="J290" s="14" t="b">
        <v>0</v>
      </c>
      <c r="K290" t="s">
        <v>43</v>
      </c>
      <c r="M290" s="3">
        <v>79.459999999999994</v>
      </c>
      <c r="N290">
        <v>51.43</v>
      </c>
      <c r="O290">
        <v>85.54</v>
      </c>
      <c r="P290">
        <v>55.44</v>
      </c>
      <c r="Q290">
        <v>3209.58</v>
      </c>
      <c r="R290" s="28">
        <v>654.09</v>
      </c>
      <c r="S290" s="3">
        <f t="shared" si="56"/>
        <v>31.963120068256334</v>
      </c>
      <c r="T290" s="29">
        <f t="shared" si="57"/>
        <v>56.653155251936319</v>
      </c>
      <c r="U290">
        <v>225.47</v>
      </c>
      <c r="V290" s="29">
        <v>0.79</v>
      </c>
      <c r="W290" s="30">
        <f t="shared" si="58"/>
        <v>0.64516129032258063</v>
      </c>
      <c r="X290">
        <v>1.55</v>
      </c>
      <c r="Y290" s="3">
        <v>0.65</v>
      </c>
      <c r="Z290" s="3">
        <v>0.95</v>
      </c>
      <c r="AA290">
        <v>79.75</v>
      </c>
      <c r="AB290">
        <v>54.6</v>
      </c>
      <c r="AC290">
        <v>86.73</v>
      </c>
      <c r="AD290">
        <v>56.49</v>
      </c>
      <c r="AE290">
        <v>3419.85</v>
      </c>
      <c r="AF290" s="30">
        <f t="shared" si="53"/>
        <v>58.479483581851163</v>
      </c>
      <c r="AG290">
        <v>223.4</v>
      </c>
      <c r="AH290">
        <v>0.86</v>
      </c>
      <c r="AI290" s="3">
        <f t="shared" si="59"/>
        <v>0.68681318681318682</v>
      </c>
      <c r="AJ290">
        <v>1.456</v>
      </c>
      <c r="AK290">
        <v>0.68</v>
      </c>
      <c r="AL290">
        <v>1</v>
      </c>
      <c r="AN290">
        <v>0.7988532701016211</v>
      </c>
      <c r="AO290">
        <v>85.39</v>
      </c>
      <c r="AQ290">
        <v>57.5</v>
      </c>
      <c r="AR290" s="3">
        <f t="shared" si="60"/>
        <v>1.4850434782608695</v>
      </c>
      <c r="AS290" s="3"/>
      <c r="AT290" s="3"/>
      <c r="AU290" s="3"/>
      <c r="AV290" s="3"/>
      <c r="AW290" s="3"/>
    </row>
    <row r="291" spans="2:49" x14ac:dyDescent="0.25">
      <c r="B291" t="s">
        <v>405</v>
      </c>
      <c r="C291" s="5">
        <v>1139.7</v>
      </c>
      <c r="D291">
        <v>700</v>
      </c>
      <c r="H291">
        <v>67232</v>
      </c>
      <c r="I291" s="28">
        <v>134464</v>
      </c>
      <c r="J291" s="3" t="b">
        <v>0</v>
      </c>
      <c r="K291" t="s">
        <v>43</v>
      </c>
      <c r="M291" s="3">
        <v>108.67</v>
      </c>
      <c r="N291">
        <v>51.78</v>
      </c>
      <c r="O291">
        <v>126.13</v>
      </c>
      <c r="P291">
        <v>69.709999999999994</v>
      </c>
      <c r="Q291">
        <v>4419.17</v>
      </c>
      <c r="R291" s="28">
        <v>1869.97</v>
      </c>
      <c r="S291" s="3">
        <f t="shared" si="56"/>
        <v>37.505539587197276</v>
      </c>
      <c r="T291" s="29">
        <f t="shared" si="57"/>
        <v>66.476838071617095</v>
      </c>
      <c r="U291">
        <v>393.23</v>
      </c>
      <c r="V291" s="29">
        <v>0.36</v>
      </c>
      <c r="W291" s="30">
        <f t="shared" si="58"/>
        <v>0.47619047619047616</v>
      </c>
      <c r="X291">
        <v>2.1</v>
      </c>
      <c r="Y291" s="3">
        <v>0.48</v>
      </c>
      <c r="Z291" s="3">
        <v>0.62</v>
      </c>
      <c r="AA291">
        <v>124.11</v>
      </c>
      <c r="AB291">
        <v>75.63</v>
      </c>
      <c r="AC291">
        <v>127.67</v>
      </c>
      <c r="AD291">
        <v>71.52</v>
      </c>
      <c r="AE291">
        <v>7371.79</v>
      </c>
      <c r="AF291" s="30">
        <f t="shared" si="53"/>
        <v>85.859128809929118</v>
      </c>
      <c r="AG291">
        <v>340.95</v>
      </c>
      <c r="AH291">
        <v>0.8</v>
      </c>
      <c r="AI291" s="3">
        <f t="shared" si="59"/>
        <v>0.6097560975609756</v>
      </c>
      <c r="AJ291">
        <v>1.64</v>
      </c>
      <c r="AK291">
        <v>0.61</v>
      </c>
      <c r="AL291">
        <v>1</v>
      </c>
      <c r="AN291">
        <v>0.59525608045115075</v>
      </c>
      <c r="AO291" s="3">
        <v>112.63</v>
      </c>
      <c r="AP291" s="3"/>
      <c r="AQ291" s="3">
        <v>109.46</v>
      </c>
      <c r="AR291" s="3">
        <f t="shared" si="60"/>
        <v>1.0289603508130825</v>
      </c>
      <c r="AS291" s="3"/>
      <c r="AT291" s="3"/>
      <c r="AU291" s="3"/>
      <c r="AV291" s="3"/>
      <c r="AW291" s="3"/>
    </row>
    <row r="292" spans="2:49" x14ac:dyDescent="0.25">
      <c r="B292" s="14" t="s">
        <v>406</v>
      </c>
      <c r="C292" s="5">
        <v>1139.7</v>
      </c>
      <c r="D292" s="14">
        <v>600</v>
      </c>
      <c r="E292" s="14"/>
      <c r="F292" s="14"/>
      <c r="G292" s="14"/>
      <c r="H292" s="14">
        <v>308877</v>
      </c>
      <c r="I292" s="47">
        <v>617754</v>
      </c>
      <c r="J292" s="14" t="b">
        <v>0</v>
      </c>
      <c r="K292" t="s">
        <v>43</v>
      </c>
      <c r="M292" s="3">
        <v>90.33</v>
      </c>
      <c r="N292">
        <v>30.97</v>
      </c>
      <c r="O292">
        <v>99.35</v>
      </c>
      <c r="P292">
        <v>41.82</v>
      </c>
      <c r="Q292">
        <v>2197.34</v>
      </c>
      <c r="R292" s="28">
        <v>1389.34</v>
      </c>
      <c r="S292" s="3">
        <f t="shared" si="56"/>
        <v>26.446834315416481</v>
      </c>
      <c r="T292" s="29">
        <f t="shared" si="57"/>
        <v>46.875793326620084</v>
      </c>
      <c r="U292">
        <v>271.89</v>
      </c>
      <c r="V292" s="29">
        <v>0.37</v>
      </c>
      <c r="W292" s="30">
        <f t="shared" si="58"/>
        <v>0.34246575342465752</v>
      </c>
      <c r="X292">
        <v>2.92</v>
      </c>
      <c r="Y292" s="3">
        <v>0.34</v>
      </c>
      <c r="Z292" s="3">
        <v>0.69</v>
      </c>
      <c r="AA292">
        <v>100.31</v>
      </c>
      <c r="AB292">
        <v>42.47</v>
      </c>
      <c r="AC292">
        <v>103.63</v>
      </c>
      <c r="AD292">
        <v>41.1</v>
      </c>
      <c r="AE292">
        <v>3345.9</v>
      </c>
      <c r="AF292" s="30">
        <f t="shared" si="53"/>
        <v>57.843755064829601</v>
      </c>
      <c r="AG292">
        <v>243.33</v>
      </c>
      <c r="AH292">
        <v>0.71</v>
      </c>
      <c r="AI292" s="3">
        <f t="shared" si="59"/>
        <v>0.42372881355932207</v>
      </c>
      <c r="AJ292">
        <v>2.36</v>
      </c>
      <c r="AK292">
        <v>0.42</v>
      </c>
      <c r="AL292">
        <v>1</v>
      </c>
      <c r="AN292">
        <v>0.55665253250126689</v>
      </c>
      <c r="AO292">
        <v>64.11</v>
      </c>
      <c r="AQ292">
        <v>97.11</v>
      </c>
      <c r="AR292" s="3">
        <f t="shared" si="60"/>
        <v>0.66017917825146744</v>
      </c>
      <c r="AS292" s="3"/>
      <c r="AT292" s="3"/>
      <c r="AU292" s="3"/>
      <c r="AV292" s="3"/>
      <c r="AW292" s="3"/>
    </row>
    <row r="293" spans="2:49" x14ac:dyDescent="0.25">
      <c r="B293" s="7" t="s">
        <v>407</v>
      </c>
      <c r="C293" s="5">
        <v>1139.7</v>
      </c>
      <c r="D293" s="7">
        <v>700</v>
      </c>
      <c r="H293" s="7">
        <v>81629</v>
      </c>
      <c r="I293" s="42">
        <v>163258</v>
      </c>
      <c r="J293" s="20" t="b">
        <v>0</v>
      </c>
      <c r="K293" t="s">
        <v>43</v>
      </c>
      <c r="M293" s="3">
        <v>112.97</v>
      </c>
      <c r="N293">
        <v>40.49</v>
      </c>
      <c r="O293">
        <v>121.1</v>
      </c>
      <c r="P293">
        <v>60.5</v>
      </c>
      <c r="Q293">
        <v>3592.83</v>
      </c>
      <c r="R293" s="28">
        <v>1657.18</v>
      </c>
      <c r="S293" s="3">
        <f t="shared" si="56"/>
        <v>33.817647883578609</v>
      </c>
      <c r="T293" s="29">
        <f t="shared" si="57"/>
        <v>59.940220219815679</v>
      </c>
      <c r="U293">
        <v>365.7</v>
      </c>
      <c r="V293" s="29">
        <v>0.34</v>
      </c>
      <c r="W293" s="30">
        <f t="shared" si="58"/>
        <v>0.35842293906810035</v>
      </c>
      <c r="X293">
        <v>2.79</v>
      </c>
      <c r="Y293" s="3">
        <v>0.36</v>
      </c>
      <c r="Z293" s="3">
        <v>0.69</v>
      </c>
      <c r="AA293">
        <v>119.25</v>
      </c>
      <c r="AB293">
        <v>55.76</v>
      </c>
      <c r="AC293">
        <v>121.14</v>
      </c>
      <c r="AD293">
        <v>61.02</v>
      </c>
      <c r="AE293">
        <v>5222.4399999999996</v>
      </c>
      <c r="AF293" s="30">
        <f t="shared" si="53"/>
        <v>72.266451414193568</v>
      </c>
      <c r="AG293">
        <v>305.35000000000002</v>
      </c>
      <c r="AH293">
        <v>0.7</v>
      </c>
      <c r="AI293" s="3">
        <f t="shared" si="59"/>
        <v>0.46728971962616822</v>
      </c>
      <c r="AJ293">
        <v>2.14</v>
      </c>
      <c r="AK293">
        <v>0.47</v>
      </c>
      <c r="AL293">
        <v>1</v>
      </c>
      <c r="AN293">
        <v>0.56388373860491414</v>
      </c>
      <c r="AO293" s="3">
        <v>105.97</v>
      </c>
      <c r="AP293" s="3"/>
      <c r="AQ293" s="3">
        <v>95.92</v>
      </c>
      <c r="AR293" s="3">
        <f t="shared" si="60"/>
        <v>1.1047748123436196</v>
      </c>
      <c r="AS293" s="3"/>
      <c r="AT293" s="3"/>
      <c r="AU293" s="3"/>
      <c r="AV293" s="3"/>
      <c r="AW293" s="3"/>
    </row>
    <row r="294" spans="2:49" x14ac:dyDescent="0.25">
      <c r="B294" s="6" t="s">
        <v>408</v>
      </c>
      <c r="C294" s="13">
        <v>1139.7</v>
      </c>
      <c r="D294" s="6">
        <v>700</v>
      </c>
      <c r="H294" s="6">
        <v>36558</v>
      </c>
      <c r="I294" s="39">
        <v>73116</v>
      </c>
      <c r="J294" s="15" t="b">
        <v>0</v>
      </c>
      <c r="K294" t="s">
        <v>43</v>
      </c>
      <c r="M294" s="3">
        <v>120.02</v>
      </c>
      <c r="N294">
        <v>93.13</v>
      </c>
      <c r="O294">
        <v>172.43</v>
      </c>
      <c r="P294">
        <v>108.42</v>
      </c>
      <c r="Q294">
        <v>8775.65</v>
      </c>
      <c r="R294" s="28">
        <v>729.96</v>
      </c>
      <c r="S294" s="3">
        <f t="shared" si="56"/>
        <v>52.852399687136085</v>
      </c>
      <c r="T294" s="29">
        <f t="shared" si="57"/>
        <v>93.67843935506184</v>
      </c>
      <c r="U294">
        <v>526.75</v>
      </c>
      <c r="V294" s="29">
        <v>0.4</v>
      </c>
      <c r="W294" s="30">
        <f t="shared" si="58"/>
        <v>0.77519379844961234</v>
      </c>
      <c r="X294">
        <v>1.29</v>
      </c>
      <c r="Y294" s="3">
        <v>0.78</v>
      </c>
      <c r="Z294" s="3">
        <v>0.69</v>
      </c>
      <c r="AA294">
        <v>148.44</v>
      </c>
      <c r="AB294">
        <v>108.73</v>
      </c>
      <c r="AC294">
        <v>175.37</v>
      </c>
      <c r="AD294">
        <v>110.45</v>
      </c>
      <c r="AE294">
        <v>12676.67</v>
      </c>
      <c r="AF294" s="30">
        <f t="shared" si="53"/>
        <v>112.59071897807563</v>
      </c>
      <c r="AG294">
        <v>454.27</v>
      </c>
      <c r="AH294">
        <v>0.77</v>
      </c>
      <c r="AI294" s="3">
        <f t="shared" si="59"/>
        <v>0.72992700729927007</v>
      </c>
      <c r="AJ294">
        <v>1.37</v>
      </c>
      <c r="AK294">
        <v>0.73</v>
      </c>
      <c r="AL294">
        <v>0.98</v>
      </c>
      <c r="AN294">
        <v>0.71357298443383943</v>
      </c>
      <c r="AO294" s="3">
        <v>139.09</v>
      </c>
      <c r="AP294" s="3"/>
      <c r="AQ294" s="3">
        <v>166.8</v>
      </c>
      <c r="AR294" s="3">
        <f t="shared" si="60"/>
        <v>0.83387290167865702</v>
      </c>
      <c r="AS294" s="3"/>
      <c r="AT294" s="3"/>
      <c r="AU294" s="3"/>
      <c r="AV294" s="3"/>
      <c r="AW294" s="3"/>
    </row>
    <row r="295" spans="2:49" x14ac:dyDescent="0.25">
      <c r="B295" s="14" t="s">
        <v>409</v>
      </c>
      <c r="C295" s="5">
        <v>1139.7</v>
      </c>
      <c r="D295" s="14">
        <v>600</v>
      </c>
      <c r="E295" s="14"/>
      <c r="F295" s="14"/>
      <c r="G295" s="14"/>
      <c r="H295" s="14">
        <v>52636</v>
      </c>
      <c r="I295" s="47">
        <v>105272</v>
      </c>
      <c r="J295" s="14" t="b">
        <v>0</v>
      </c>
      <c r="K295" t="s">
        <v>43</v>
      </c>
      <c r="M295" s="3">
        <v>118.5</v>
      </c>
      <c r="N295">
        <v>107.85</v>
      </c>
      <c r="O295">
        <v>183.98</v>
      </c>
      <c r="P295">
        <v>125.43</v>
      </c>
      <c r="Q295">
        <v>10037.719999999999</v>
      </c>
      <c r="R295" s="28">
        <v>308.64999999999998</v>
      </c>
      <c r="S295" s="3">
        <f t="shared" si="56"/>
        <v>56.525264358026305</v>
      </c>
      <c r="T295" s="29">
        <f t="shared" si="57"/>
        <v>100.18842248483604</v>
      </c>
      <c r="U295">
        <v>591.87</v>
      </c>
      <c r="V295" s="29">
        <v>0.36</v>
      </c>
      <c r="W295" s="30">
        <f t="shared" si="58"/>
        <v>0.90909090909090906</v>
      </c>
      <c r="X295">
        <v>1.1000000000000001</v>
      </c>
      <c r="Y295" s="3">
        <v>0.91</v>
      </c>
      <c r="Z295" s="3">
        <v>0.67</v>
      </c>
      <c r="AA295">
        <v>158.22999999999999</v>
      </c>
      <c r="AB295">
        <v>110.74</v>
      </c>
      <c r="AC295">
        <v>184.33</v>
      </c>
      <c r="AD295">
        <v>125.14</v>
      </c>
      <c r="AE295">
        <v>13761.66</v>
      </c>
      <c r="AF295" s="30">
        <f t="shared" si="53"/>
        <v>117.31010186680429</v>
      </c>
      <c r="AG295">
        <v>496.75</v>
      </c>
      <c r="AH295">
        <v>0.7</v>
      </c>
      <c r="AI295" s="3">
        <f t="shared" si="59"/>
        <v>0.69930069930069938</v>
      </c>
      <c r="AJ295">
        <v>1.43</v>
      </c>
      <c r="AK295">
        <v>0.7</v>
      </c>
      <c r="AL295">
        <v>0.91</v>
      </c>
      <c r="AN295">
        <v>0.8428447524943673</v>
      </c>
      <c r="AO295">
        <v>175.11</v>
      </c>
      <c r="AQ295">
        <v>127.3</v>
      </c>
      <c r="AR295" s="3">
        <f t="shared" si="60"/>
        <v>1.375569520816968</v>
      </c>
      <c r="AS295" s="3"/>
      <c r="AT295" s="3"/>
      <c r="AU295" s="3"/>
      <c r="AV295" s="3"/>
      <c r="AW295" s="3"/>
    </row>
    <row r="296" spans="2:49" x14ac:dyDescent="0.25">
      <c r="B296" s="21" t="s">
        <v>410</v>
      </c>
      <c r="C296" s="5">
        <v>1139.7</v>
      </c>
      <c r="D296" s="10">
        <v>500</v>
      </c>
      <c r="E296" s="10"/>
      <c r="F296" s="10"/>
      <c r="G296" s="10"/>
      <c r="H296" s="21">
        <v>143408</v>
      </c>
      <c r="I296" s="52">
        <v>286816</v>
      </c>
      <c r="J296" s="21" t="b">
        <v>0</v>
      </c>
      <c r="K296" t="s">
        <v>43</v>
      </c>
      <c r="M296" s="3">
        <v>255.85</v>
      </c>
      <c r="N296">
        <v>150.61000000000001</v>
      </c>
      <c r="O296">
        <v>303.27</v>
      </c>
      <c r="P296">
        <v>170.23</v>
      </c>
      <c r="Q296">
        <v>30264.11</v>
      </c>
      <c r="R296" s="28">
        <v>1063.92</v>
      </c>
      <c r="S296" s="3">
        <f t="shared" si="56"/>
        <v>98.149709166933974</v>
      </c>
      <c r="T296" s="29">
        <f t="shared" si="57"/>
        <v>173.96582997818854</v>
      </c>
      <c r="U296">
        <v>866.45</v>
      </c>
      <c r="V296" s="29">
        <v>0.51</v>
      </c>
      <c r="W296" s="30">
        <f t="shared" si="58"/>
        <v>0.58823529411764708</v>
      </c>
      <c r="X296">
        <v>1.7</v>
      </c>
      <c r="Y296" s="3">
        <v>0.59</v>
      </c>
      <c r="Z296" s="3">
        <v>0.86</v>
      </c>
      <c r="AA296">
        <v>270.86</v>
      </c>
      <c r="AB296">
        <v>168.53</v>
      </c>
      <c r="AC296">
        <v>305.63</v>
      </c>
      <c r="AD296">
        <v>171.81</v>
      </c>
      <c r="AE296">
        <v>35850.449999999997</v>
      </c>
      <c r="AF296" s="30">
        <f t="shared" si="53"/>
        <v>189.34215061628512</v>
      </c>
      <c r="AG296">
        <v>748.8</v>
      </c>
      <c r="AH296">
        <v>0.8</v>
      </c>
      <c r="AI296" s="3">
        <f t="shared" si="59"/>
        <v>0.6211180124223602</v>
      </c>
      <c r="AJ296">
        <v>1.61</v>
      </c>
      <c r="AK296">
        <v>0.62</v>
      </c>
      <c r="AL296">
        <v>1</v>
      </c>
      <c r="AN296">
        <v>0.75631602706327528</v>
      </c>
      <c r="AO296">
        <v>221.64</v>
      </c>
      <c r="AQ296">
        <v>218.28</v>
      </c>
      <c r="AR296" s="3">
        <f t="shared" si="60"/>
        <v>1.0153930731170973</v>
      </c>
    </row>
    <row r="297" spans="2:49" x14ac:dyDescent="0.25">
      <c r="B297" s="21" t="s">
        <v>411</v>
      </c>
      <c r="C297" s="5">
        <v>1139.7</v>
      </c>
      <c r="D297" s="10">
        <v>500</v>
      </c>
      <c r="E297" s="10"/>
      <c r="F297" s="10"/>
      <c r="G297" s="10"/>
      <c r="H297" s="21">
        <v>548846</v>
      </c>
      <c r="I297" s="52">
        <v>1097692</v>
      </c>
      <c r="J297" s="21" t="b">
        <v>0</v>
      </c>
      <c r="K297" t="s">
        <v>43</v>
      </c>
      <c r="M297" s="3">
        <v>376.39</v>
      </c>
      <c r="N297">
        <v>194.2</v>
      </c>
      <c r="O297">
        <v>428.8</v>
      </c>
      <c r="P297">
        <v>255.31</v>
      </c>
      <c r="Q297">
        <v>2948.56</v>
      </c>
      <c r="R297" s="28">
        <v>102.21</v>
      </c>
      <c r="S297" s="3">
        <f t="shared" si="56"/>
        <v>30.635858042595736</v>
      </c>
      <c r="T297" s="29">
        <f t="shared" si="57"/>
        <v>54.300644563393533</v>
      </c>
      <c r="U297">
        <v>257.92</v>
      </c>
      <c r="V297" s="29">
        <v>0.56000000000000005</v>
      </c>
      <c r="W297" s="30">
        <f t="shared" si="58"/>
        <v>0.51546391752577325</v>
      </c>
      <c r="X297">
        <v>1.94</v>
      </c>
      <c r="Y297" s="3">
        <v>0.52</v>
      </c>
      <c r="Z297" s="3">
        <v>0.8</v>
      </c>
      <c r="AA297">
        <v>89.74</v>
      </c>
      <c r="AB297">
        <v>53.39</v>
      </c>
      <c r="AC297">
        <v>98.55</v>
      </c>
      <c r="AD297">
        <v>57.75</v>
      </c>
      <c r="AE297">
        <v>3762.84</v>
      </c>
      <c r="AF297" s="30">
        <f t="shared" ref="AF297:AF354" si="61">SQRT(AE297)</f>
        <v>61.341992142414156</v>
      </c>
      <c r="AG297">
        <v>248.61</v>
      </c>
      <c r="AH297">
        <v>0.77</v>
      </c>
      <c r="AI297" s="3">
        <f t="shared" si="59"/>
        <v>0.59523809523809523</v>
      </c>
      <c r="AJ297">
        <v>1.68</v>
      </c>
      <c r="AK297">
        <v>0.59</v>
      </c>
      <c r="AL297">
        <v>1</v>
      </c>
      <c r="AN297">
        <v>0.32812013648089056</v>
      </c>
      <c r="AO297">
        <v>70.25</v>
      </c>
      <c r="AQ297">
        <v>96.54</v>
      </c>
      <c r="AR297" s="3">
        <f t="shared" si="60"/>
        <v>0.72767764657136935</v>
      </c>
    </row>
    <row r="298" spans="2:49" x14ac:dyDescent="0.25">
      <c r="B298" s="22" t="s">
        <v>412</v>
      </c>
      <c r="C298" s="5">
        <v>1139.7</v>
      </c>
      <c r="D298" s="12">
        <v>500</v>
      </c>
      <c r="E298" s="10"/>
      <c r="F298" s="10"/>
      <c r="G298" s="10"/>
      <c r="H298" s="22">
        <v>1526808</v>
      </c>
      <c r="I298" s="53">
        <v>3053616</v>
      </c>
      <c r="J298" s="22" t="b">
        <v>0</v>
      </c>
      <c r="K298" t="s">
        <v>43</v>
      </c>
      <c r="M298" s="3">
        <v>83.03</v>
      </c>
      <c r="N298">
        <v>28.12</v>
      </c>
      <c r="O298">
        <v>89</v>
      </c>
      <c r="P298">
        <v>45.39</v>
      </c>
      <c r="Q298">
        <v>1833.44</v>
      </c>
      <c r="R298" s="28">
        <v>533.26</v>
      </c>
      <c r="S298" s="3">
        <f t="shared" si="56"/>
        <v>24.157857473807756</v>
      </c>
      <c r="T298" s="29">
        <f t="shared" si="57"/>
        <v>42.818687509077158</v>
      </c>
      <c r="U298">
        <v>241.53</v>
      </c>
      <c r="V298" s="29">
        <v>0.39</v>
      </c>
      <c r="W298" s="30">
        <f t="shared" si="58"/>
        <v>0.33898305084745761</v>
      </c>
      <c r="X298">
        <v>2.95</v>
      </c>
      <c r="Y298" s="3">
        <v>0.34</v>
      </c>
      <c r="Z298" s="3">
        <v>0.64</v>
      </c>
      <c r="AA298">
        <v>86.74</v>
      </c>
      <c r="AB298">
        <v>43.11</v>
      </c>
      <c r="AC298">
        <v>90.1</v>
      </c>
      <c r="AD298">
        <v>46.15</v>
      </c>
      <c r="AE298">
        <v>2936.51</v>
      </c>
      <c r="AF298" s="30">
        <f t="shared" si="61"/>
        <v>54.189574643099022</v>
      </c>
      <c r="AG298">
        <v>229.64</v>
      </c>
      <c r="AH298">
        <v>0.7</v>
      </c>
      <c r="AI298" s="3">
        <f t="shared" si="59"/>
        <v>0.49751243781094534</v>
      </c>
      <c r="AJ298">
        <v>2.0099999999999998</v>
      </c>
      <c r="AK298">
        <v>0.5</v>
      </c>
      <c r="AL298">
        <v>1</v>
      </c>
      <c r="AN298">
        <v>0.6130395268674943</v>
      </c>
      <c r="AO298">
        <v>86.23</v>
      </c>
      <c r="AQ298">
        <v>53.31</v>
      </c>
      <c r="AR298" s="3">
        <f t="shared" si="60"/>
        <v>1.6175201650722191</v>
      </c>
    </row>
    <row r="299" spans="2:49" x14ac:dyDescent="0.25">
      <c r="B299" s="23" t="s">
        <v>413</v>
      </c>
      <c r="C299" s="13">
        <v>1139.7</v>
      </c>
      <c r="D299" s="8">
        <v>500</v>
      </c>
      <c r="E299" s="10"/>
      <c r="F299" s="10"/>
      <c r="G299" s="10"/>
      <c r="H299" s="23">
        <v>4008063</v>
      </c>
      <c r="I299" s="65">
        <v>8016126</v>
      </c>
      <c r="J299" s="23" t="b">
        <v>0</v>
      </c>
      <c r="K299" t="s">
        <v>64</v>
      </c>
      <c r="M299" s="3">
        <v>57.76</v>
      </c>
      <c r="N299">
        <v>34.24</v>
      </c>
      <c r="O299">
        <v>61.09</v>
      </c>
      <c r="P299">
        <v>34.83</v>
      </c>
      <c r="Q299">
        <v>1553.55</v>
      </c>
      <c r="R299" s="28">
        <v>856.76</v>
      </c>
      <c r="S299" s="3">
        <f t="shared" si="56"/>
        <v>22.237588081463063</v>
      </c>
      <c r="T299" s="29">
        <f t="shared" si="57"/>
        <v>39.415098629839811</v>
      </c>
      <c r="U299">
        <v>169.27</v>
      </c>
      <c r="V299" s="29">
        <v>0.68</v>
      </c>
      <c r="W299" s="30">
        <f t="shared" si="58"/>
        <v>0.59171597633136097</v>
      </c>
      <c r="X299">
        <v>1.69</v>
      </c>
      <c r="Y299" s="3">
        <v>0.59</v>
      </c>
      <c r="Z299" s="3">
        <v>0.91</v>
      </c>
      <c r="AA299">
        <v>59.87</v>
      </c>
      <c r="AB299">
        <v>37.22</v>
      </c>
      <c r="AC299">
        <v>61.91</v>
      </c>
      <c r="AD299">
        <v>35.340000000000003</v>
      </c>
      <c r="AE299">
        <v>1749.97</v>
      </c>
      <c r="AF299" s="30">
        <f t="shared" si="61"/>
        <v>41.832642756584242</v>
      </c>
      <c r="AG299">
        <v>163.13</v>
      </c>
      <c r="AH299">
        <v>0.83</v>
      </c>
      <c r="AI299" s="3">
        <f t="shared" si="59"/>
        <v>0.6211180124223602</v>
      </c>
      <c r="AJ299">
        <v>1.61</v>
      </c>
      <c r="AK299">
        <v>0.62</v>
      </c>
      <c r="AL299">
        <v>1</v>
      </c>
      <c r="AN299">
        <v>0.73044898794628921</v>
      </c>
      <c r="AO299">
        <v>58.37</v>
      </c>
      <c r="AQ299">
        <v>38.909999999999997</v>
      </c>
      <c r="AR299" s="3">
        <f t="shared" si="60"/>
        <v>1.5001285016705217</v>
      </c>
    </row>
    <row r="300" spans="2:49" x14ac:dyDescent="0.25">
      <c r="B300" s="21" t="s">
        <v>414</v>
      </c>
      <c r="C300" s="5">
        <v>1139.7</v>
      </c>
      <c r="D300" s="10">
        <v>500</v>
      </c>
      <c r="E300" s="10"/>
      <c r="F300" s="10"/>
      <c r="G300" s="10"/>
      <c r="H300" s="21">
        <v>680859</v>
      </c>
      <c r="I300" s="52">
        <v>1361718</v>
      </c>
      <c r="J300" s="23" t="b">
        <v>0</v>
      </c>
      <c r="K300" t="s">
        <v>43</v>
      </c>
      <c r="M300" s="3">
        <v>98.09</v>
      </c>
      <c r="N300">
        <v>71.36</v>
      </c>
      <c r="O300">
        <v>118.81</v>
      </c>
      <c r="P300">
        <v>81.67</v>
      </c>
      <c r="Q300">
        <v>5498.12</v>
      </c>
      <c r="R300" s="28">
        <v>680.34</v>
      </c>
      <c r="S300" s="3">
        <f t="shared" ref="S300:S354" si="62">SQRT(Q300/PI())</f>
        <v>41.834267669278297</v>
      </c>
      <c r="T300" s="29">
        <f t="shared" ref="T300:T313" si="63">SQRT(Q300)</f>
        <v>74.149308830224442</v>
      </c>
      <c r="U300">
        <v>383.36</v>
      </c>
      <c r="V300" s="29">
        <v>0.47</v>
      </c>
      <c r="W300" s="30">
        <f t="shared" si="58"/>
        <v>0.72992700729927007</v>
      </c>
      <c r="X300">
        <v>1.37</v>
      </c>
      <c r="Y300" s="3">
        <v>0.73</v>
      </c>
      <c r="Z300" s="3">
        <v>0.79</v>
      </c>
      <c r="AA300">
        <v>108.26</v>
      </c>
      <c r="AB300">
        <v>80.459999999999994</v>
      </c>
      <c r="AC300">
        <v>124.17</v>
      </c>
      <c r="AD300">
        <v>82.64</v>
      </c>
      <c r="AE300">
        <v>6841.69</v>
      </c>
      <c r="AF300" s="30">
        <f t="shared" si="61"/>
        <v>82.714509005373415</v>
      </c>
      <c r="AG300">
        <v>321.31</v>
      </c>
      <c r="AH300">
        <v>0.83</v>
      </c>
      <c r="AI300" s="3">
        <f t="shared" si="59"/>
        <v>0.7407407407407407</v>
      </c>
      <c r="AJ300">
        <v>1.35</v>
      </c>
      <c r="AK300">
        <v>0.74</v>
      </c>
      <c r="AL300">
        <v>1</v>
      </c>
      <c r="AN300">
        <v>0.85071706449224349</v>
      </c>
      <c r="AO300">
        <v>123.08</v>
      </c>
      <c r="AQ300">
        <v>91.62</v>
      </c>
      <c r="AR300" s="3">
        <f t="shared" si="60"/>
        <v>1.3433748089936695</v>
      </c>
    </row>
    <row r="301" spans="2:49" x14ac:dyDescent="0.25">
      <c r="B301" s="21" t="s">
        <v>415</v>
      </c>
      <c r="C301" s="21">
        <v>1186</v>
      </c>
      <c r="D301" s="21">
        <v>500</v>
      </c>
      <c r="E301" s="5"/>
      <c r="F301" s="5"/>
      <c r="G301" s="5"/>
      <c r="H301" s="21">
        <v>75936</v>
      </c>
      <c r="I301" s="52">
        <v>151872</v>
      </c>
      <c r="J301" s="21" t="s">
        <v>55</v>
      </c>
      <c r="K301" t="s">
        <v>43</v>
      </c>
      <c r="M301" s="3">
        <v>99.828000000000003</v>
      </c>
      <c r="N301">
        <v>65.599999999999994</v>
      </c>
      <c r="O301">
        <v>115.36</v>
      </c>
      <c r="P301">
        <v>81.981999999999999</v>
      </c>
      <c r="Q301">
        <v>5107</v>
      </c>
      <c r="R301" s="30">
        <v>5</v>
      </c>
      <c r="S301" s="3">
        <f t="shared" si="62"/>
        <v>40.318836649147244</v>
      </c>
      <c r="T301" s="29">
        <f t="shared" si="63"/>
        <v>71.463277282811489</v>
      </c>
      <c r="U301">
        <v>288</v>
      </c>
      <c r="V301" s="29">
        <v>0.77</v>
      </c>
      <c r="W301" s="30">
        <f t="shared" si="58"/>
        <v>0.66666666666666663</v>
      </c>
      <c r="X301">
        <v>1.5</v>
      </c>
      <c r="Y301" s="3">
        <v>0.66</v>
      </c>
      <c r="Z301" s="3">
        <v>0.97</v>
      </c>
      <c r="AA301">
        <v>104.997</v>
      </c>
      <c r="AB301">
        <v>87.82</v>
      </c>
      <c r="AC301">
        <v>117.59699999999999</v>
      </c>
      <c r="AD301">
        <v>84.27</v>
      </c>
      <c r="AE301">
        <v>7242.0150000000003</v>
      </c>
      <c r="AF301" s="30">
        <f t="shared" si="61"/>
        <v>85.100029377198226</v>
      </c>
      <c r="AG301">
        <v>334.34100000000001</v>
      </c>
      <c r="AH301">
        <v>0.81399999999999995</v>
      </c>
      <c r="AI301" s="3">
        <f t="shared" si="59"/>
        <v>0.83612040133779264</v>
      </c>
      <c r="AJ301">
        <v>1.196</v>
      </c>
      <c r="AK301">
        <v>0.83599999999999997</v>
      </c>
      <c r="AL301">
        <v>0.999</v>
      </c>
      <c r="AN301">
        <v>0.73085966686495629</v>
      </c>
      <c r="AO301">
        <v>100.22499999999999</v>
      </c>
      <c r="AP301">
        <v>52.595999999999997</v>
      </c>
      <c r="AQ301">
        <v>83.82</v>
      </c>
      <c r="AR301" s="3">
        <f t="shared" si="60"/>
        <v>1.1957170126461465</v>
      </c>
    </row>
    <row r="302" spans="2:49" x14ac:dyDescent="0.25">
      <c r="B302" s="14" t="s">
        <v>416</v>
      </c>
      <c r="C302" s="14">
        <v>1186</v>
      </c>
      <c r="D302" s="14">
        <v>600</v>
      </c>
      <c r="E302" s="5"/>
      <c r="F302" s="5"/>
      <c r="G302" s="5"/>
      <c r="H302" s="14">
        <v>62150</v>
      </c>
      <c r="I302" s="47">
        <v>124300</v>
      </c>
      <c r="J302" s="14" t="s">
        <v>55</v>
      </c>
      <c r="K302" t="s">
        <v>64</v>
      </c>
      <c r="M302" s="3">
        <v>48.55</v>
      </c>
      <c r="N302">
        <v>35.83</v>
      </c>
      <c r="O302">
        <v>54.89</v>
      </c>
      <c r="P302">
        <v>35.65</v>
      </c>
      <c r="Q302">
        <v>1366.27</v>
      </c>
      <c r="R302" s="28">
        <v>3.19</v>
      </c>
      <c r="S302" s="3">
        <f t="shared" si="62"/>
        <v>20.854190183182077</v>
      </c>
      <c r="T302" s="29">
        <f t="shared" si="63"/>
        <v>36.963089697697079</v>
      </c>
      <c r="U302">
        <v>149.41999999999999</v>
      </c>
      <c r="V302" s="29">
        <v>0.77</v>
      </c>
      <c r="W302" s="30">
        <f t="shared" si="58"/>
        <v>0.73529411764705876</v>
      </c>
      <c r="X302">
        <v>1.36</v>
      </c>
      <c r="Y302" s="3">
        <v>0.74</v>
      </c>
      <c r="Z302" s="3">
        <v>0.93</v>
      </c>
      <c r="AA302">
        <v>54.52</v>
      </c>
      <c r="AB302">
        <v>48.02</v>
      </c>
      <c r="AC302">
        <v>62.36</v>
      </c>
      <c r="AD302">
        <v>49.55</v>
      </c>
      <c r="AE302">
        <v>2055.89</v>
      </c>
      <c r="AF302" s="30">
        <f t="shared" si="61"/>
        <v>45.341923205792668</v>
      </c>
      <c r="AG302">
        <v>176.42</v>
      </c>
      <c r="AH302">
        <v>0.83</v>
      </c>
      <c r="AI302" s="3">
        <f t="shared" si="59"/>
        <v>0.87719298245614041</v>
      </c>
      <c r="AJ302">
        <v>1.1399999999999999</v>
      </c>
      <c r="AK302">
        <v>0.88</v>
      </c>
      <c r="AL302">
        <v>1</v>
      </c>
      <c r="AN302">
        <v>0.85679400730424005</v>
      </c>
      <c r="AO302">
        <v>49.78</v>
      </c>
      <c r="AQ302">
        <v>50.96</v>
      </c>
      <c r="AR302" s="3">
        <f t="shared" si="60"/>
        <v>0.97684458398744112</v>
      </c>
    </row>
    <row r="303" spans="2:49" x14ac:dyDescent="0.25">
      <c r="B303" s="7" t="s">
        <v>417</v>
      </c>
      <c r="C303">
        <v>1186</v>
      </c>
      <c r="D303" s="7">
        <v>700</v>
      </c>
      <c r="E303" s="5"/>
      <c r="F303" s="5"/>
      <c r="G303" s="5"/>
      <c r="H303" s="7">
        <v>16655</v>
      </c>
      <c r="I303" s="42">
        <v>33310</v>
      </c>
      <c r="J303" s="20" t="s">
        <v>55</v>
      </c>
      <c r="K303" t="s">
        <v>43</v>
      </c>
      <c r="M303" s="3">
        <v>66.52</v>
      </c>
      <c r="N303">
        <v>22.11</v>
      </c>
      <c r="O303">
        <v>85.08</v>
      </c>
      <c r="P303">
        <v>30.5</v>
      </c>
      <c r="Q303">
        <v>1155.05</v>
      </c>
      <c r="R303" s="28">
        <v>0</v>
      </c>
      <c r="S303" s="3">
        <f t="shared" si="62"/>
        <v>19.174562160231648</v>
      </c>
      <c r="T303" s="29">
        <f t="shared" si="63"/>
        <v>33.986026540329775</v>
      </c>
      <c r="U303">
        <v>203.6</v>
      </c>
      <c r="V303" s="29">
        <v>0.35</v>
      </c>
      <c r="W303" s="30">
        <f t="shared" si="58"/>
        <v>0.33222591362126247</v>
      </c>
      <c r="X303">
        <v>3.01</v>
      </c>
      <c r="Y303" s="3">
        <v>0.33</v>
      </c>
      <c r="Z303" s="3">
        <v>0.69</v>
      </c>
      <c r="AA303">
        <v>71.150000000000006</v>
      </c>
      <c r="AB303">
        <v>46.07</v>
      </c>
      <c r="AC303">
        <v>86.06</v>
      </c>
      <c r="AD303">
        <v>52.84</v>
      </c>
      <c r="AE303">
        <v>2574.25</v>
      </c>
      <c r="AF303" s="30">
        <f t="shared" si="61"/>
        <v>50.737067317691903</v>
      </c>
      <c r="AG303">
        <v>220.68</v>
      </c>
      <c r="AH303">
        <v>0.66</v>
      </c>
      <c r="AI303" s="3">
        <f t="shared" si="59"/>
        <v>0.64935064935064934</v>
      </c>
      <c r="AJ303">
        <v>1.54</v>
      </c>
      <c r="AK303">
        <v>0.65</v>
      </c>
      <c r="AL303">
        <v>1</v>
      </c>
      <c r="AN303">
        <v>0.63046502204031651</v>
      </c>
      <c r="AO303" s="3">
        <v>77.28</v>
      </c>
      <c r="AP303" s="3"/>
      <c r="AQ303" s="3">
        <v>52.4</v>
      </c>
      <c r="AR303" s="3">
        <f t="shared" si="60"/>
        <v>1.4748091603053435</v>
      </c>
    </row>
    <row r="304" spans="2:49" x14ac:dyDescent="0.25">
      <c r="B304" s="8" t="s">
        <v>418</v>
      </c>
      <c r="C304" s="23">
        <v>1186</v>
      </c>
      <c r="D304" s="8">
        <v>500</v>
      </c>
      <c r="E304" s="5"/>
      <c r="F304" s="5"/>
      <c r="G304" s="5"/>
      <c r="H304" s="8">
        <v>926676</v>
      </c>
      <c r="I304" s="43">
        <v>1853352</v>
      </c>
      <c r="J304" s="23" t="s">
        <v>55</v>
      </c>
      <c r="K304" t="s">
        <v>43</v>
      </c>
      <c r="M304" s="3">
        <v>75.397000000000006</v>
      </c>
      <c r="N304">
        <v>58.456000000000003</v>
      </c>
      <c r="O304">
        <v>85.192999999999998</v>
      </c>
      <c r="P304">
        <v>58.92</v>
      </c>
      <c r="Q304">
        <v>3461.5329999999999</v>
      </c>
      <c r="R304" s="30">
        <v>57.255000000000003</v>
      </c>
      <c r="S304" s="3">
        <f t="shared" si="62"/>
        <v>33.193977996790856</v>
      </c>
      <c r="T304" s="29">
        <f t="shared" si="63"/>
        <v>58.834794127284916</v>
      </c>
      <c r="U304">
        <v>249.44399999999999</v>
      </c>
      <c r="V304" s="29">
        <v>0.69899999999999995</v>
      </c>
      <c r="W304" s="30">
        <f t="shared" si="58"/>
        <v>0.77519379844961234</v>
      </c>
      <c r="X304">
        <v>1.29</v>
      </c>
      <c r="Y304" s="3">
        <v>0.77500000000000002</v>
      </c>
      <c r="Z304" s="3">
        <v>0.90600000000000003</v>
      </c>
      <c r="AA304">
        <v>76.319999999999993</v>
      </c>
      <c r="AB304">
        <v>63.918999999999997</v>
      </c>
      <c r="AC304">
        <v>86.144999999999996</v>
      </c>
      <c r="AD304">
        <v>59.72</v>
      </c>
      <c r="AE304">
        <v>3831.4349999999999</v>
      </c>
      <c r="AF304" s="30">
        <f t="shared" si="61"/>
        <v>61.898586413584596</v>
      </c>
      <c r="AG304">
        <v>243.22399999999999</v>
      </c>
      <c r="AH304">
        <v>0.81399999999999995</v>
      </c>
      <c r="AI304" s="3">
        <f t="shared" si="59"/>
        <v>0.83752093802345062</v>
      </c>
      <c r="AJ304">
        <v>1.194</v>
      </c>
      <c r="AK304">
        <v>0.83799999999999997</v>
      </c>
      <c r="AL304">
        <v>0.99199999999999999</v>
      </c>
      <c r="AN304">
        <v>0.82064098073031577</v>
      </c>
      <c r="AO304">
        <v>67.528000000000006</v>
      </c>
      <c r="AP304">
        <v>0</v>
      </c>
      <c r="AQ304">
        <v>60.6</v>
      </c>
      <c r="AR304" s="3">
        <f t="shared" si="60"/>
        <v>1.1143234323432345</v>
      </c>
    </row>
    <row r="305" spans="2:49" x14ac:dyDescent="0.25">
      <c r="B305" s="14" t="s">
        <v>419</v>
      </c>
      <c r="C305" s="14">
        <v>1186</v>
      </c>
      <c r="D305" s="14">
        <v>600</v>
      </c>
      <c r="E305" s="5"/>
      <c r="F305" s="5"/>
      <c r="G305" s="5"/>
      <c r="H305" s="14">
        <v>89121</v>
      </c>
      <c r="I305" s="47">
        <v>178242</v>
      </c>
      <c r="J305" s="14" t="s">
        <v>55</v>
      </c>
      <c r="K305" t="s">
        <v>43</v>
      </c>
      <c r="M305" s="3">
        <v>46.16</v>
      </c>
      <c r="N305">
        <v>20.47</v>
      </c>
      <c r="O305">
        <v>52.24</v>
      </c>
      <c r="P305">
        <v>24.32</v>
      </c>
      <c r="Q305">
        <v>742.16</v>
      </c>
      <c r="R305" s="28">
        <v>3.39</v>
      </c>
      <c r="S305" s="3">
        <f t="shared" si="62"/>
        <v>15.369998865652596</v>
      </c>
      <c r="T305" s="29">
        <f t="shared" si="63"/>
        <v>27.242613677839355</v>
      </c>
      <c r="U305">
        <v>132.05000000000001</v>
      </c>
      <c r="V305" s="29">
        <v>0.53</v>
      </c>
      <c r="W305" s="30">
        <f t="shared" si="58"/>
        <v>0.44444444444444442</v>
      </c>
      <c r="X305">
        <v>2.25</v>
      </c>
      <c r="Y305" s="3">
        <v>0.44</v>
      </c>
      <c r="Z305" s="3">
        <v>0.9</v>
      </c>
      <c r="AA305">
        <v>55.62</v>
      </c>
      <c r="AB305">
        <v>29.51</v>
      </c>
      <c r="AC305">
        <v>58.98</v>
      </c>
      <c r="AD305">
        <v>31.43</v>
      </c>
      <c r="AE305">
        <v>1289.23</v>
      </c>
      <c r="AF305" s="30">
        <f t="shared" si="61"/>
        <v>35.905849105681931</v>
      </c>
      <c r="AG305">
        <v>149.66</v>
      </c>
      <c r="AH305">
        <v>0.72</v>
      </c>
      <c r="AI305" s="3">
        <f t="shared" si="59"/>
        <v>0.53191489361702127</v>
      </c>
      <c r="AJ305">
        <v>1.88</v>
      </c>
      <c r="AK305">
        <v>0.53</v>
      </c>
      <c r="AL305">
        <v>1</v>
      </c>
      <c r="AN305">
        <v>0.65194525580509821</v>
      </c>
      <c r="AO305">
        <v>49.72</v>
      </c>
      <c r="AQ305">
        <v>29.38</v>
      </c>
      <c r="AR305" s="3">
        <f t="shared" si="60"/>
        <v>1.6923076923076923</v>
      </c>
    </row>
    <row r="306" spans="2:49" x14ac:dyDescent="0.25">
      <c r="B306" s="14" t="s">
        <v>420</v>
      </c>
      <c r="C306" s="14">
        <v>1186</v>
      </c>
      <c r="D306" s="14">
        <v>600</v>
      </c>
      <c r="E306" s="5"/>
      <c r="F306" s="5"/>
      <c r="G306" s="5"/>
      <c r="H306" s="14">
        <v>113767</v>
      </c>
      <c r="I306" s="47">
        <v>227534</v>
      </c>
      <c r="J306" s="14" t="s">
        <v>55</v>
      </c>
      <c r="K306" t="s">
        <v>64</v>
      </c>
      <c r="M306" s="3">
        <v>42.65</v>
      </c>
      <c r="N306">
        <v>32.700000000000003</v>
      </c>
      <c r="O306">
        <v>49.33</v>
      </c>
      <c r="P306">
        <v>35.65</v>
      </c>
      <c r="Q306">
        <v>1095.3800000000001</v>
      </c>
      <c r="R306" s="28">
        <v>6.84</v>
      </c>
      <c r="S306" s="3">
        <f t="shared" si="62"/>
        <v>18.672714937255392</v>
      </c>
      <c r="T306" s="29">
        <f t="shared" si="63"/>
        <v>33.09652549739927</v>
      </c>
      <c r="U306">
        <v>130.57</v>
      </c>
      <c r="V306" s="29">
        <v>0.81</v>
      </c>
      <c r="W306" s="30">
        <f t="shared" si="58"/>
        <v>0.76923076923076916</v>
      </c>
      <c r="X306">
        <v>1.3</v>
      </c>
      <c r="Y306" s="3">
        <v>0.77</v>
      </c>
      <c r="Z306" s="3">
        <v>0.96</v>
      </c>
      <c r="AA306">
        <v>50.27</v>
      </c>
      <c r="AB306">
        <v>40.97</v>
      </c>
      <c r="AC306">
        <v>52.85</v>
      </c>
      <c r="AD306">
        <v>42.28</v>
      </c>
      <c r="AE306">
        <v>1617.52</v>
      </c>
      <c r="AF306" s="30">
        <f t="shared" si="61"/>
        <v>40.218403747538268</v>
      </c>
      <c r="AG306">
        <v>154.76</v>
      </c>
      <c r="AH306">
        <v>0.85</v>
      </c>
      <c r="AI306" s="3">
        <f t="shared" si="59"/>
        <v>0.81300813008130079</v>
      </c>
      <c r="AJ306">
        <v>1.23</v>
      </c>
      <c r="AK306">
        <v>0.81</v>
      </c>
      <c r="AL306">
        <v>1</v>
      </c>
      <c r="AN306">
        <v>0.83287132341135994</v>
      </c>
      <c r="AO306">
        <v>49.94</v>
      </c>
      <c r="AQ306">
        <v>37.43</v>
      </c>
      <c r="AR306" s="3">
        <f t="shared" si="60"/>
        <v>1.3342238845845578</v>
      </c>
    </row>
    <row r="307" spans="2:49" x14ac:dyDescent="0.25">
      <c r="B307" s="10" t="s">
        <v>421</v>
      </c>
      <c r="C307" s="10">
        <v>1186</v>
      </c>
      <c r="D307" s="10">
        <v>500</v>
      </c>
      <c r="E307" s="5"/>
      <c r="F307" s="5"/>
      <c r="G307" s="5"/>
      <c r="H307" s="10">
        <v>4095410</v>
      </c>
      <c r="I307" s="44">
        <v>8190820</v>
      </c>
      <c r="J307" s="11" t="b">
        <v>0</v>
      </c>
      <c r="K307" t="s">
        <v>43</v>
      </c>
      <c r="M307" s="3">
        <v>73.724999999999994</v>
      </c>
      <c r="N307">
        <v>26.312000000000001</v>
      </c>
      <c r="O307">
        <v>80.09</v>
      </c>
      <c r="P307">
        <v>29.355</v>
      </c>
      <c r="Q307">
        <v>1523.5450000000001</v>
      </c>
      <c r="R307" s="30">
        <v>1009.029</v>
      </c>
      <c r="S307" s="3">
        <f t="shared" si="62"/>
        <v>22.021794557798493</v>
      </c>
      <c r="T307" s="29">
        <f t="shared" si="63"/>
        <v>39.032614567820076</v>
      </c>
      <c r="U307">
        <v>188.43799999999999</v>
      </c>
      <c r="V307" s="29">
        <v>0.53900000000000003</v>
      </c>
      <c r="W307" s="30">
        <f t="shared" si="58"/>
        <v>0.35688793718772305</v>
      </c>
      <c r="X307">
        <v>2.802</v>
      </c>
      <c r="Y307" s="3">
        <v>0.35699999999999998</v>
      </c>
      <c r="Z307" s="3">
        <v>0.88800000000000001</v>
      </c>
      <c r="AA307">
        <v>74.832999999999998</v>
      </c>
      <c r="AB307">
        <v>29.242999999999999</v>
      </c>
      <c r="AC307">
        <v>79.965000000000003</v>
      </c>
      <c r="AD307">
        <v>30.238</v>
      </c>
      <c r="AE307">
        <v>1718.722</v>
      </c>
      <c r="AF307" s="30">
        <f t="shared" si="61"/>
        <v>41.457472185361226</v>
      </c>
      <c r="AG307">
        <v>184.65799999999999</v>
      </c>
      <c r="AH307">
        <v>0.63300000000000001</v>
      </c>
      <c r="AI307" s="3">
        <f t="shared" si="59"/>
        <v>0.39077764751856192</v>
      </c>
      <c r="AJ307">
        <v>2.5590000000000002</v>
      </c>
      <c r="AK307">
        <v>0.39100000000000001</v>
      </c>
      <c r="AL307">
        <v>0.98199999999999998</v>
      </c>
      <c r="AN307">
        <v>0.60061812252852054</v>
      </c>
      <c r="AO307">
        <v>48.091999999999999</v>
      </c>
      <c r="AP307">
        <v>0</v>
      </c>
      <c r="AQ307">
        <v>69.891000000000005</v>
      </c>
      <c r="AR307" s="3">
        <f t="shared" si="60"/>
        <v>0.68810004149318216</v>
      </c>
    </row>
    <row r="308" spans="2:49" x14ac:dyDescent="0.25">
      <c r="B308" s="7" t="s">
        <v>422</v>
      </c>
      <c r="C308">
        <v>1186</v>
      </c>
      <c r="D308" s="7">
        <v>700</v>
      </c>
      <c r="E308" s="5"/>
      <c r="F308" s="5"/>
      <c r="G308" s="5"/>
      <c r="H308" s="7">
        <v>29983</v>
      </c>
      <c r="I308" s="42">
        <v>59966</v>
      </c>
      <c r="J308" s="20" t="s">
        <v>55</v>
      </c>
      <c r="K308" t="s">
        <v>43</v>
      </c>
      <c r="L308" t="s">
        <v>393</v>
      </c>
      <c r="M308" s="3">
        <v>41.96</v>
      </c>
      <c r="N308">
        <v>18.25</v>
      </c>
      <c r="O308">
        <v>53.71</v>
      </c>
      <c r="P308">
        <v>22.75</v>
      </c>
      <c r="Q308">
        <v>601.64</v>
      </c>
      <c r="R308" s="28">
        <v>2.4900000000000002</v>
      </c>
      <c r="S308" s="3">
        <f t="shared" si="62"/>
        <v>13.838640103840255</v>
      </c>
      <c r="T308" s="29">
        <f t="shared" si="63"/>
        <v>24.528350943347171</v>
      </c>
      <c r="U308">
        <v>136.78</v>
      </c>
      <c r="V308" s="29">
        <v>0.4</v>
      </c>
      <c r="W308" s="30">
        <f t="shared" ref="W308:W313" si="64">1/X308</f>
        <v>0.43478260869565222</v>
      </c>
      <c r="X308">
        <v>2.2999999999999998</v>
      </c>
      <c r="Y308" s="3">
        <v>0.44</v>
      </c>
      <c r="Z308" s="3">
        <v>0.77</v>
      </c>
      <c r="AA308">
        <v>59.09</v>
      </c>
      <c r="AB308">
        <v>25.56</v>
      </c>
      <c r="AC308">
        <v>58.67</v>
      </c>
      <c r="AD308">
        <v>26.17</v>
      </c>
      <c r="AE308">
        <v>1186</v>
      </c>
      <c r="AF308" s="30">
        <f t="shared" si="61"/>
        <v>34.438350715445125</v>
      </c>
      <c r="AG308">
        <v>151.09</v>
      </c>
      <c r="AH308">
        <v>0.65</v>
      </c>
      <c r="AI308" s="3">
        <f t="shared" ref="AI308:AI354" si="65">1/AJ308</f>
        <v>0.4329004329004329</v>
      </c>
      <c r="AJ308">
        <v>2.31</v>
      </c>
      <c r="AK308">
        <v>0.43</v>
      </c>
      <c r="AL308">
        <v>1</v>
      </c>
      <c r="AN308">
        <v>0.70937959319783994</v>
      </c>
      <c r="AO308" s="3">
        <v>53.31</v>
      </c>
      <c r="AP308" s="3"/>
      <c r="AQ308" s="3">
        <v>26.33</v>
      </c>
      <c r="AR308" s="3">
        <f t="shared" si="60"/>
        <v>2.0246866691986329</v>
      </c>
    </row>
    <row r="309" spans="2:49" x14ac:dyDescent="0.25">
      <c r="B309" s="14" t="s">
        <v>423</v>
      </c>
      <c r="C309" s="14">
        <v>1186</v>
      </c>
      <c r="D309" s="14">
        <v>600</v>
      </c>
      <c r="E309" s="5"/>
      <c r="F309" s="5"/>
      <c r="G309" s="5"/>
      <c r="H309" s="14">
        <v>263789</v>
      </c>
      <c r="I309" s="47">
        <v>527578</v>
      </c>
      <c r="J309" s="14" t="s">
        <v>55</v>
      </c>
      <c r="K309" t="s">
        <v>64</v>
      </c>
      <c r="M309" s="3">
        <v>69.06</v>
      </c>
      <c r="N309">
        <v>51.69</v>
      </c>
      <c r="O309">
        <v>78.099999999999994</v>
      </c>
      <c r="P309">
        <v>52.12</v>
      </c>
      <c r="Q309">
        <v>2803.93</v>
      </c>
      <c r="R309" s="28">
        <v>24.48</v>
      </c>
      <c r="S309" s="3">
        <f t="shared" si="62"/>
        <v>29.875050446272322</v>
      </c>
      <c r="T309" s="29">
        <f t="shared" si="63"/>
        <v>52.952148209491931</v>
      </c>
      <c r="U309">
        <v>213.97</v>
      </c>
      <c r="V309" s="29">
        <v>0.77</v>
      </c>
      <c r="W309" s="30">
        <f t="shared" si="64"/>
        <v>0.74626865671641784</v>
      </c>
      <c r="X309">
        <v>1.34</v>
      </c>
      <c r="Y309" s="3">
        <v>0.75</v>
      </c>
      <c r="Z309" s="3">
        <v>0.94</v>
      </c>
      <c r="AA309">
        <v>86.95</v>
      </c>
      <c r="AB309">
        <v>77.400000000000006</v>
      </c>
      <c r="AC309">
        <v>96.97</v>
      </c>
      <c r="AD309">
        <v>70.010000000000005</v>
      </c>
      <c r="AE309">
        <v>5285.68</v>
      </c>
      <c r="AF309" s="30">
        <f t="shared" si="61"/>
        <v>72.702682206367058</v>
      </c>
      <c r="AG309">
        <v>280.2</v>
      </c>
      <c r="AH309">
        <v>0.85</v>
      </c>
      <c r="AI309" s="3">
        <f t="shared" si="65"/>
        <v>0.89285714285714279</v>
      </c>
      <c r="AJ309">
        <v>1.1200000000000001</v>
      </c>
      <c r="AK309">
        <v>0.89</v>
      </c>
      <c r="AL309">
        <v>1</v>
      </c>
      <c r="AN309">
        <v>0.82324647002925955</v>
      </c>
      <c r="AO309">
        <v>68.510000000000005</v>
      </c>
      <c r="AQ309">
        <v>56.22</v>
      </c>
      <c r="AR309" s="3">
        <f t="shared" si="60"/>
        <v>1.2186054784774103</v>
      </c>
    </row>
    <row r="310" spans="2:49" x14ac:dyDescent="0.25">
      <c r="B310" t="s">
        <v>424</v>
      </c>
      <c r="C310">
        <v>1186</v>
      </c>
      <c r="D310">
        <v>700</v>
      </c>
      <c r="E310" s="5"/>
      <c r="F310" s="5"/>
      <c r="G310" s="5"/>
      <c r="H310">
        <v>57985</v>
      </c>
      <c r="I310" s="28">
        <v>115970</v>
      </c>
      <c r="J310" s="3" t="b">
        <v>0</v>
      </c>
      <c r="K310" t="s">
        <v>64</v>
      </c>
      <c r="M310" s="3">
        <v>27.31</v>
      </c>
      <c r="N310">
        <v>26.17</v>
      </c>
      <c r="O310">
        <v>27.84</v>
      </c>
      <c r="P310">
        <v>25.94</v>
      </c>
      <c r="Q310">
        <v>561.41999999999996</v>
      </c>
      <c r="R310" s="28">
        <v>87.73</v>
      </c>
      <c r="S310" s="3">
        <f t="shared" si="62"/>
        <v>13.368079005650129</v>
      </c>
      <c r="T310" s="29">
        <f t="shared" si="63"/>
        <v>23.694303112773753</v>
      </c>
      <c r="U310">
        <v>84.89</v>
      </c>
      <c r="V310" s="29">
        <v>0.98</v>
      </c>
      <c r="W310" s="30">
        <f t="shared" si="64"/>
        <v>0.96153846153846145</v>
      </c>
      <c r="X310">
        <v>1.04</v>
      </c>
      <c r="Y310" s="3">
        <v>0.96</v>
      </c>
      <c r="Z310" s="3">
        <v>1</v>
      </c>
      <c r="AA310">
        <v>27.31</v>
      </c>
      <c r="AB310">
        <v>26.17</v>
      </c>
      <c r="AC310">
        <v>27.84</v>
      </c>
      <c r="AD310">
        <v>25.94</v>
      </c>
      <c r="AE310">
        <v>561.41999999999996</v>
      </c>
      <c r="AF310" s="30">
        <f t="shared" si="61"/>
        <v>23.694303112773753</v>
      </c>
      <c r="AG310">
        <v>84.89</v>
      </c>
      <c r="AH310">
        <v>0.98</v>
      </c>
      <c r="AI310" s="3">
        <f t="shared" si="65"/>
        <v>0.96153846153846145</v>
      </c>
      <c r="AJ310">
        <v>1.04</v>
      </c>
      <c r="AK310">
        <v>0.96</v>
      </c>
      <c r="AL310">
        <v>1</v>
      </c>
      <c r="AN310">
        <v>0.96202220344081424</v>
      </c>
      <c r="AO310" s="3">
        <v>27.95</v>
      </c>
      <c r="AP310" s="3"/>
      <c r="AQ310" s="3">
        <v>26.36</v>
      </c>
      <c r="AR310" s="3">
        <f t="shared" si="60"/>
        <v>1.0603186646433991</v>
      </c>
      <c r="AS310" s="3"/>
      <c r="AT310" s="3"/>
      <c r="AU310" s="3"/>
      <c r="AV310" s="3"/>
      <c r="AW310" s="3"/>
    </row>
    <row r="311" spans="2:49" x14ac:dyDescent="0.25">
      <c r="B311" t="s">
        <v>425</v>
      </c>
      <c r="C311">
        <v>1186</v>
      </c>
      <c r="D311">
        <v>700</v>
      </c>
      <c r="E311" s="5"/>
      <c r="F311" s="5"/>
      <c r="G311" s="5"/>
      <c r="H311">
        <v>12790</v>
      </c>
      <c r="I311" s="28">
        <v>25580</v>
      </c>
      <c r="J311" s="3" t="s">
        <v>55</v>
      </c>
      <c r="K311" t="s">
        <v>43</v>
      </c>
      <c r="M311" s="3">
        <v>109.01</v>
      </c>
      <c r="N311">
        <v>58.97</v>
      </c>
      <c r="O311">
        <v>111.94</v>
      </c>
      <c r="P311">
        <v>68.36</v>
      </c>
      <c r="Q311">
        <v>5048.6899999999996</v>
      </c>
      <c r="R311" s="30">
        <v>0</v>
      </c>
      <c r="S311" s="3">
        <f t="shared" si="62"/>
        <v>40.088002435607116</v>
      </c>
      <c r="T311" s="29">
        <f t="shared" si="63"/>
        <v>71.054134292101537</v>
      </c>
      <c r="U311">
        <v>311.39299999999997</v>
      </c>
      <c r="V311" s="29">
        <v>0.75900000000000001</v>
      </c>
      <c r="W311" s="30">
        <f t="shared" si="64"/>
        <v>0.70921985815602839</v>
      </c>
      <c r="X311">
        <v>1.41</v>
      </c>
      <c r="Y311" s="3">
        <v>0.70899999999999996</v>
      </c>
      <c r="Z311" s="3">
        <v>0.92100000000000004</v>
      </c>
      <c r="AA311">
        <v>103.42</v>
      </c>
      <c r="AB311">
        <v>84.65</v>
      </c>
      <c r="AC311">
        <v>116.68</v>
      </c>
      <c r="AD311">
        <v>85.64</v>
      </c>
      <c r="AE311">
        <v>6875.79</v>
      </c>
      <c r="AF311" s="30">
        <f t="shared" si="61"/>
        <v>82.920383501283922</v>
      </c>
      <c r="AG311">
        <v>322.25</v>
      </c>
      <c r="AH311">
        <v>0.83</v>
      </c>
      <c r="AI311" s="3">
        <f t="shared" si="65"/>
        <v>0.81967213114754101</v>
      </c>
      <c r="AJ311">
        <v>1.22</v>
      </c>
      <c r="AK311">
        <v>0.82</v>
      </c>
      <c r="AL311">
        <v>1</v>
      </c>
      <c r="AN311">
        <v>0.69515205676672731</v>
      </c>
      <c r="AO311" s="3">
        <v>94.36</v>
      </c>
      <c r="AP311" s="3">
        <v>75.522000000000006</v>
      </c>
      <c r="AQ311" s="3">
        <v>85.01</v>
      </c>
      <c r="AR311" s="3">
        <f t="shared" si="60"/>
        <v>1.1099870603458415</v>
      </c>
    </row>
    <row r="312" spans="2:49" x14ac:dyDescent="0.25">
      <c r="B312" t="s">
        <v>426</v>
      </c>
      <c r="C312">
        <v>1186</v>
      </c>
      <c r="D312">
        <v>700</v>
      </c>
      <c r="E312" s="5"/>
      <c r="F312" s="5"/>
      <c r="G312" s="5"/>
      <c r="H312">
        <v>19898</v>
      </c>
      <c r="I312" s="28">
        <v>39796</v>
      </c>
      <c r="J312" s="3" t="s">
        <v>55</v>
      </c>
      <c r="K312" t="s">
        <v>43</v>
      </c>
      <c r="M312" s="3">
        <v>78.87</v>
      </c>
      <c r="N312">
        <v>31.69</v>
      </c>
      <c r="O312">
        <v>88.28</v>
      </c>
      <c r="P312">
        <v>40.1</v>
      </c>
      <c r="Q312">
        <v>1962.86</v>
      </c>
      <c r="R312" s="28">
        <v>0</v>
      </c>
      <c r="S312" s="3">
        <f t="shared" si="62"/>
        <v>24.995954536578822</v>
      </c>
      <c r="T312" s="29">
        <f t="shared" si="63"/>
        <v>44.304175875418331</v>
      </c>
      <c r="U312">
        <v>238.89</v>
      </c>
      <c r="V312" s="29">
        <v>0.43</v>
      </c>
      <c r="W312" s="30">
        <f t="shared" si="64"/>
        <v>0.40160642570281119</v>
      </c>
      <c r="X312">
        <v>2.4900000000000002</v>
      </c>
      <c r="Y312" s="3">
        <v>0.4</v>
      </c>
      <c r="Z312" s="3">
        <v>0.78</v>
      </c>
      <c r="AA312">
        <v>92.73</v>
      </c>
      <c r="AB312">
        <v>49.98</v>
      </c>
      <c r="AC312">
        <v>97.28</v>
      </c>
      <c r="AD312">
        <v>51.05</v>
      </c>
      <c r="AE312">
        <v>3640.28</v>
      </c>
      <c r="AF312" s="30">
        <f t="shared" si="61"/>
        <v>60.334732948775041</v>
      </c>
      <c r="AG312">
        <v>249.3</v>
      </c>
      <c r="AH312">
        <v>0.74</v>
      </c>
      <c r="AI312" s="3">
        <f t="shared" si="65"/>
        <v>0.5376344086021505</v>
      </c>
      <c r="AJ312">
        <v>1.86</v>
      </c>
      <c r="AK312">
        <v>0.54</v>
      </c>
      <c r="AL312">
        <v>1</v>
      </c>
      <c r="AN312">
        <v>0.66798059090982354</v>
      </c>
      <c r="AO312" s="3">
        <v>85.29</v>
      </c>
      <c r="AP312" s="3">
        <v>37.960999999999999</v>
      </c>
      <c r="AQ312" s="3">
        <v>51.11</v>
      </c>
      <c r="AR312" s="3">
        <f t="shared" si="60"/>
        <v>1.6687536685580122</v>
      </c>
      <c r="AS312">
        <f>AQ312/(AP312*0.5)</f>
        <v>2.6927636258265064</v>
      </c>
      <c r="AT312">
        <f>T312*SQRT(AS312)</f>
        <v>72.701568143952827</v>
      </c>
      <c r="AU312">
        <f>AT312+R312</f>
        <v>72.701568143952827</v>
      </c>
      <c r="AV312">
        <f>1+1.464*(AS312^1.65)</f>
        <v>8.505301786293419</v>
      </c>
      <c r="AW312">
        <f>AU312/AV312</f>
        <v>8.5477940666507397</v>
      </c>
    </row>
    <row r="313" spans="2:49" x14ac:dyDescent="0.25">
      <c r="B313" s="14" t="s">
        <v>427</v>
      </c>
      <c r="C313" s="16">
        <v>1186</v>
      </c>
      <c r="D313" s="14">
        <v>600</v>
      </c>
      <c r="E313" s="5"/>
      <c r="F313" s="5"/>
      <c r="G313" s="5"/>
      <c r="H313" s="14">
        <v>33763</v>
      </c>
      <c r="I313" s="47">
        <v>67526</v>
      </c>
      <c r="J313" s="14" t="s">
        <v>55</v>
      </c>
      <c r="K313" t="s">
        <v>43</v>
      </c>
      <c r="L313" t="s">
        <v>428</v>
      </c>
      <c r="M313" s="3">
        <v>84.2</v>
      </c>
      <c r="N313">
        <v>26.04</v>
      </c>
      <c r="O313">
        <v>86.33</v>
      </c>
      <c r="P313">
        <v>39.58</v>
      </c>
      <c r="Q313">
        <v>1722.4</v>
      </c>
      <c r="R313" s="28">
        <v>0</v>
      </c>
      <c r="S313" s="3">
        <f t="shared" si="62"/>
        <v>23.414887314761117</v>
      </c>
      <c r="T313" s="29">
        <f t="shared" si="63"/>
        <v>41.50180718956706</v>
      </c>
      <c r="U313">
        <v>264.69</v>
      </c>
      <c r="V313" s="29">
        <v>0.31</v>
      </c>
      <c r="W313" s="30">
        <f t="shared" si="64"/>
        <v>0.30959752321981426</v>
      </c>
      <c r="X313">
        <v>3.23</v>
      </c>
      <c r="Y313" s="3">
        <v>0.31</v>
      </c>
      <c r="Z313" s="3">
        <v>0.65</v>
      </c>
      <c r="AA313">
        <v>92.7</v>
      </c>
      <c r="AB313">
        <v>45.21</v>
      </c>
      <c r="AC313">
        <v>94.09</v>
      </c>
      <c r="AD313">
        <v>51.75</v>
      </c>
      <c r="AE313">
        <v>3291.39</v>
      </c>
      <c r="AF313" s="30">
        <f t="shared" si="61"/>
        <v>57.370637089019674</v>
      </c>
      <c r="AG313">
        <v>245.11</v>
      </c>
      <c r="AH313">
        <v>0.69</v>
      </c>
      <c r="AI313" s="3">
        <f t="shared" si="65"/>
        <v>0.48780487804878053</v>
      </c>
      <c r="AJ313">
        <v>2.0499999999999998</v>
      </c>
      <c r="AK313">
        <v>0.49</v>
      </c>
      <c r="AL313">
        <v>0.96</v>
      </c>
      <c r="AN313">
        <v>0.54280824441604036</v>
      </c>
      <c r="AO313">
        <v>87.66</v>
      </c>
      <c r="AP313">
        <v>52.204999999999998</v>
      </c>
      <c r="AQ313">
        <v>52.204999999999998</v>
      </c>
      <c r="AR313" s="3">
        <f t="shared" si="60"/>
        <v>1.6791495067522269</v>
      </c>
      <c r="AS313">
        <f>AQ313/(AP313*0.5)</f>
        <v>2</v>
      </c>
      <c r="AT313">
        <f>T313*SQRT(AS313)</f>
        <v>58.692418590478965</v>
      </c>
      <c r="AU313">
        <f>AT313+R313</f>
        <v>58.692418590478965</v>
      </c>
      <c r="AV313">
        <f>1+1.464*(AS313^1.65)</f>
        <v>5.5945244772833718</v>
      </c>
      <c r="AW313">
        <f>AU313/AV313</f>
        <v>10.491046885003396</v>
      </c>
    </row>
    <row r="314" spans="2:49" x14ac:dyDescent="0.25">
      <c r="B314" s="66" t="s">
        <v>429</v>
      </c>
      <c r="C314" s="23">
        <v>1186</v>
      </c>
      <c r="D314" s="23">
        <v>500</v>
      </c>
      <c r="E314" s="5"/>
      <c r="F314" s="5"/>
      <c r="G314" s="5"/>
      <c r="H314" s="23">
        <v>43747</v>
      </c>
      <c r="I314" s="65">
        <v>87494</v>
      </c>
      <c r="J314" s="23" t="s">
        <v>55</v>
      </c>
      <c r="K314" t="s">
        <v>43</v>
      </c>
      <c r="M314" s="3">
        <v>110.65900000000001</v>
      </c>
      <c r="N314">
        <v>44.128</v>
      </c>
      <c r="O314">
        <v>112.41800000000001</v>
      </c>
      <c r="P314">
        <v>52.314999999999998</v>
      </c>
      <c r="Q314">
        <v>3661</v>
      </c>
      <c r="R314" s="28">
        <v>0</v>
      </c>
      <c r="S314" s="3">
        <f t="shared" si="62"/>
        <v>34.136966668391288</v>
      </c>
      <c r="T314" s="29">
        <v>61</v>
      </c>
      <c r="U314">
        <v>287.32499999999999</v>
      </c>
      <c r="V314" s="29">
        <v>0.63</v>
      </c>
      <c r="W314" s="30">
        <f>1/2.418</f>
        <v>0.41356492969396191</v>
      </c>
      <c r="X314">
        <v>2.4180000000000001</v>
      </c>
      <c r="Y314" s="3">
        <v>0.41399999999999998</v>
      </c>
      <c r="Z314" s="3">
        <v>0.877</v>
      </c>
      <c r="AA314">
        <v>110.197</v>
      </c>
      <c r="AB314">
        <v>58.281999999999996</v>
      </c>
      <c r="AC314">
        <v>110.78100000000001</v>
      </c>
      <c r="AD314">
        <v>62.2</v>
      </c>
      <c r="AE314">
        <v>5044.1980000000003</v>
      </c>
      <c r="AF314" s="30">
        <f t="shared" si="61"/>
        <v>71.022517556054012</v>
      </c>
      <c r="AG314">
        <v>294.077</v>
      </c>
      <c r="AH314">
        <v>0.73299999999999998</v>
      </c>
      <c r="AI314" s="3">
        <f t="shared" si="65"/>
        <v>0.52882072977260708</v>
      </c>
      <c r="AJ314">
        <v>1.891</v>
      </c>
      <c r="AK314">
        <v>0.52900000000000003</v>
      </c>
      <c r="AL314">
        <v>0.99</v>
      </c>
      <c r="AN314">
        <v>0.64124606411899177</v>
      </c>
      <c r="AO314">
        <v>105.797</v>
      </c>
      <c r="AP314">
        <v>32.25</v>
      </c>
      <c r="AQ314">
        <v>60.7</v>
      </c>
      <c r="AR314" s="3">
        <f t="shared" si="60"/>
        <v>1.7429489291598022</v>
      </c>
    </row>
    <row r="315" spans="2:49" x14ac:dyDescent="0.25">
      <c r="B315" t="s">
        <v>430</v>
      </c>
      <c r="C315">
        <v>1151</v>
      </c>
      <c r="D315">
        <v>500</v>
      </c>
      <c r="E315" s="5"/>
      <c r="F315" s="5"/>
      <c r="G315" s="5"/>
      <c r="H315">
        <v>564441</v>
      </c>
      <c r="I315" s="28">
        <v>1128882</v>
      </c>
      <c r="J315" t="b">
        <v>0</v>
      </c>
      <c r="K315" t="s">
        <v>43</v>
      </c>
      <c r="M315" s="3">
        <v>169.98</v>
      </c>
      <c r="N315">
        <v>43.74</v>
      </c>
      <c r="O315">
        <v>186.75</v>
      </c>
      <c r="P315">
        <v>66.19</v>
      </c>
      <c r="Q315">
        <v>5839.3</v>
      </c>
      <c r="R315" s="28">
        <v>403.2</v>
      </c>
      <c r="S315" s="3">
        <f t="shared" si="62"/>
        <v>43.112723393367403</v>
      </c>
      <c r="T315" s="29">
        <f t="shared" ref="T315:T354" si="66">SQRT(Q315)</f>
        <v>76.415312601598373</v>
      </c>
      <c r="U315">
        <v>568.23</v>
      </c>
      <c r="V315" s="29">
        <v>0.23</v>
      </c>
      <c r="W315" s="30">
        <f t="shared" ref="W315:W354" si="67">1/X315</f>
        <v>0.25706940874035988</v>
      </c>
      <c r="X315">
        <v>3.89</v>
      </c>
      <c r="Y315" s="3">
        <v>0.26</v>
      </c>
      <c r="Z315" s="3">
        <v>0.64</v>
      </c>
      <c r="AA315">
        <v>184.97</v>
      </c>
      <c r="AB315">
        <v>64.66</v>
      </c>
      <c r="AC315">
        <v>190.4</v>
      </c>
      <c r="AD315">
        <v>67.62</v>
      </c>
      <c r="AE315">
        <v>9392.6299999999992</v>
      </c>
      <c r="AF315" s="30">
        <f t="shared" si="61"/>
        <v>96.915581822532531</v>
      </c>
      <c r="AG315">
        <v>436.58</v>
      </c>
      <c r="AH315">
        <v>0.62</v>
      </c>
      <c r="AI315" s="3">
        <f t="shared" si="65"/>
        <v>0.34965034965034969</v>
      </c>
      <c r="AJ315">
        <v>2.86</v>
      </c>
      <c r="AK315">
        <v>0.35</v>
      </c>
      <c r="AL315">
        <v>1</v>
      </c>
      <c r="AN315">
        <v>0</v>
      </c>
      <c r="AO315">
        <v>80.680000000000007</v>
      </c>
      <c r="AQ315">
        <v>189.01</v>
      </c>
      <c r="AR315" s="3">
        <f t="shared" si="60"/>
        <v>0.42685572191947524</v>
      </c>
      <c r="AS315" s="3"/>
      <c r="AT315" s="3"/>
      <c r="AU315" s="3"/>
      <c r="AV315" s="3"/>
      <c r="AW315" s="3"/>
    </row>
    <row r="316" spans="2:49" x14ac:dyDescent="0.25">
      <c r="B316" s="14" t="s">
        <v>431</v>
      </c>
      <c r="C316">
        <v>1151</v>
      </c>
      <c r="D316" s="14">
        <v>600</v>
      </c>
      <c r="E316" s="5"/>
      <c r="F316" s="5"/>
      <c r="G316" s="5"/>
      <c r="H316" s="14">
        <v>25245</v>
      </c>
      <c r="I316" s="47">
        <v>50490</v>
      </c>
      <c r="J316" s="14" t="s">
        <v>55</v>
      </c>
      <c r="K316" t="s">
        <v>43</v>
      </c>
      <c r="M316" s="3">
        <v>117.51</v>
      </c>
      <c r="N316">
        <v>65.03</v>
      </c>
      <c r="O316">
        <v>142.71</v>
      </c>
      <c r="P316">
        <v>81.34</v>
      </c>
      <c r="Q316">
        <v>6001.56</v>
      </c>
      <c r="R316" s="28">
        <v>8.3800000000000008</v>
      </c>
      <c r="S316" s="3">
        <f t="shared" si="62"/>
        <v>43.707618106288876</v>
      </c>
      <c r="T316" s="29">
        <f t="shared" si="66"/>
        <v>77.469736026399374</v>
      </c>
      <c r="U316">
        <v>479.56</v>
      </c>
      <c r="V316" s="29">
        <v>0.33</v>
      </c>
      <c r="W316" s="30">
        <f t="shared" si="67"/>
        <v>0.5524861878453039</v>
      </c>
      <c r="X316">
        <v>1.81</v>
      </c>
      <c r="Y316" s="3">
        <v>0.55000000000000004</v>
      </c>
      <c r="Z316" s="3">
        <v>0.78</v>
      </c>
      <c r="AA316">
        <v>145.97999999999999</v>
      </c>
      <c r="AB316">
        <v>97.63</v>
      </c>
      <c r="AC316">
        <v>161.80000000000001</v>
      </c>
      <c r="AD316">
        <v>98.42</v>
      </c>
      <c r="AE316">
        <v>11192.89</v>
      </c>
      <c r="AF316" s="30">
        <f t="shared" si="61"/>
        <v>105.79645551718639</v>
      </c>
      <c r="AG316">
        <v>427.34</v>
      </c>
      <c r="AH316">
        <v>0.77</v>
      </c>
      <c r="AI316" s="3">
        <f t="shared" si="65"/>
        <v>0.66666666666666663</v>
      </c>
      <c r="AJ316">
        <v>1.5</v>
      </c>
      <c r="AK316">
        <v>0.67</v>
      </c>
      <c r="AL316">
        <v>0.99</v>
      </c>
      <c r="AN316">
        <v>0.69356967322538354</v>
      </c>
      <c r="AO316">
        <v>131.09</v>
      </c>
      <c r="AQ316">
        <v>98.72</v>
      </c>
      <c r="AR316" s="3">
        <f t="shared" si="60"/>
        <v>1.3278970826580228</v>
      </c>
    </row>
    <row r="317" spans="2:49" x14ac:dyDescent="0.25">
      <c r="B317" t="s">
        <v>432</v>
      </c>
      <c r="C317">
        <v>1151</v>
      </c>
      <c r="D317">
        <v>700</v>
      </c>
      <c r="E317" s="5"/>
      <c r="F317" s="5"/>
      <c r="G317" s="5"/>
      <c r="H317">
        <v>46625</v>
      </c>
      <c r="I317" s="28">
        <v>93250</v>
      </c>
      <c r="J317" s="3" t="b">
        <v>0</v>
      </c>
      <c r="K317" t="s">
        <v>43</v>
      </c>
      <c r="L317" t="s">
        <v>44</v>
      </c>
      <c r="M317" s="3">
        <v>168.94</v>
      </c>
      <c r="N317">
        <v>39.83</v>
      </c>
      <c r="O317">
        <v>169.16</v>
      </c>
      <c r="P317">
        <v>52.06</v>
      </c>
      <c r="Q317">
        <v>5285.19</v>
      </c>
      <c r="R317" s="28">
        <v>278.11</v>
      </c>
      <c r="S317" s="3">
        <f t="shared" si="62"/>
        <v>41.016194696238074</v>
      </c>
      <c r="T317" s="29">
        <f t="shared" si="66"/>
        <v>72.699312238837578</v>
      </c>
      <c r="U317">
        <v>438.34</v>
      </c>
      <c r="V317" s="29">
        <v>0.35</v>
      </c>
      <c r="W317" s="30">
        <f t="shared" si="67"/>
        <v>0.23584905660377356</v>
      </c>
      <c r="X317">
        <v>4.24</v>
      </c>
      <c r="Y317" s="3">
        <v>0.24</v>
      </c>
      <c r="Z317" s="3">
        <v>0.69</v>
      </c>
      <c r="AA317">
        <v>178.46</v>
      </c>
      <c r="AB317">
        <v>58.52</v>
      </c>
      <c r="AC317">
        <v>171.85</v>
      </c>
      <c r="AD317">
        <v>57.02</v>
      </c>
      <c r="AE317">
        <v>8201.99</v>
      </c>
      <c r="AF317" s="30">
        <f t="shared" si="61"/>
        <v>90.564838651653318</v>
      </c>
      <c r="AG317">
        <v>401.34</v>
      </c>
      <c r="AH317">
        <v>0.64</v>
      </c>
      <c r="AI317" s="3">
        <f t="shared" si="65"/>
        <v>0.32786885245901642</v>
      </c>
      <c r="AJ317">
        <v>3.05</v>
      </c>
      <c r="AK317">
        <v>0.33</v>
      </c>
      <c r="AL317">
        <v>1</v>
      </c>
      <c r="AN317">
        <v>0.51561766016074029</v>
      </c>
      <c r="AO317" s="3">
        <v>165.2</v>
      </c>
      <c r="AP317" s="3"/>
      <c r="AQ317" s="3">
        <v>106.67</v>
      </c>
      <c r="AR317" s="3">
        <f t="shared" si="60"/>
        <v>1.5487016030749037</v>
      </c>
      <c r="AS317" s="3"/>
      <c r="AT317" s="3"/>
      <c r="AU317" s="3"/>
      <c r="AV317" s="3"/>
      <c r="AW317" s="3"/>
    </row>
    <row r="318" spans="2:49" x14ac:dyDescent="0.25">
      <c r="B318" s="7" t="s">
        <v>433</v>
      </c>
      <c r="C318">
        <v>1151</v>
      </c>
      <c r="D318" s="7">
        <v>700</v>
      </c>
      <c r="E318" s="5"/>
      <c r="F318" s="5"/>
      <c r="G318" s="5"/>
      <c r="H318" s="7">
        <v>55088</v>
      </c>
      <c r="I318" s="42">
        <v>110176</v>
      </c>
      <c r="J318" s="20" t="b">
        <v>0</v>
      </c>
      <c r="K318" t="s">
        <v>43</v>
      </c>
      <c r="L318" t="s">
        <v>44</v>
      </c>
      <c r="M318" s="3">
        <v>139</v>
      </c>
      <c r="N318">
        <v>54.99</v>
      </c>
      <c r="O318">
        <v>190.32</v>
      </c>
      <c r="P318">
        <v>74.5</v>
      </c>
      <c r="Q318">
        <v>6003.43</v>
      </c>
      <c r="R318" s="28">
        <v>91.39</v>
      </c>
      <c r="S318" s="3">
        <f t="shared" si="62"/>
        <v>43.714426909343722</v>
      </c>
      <c r="T318" s="29">
        <f t="shared" si="66"/>
        <v>77.48180431559399</v>
      </c>
      <c r="U318">
        <v>587.28</v>
      </c>
      <c r="V318" s="29">
        <v>0.22</v>
      </c>
      <c r="W318" s="30">
        <f t="shared" si="67"/>
        <v>0.39525691699604748</v>
      </c>
      <c r="X318">
        <v>2.5299999999999998</v>
      </c>
      <c r="Y318" s="3">
        <v>0.4</v>
      </c>
      <c r="Z318" s="3">
        <v>0.65</v>
      </c>
      <c r="AA318">
        <v>175.62</v>
      </c>
      <c r="AB318">
        <v>68.17</v>
      </c>
      <c r="AC318">
        <v>192.61</v>
      </c>
      <c r="AD318">
        <v>75.89</v>
      </c>
      <c r="AE318">
        <v>9402.94</v>
      </c>
      <c r="AF318" s="30">
        <f t="shared" si="61"/>
        <v>96.968757855301007</v>
      </c>
      <c r="AG318">
        <v>447.55</v>
      </c>
      <c r="AH318">
        <v>0.59</v>
      </c>
      <c r="AI318" s="3">
        <f t="shared" si="65"/>
        <v>0.38759689922480617</v>
      </c>
      <c r="AJ318">
        <v>2.58</v>
      </c>
      <c r="AK318">
        <v>0.39</v>
      </c>
      <c r="AL318">
        <v>0.98</v>
      </c>
      <c r="AN318">
        <v>0.58088110898468892</v>
      </c>
      <c r="AO318" s="3">
        <v>189.14</v>
      </c>
      <c r="AP318" s="3"/>
      <c r="AQ318" s="3">
        <v>83.71</v>
      </c>
      <c r="AR318" s="3">
        <f t="shared" si="60"/>
        <v>2.2594672082188509</v>
      </c>
      <c r="AS318" s="3"/>
      <c r="AT318" s="3"/>
      <c r="AU318" s="3"/>
      <c r="AV318" s="3"/>
      <c r="AW318" s="3"/>
    </row>
    <row r="319" spans="2:49" x14ac:dyDescent="0.25">
      <c r="B319" s="6" t="s">
        <v>434</v>
      </c>
      <c r="C319" s="6">
        <v>1151</v>
      </c>
      <c r="D319" s="6">
        <v>500</v>
      </c>
      <c r="E319" s="5"/>
      <c r="F319" s="5"/>
      <c r="G319" s="5"/>
      <c r="H319" s="6">
        <v>756468</v>
      </c>
      <c r="I319" s="39">
        <v>1512936</v>
      </c>
      <c r="J319" s="6" t="b">
        <v>0</v>
      </c>
      <c r="K319" t="s">
        <v>43</v>
      </c>
      <c r="M319" s="3">
        <v>116.65</v>
      </c>
      <c r="N319">
        <v>79.59</v>
      </c>
      <c r="O319">
        <v>142.30000000000001</v>
      </c>
      <c r="P319">
        <v>93.17</v>
      </c>
      <c r="Q319">
        <v>7291.6</v>
      </c>
      <c r="R319" s="28">
        <v>713.91</v>
      </c>
      <c r="S319" s="3">
        <f t="shared" si="62"/>
        <v>48.176637139776872</v>
      </c>
      <c r="T319" s="29">
        <f t="shared" si="66"/>
        <v>85.390866022075215</v>
      </c>
      <c r="U319">
        <v>392.61</v>
      </c>
      <c r="V319" s="29">
        <v>0.59</v>
      </c>
      <c r="W319" s="30">
        <f t="shared" si="67"/>
        <v>0.68027210884353739</v>
      </c>
      <c r="X319">
        <v>1.47</v>
      </c>
      <c r="Y319" s="3">
        <v>0.68</v>
      </c>
      <c r="Z319" s="3">
        <v>0.81</v>
      </c>
      <c r="AA319">
        <v>127.01</v>
      </c>
      <c r="AB319">
        <v>91.68</v>
      </c>
      <c r="AC319">
        <v>142.52000000000001</v>
      </c>
      <c r="AD319">
        <v>93.21</v>
      </c>
      <c r="AE319">
        <v>9145.26</v>
      </c>
      <c r="AF319" s="30">
        <f t="shared" si="61"/>
        <v>95.630852762066283</v>
      </c>
      <c r="AG319">
        <v>372.99</v>
      </c>
      <c r="AH319">
        <v>0.83</v>
      </c>
      <c r="AI319" s="3">
        <f t="shared" si="65"/>
        <v>0.71942446043165476</v>
      </c>
      <c r="AJ319">
        <v>1.39</v>
      </c>
      <c r="AK319">
        <v>0.72</v>
      </c>
      <c r="AL319">
        <v>1</v>
      </c>
      <c r="AN319">
        <v>0.76072254846844012</v>
      </c>
      <c r="AO319">
        <v>129.27000000000001</v>
      </c>
      <c r="AQ319">
        <v>113.9</v>
      </c>
      <c r="AR319" s="3">
        <f t="shared" si="60"/>
        <v>1.1349429323968394</v>
      </c>
      <c r="AS319" s="3"/>
      <c r="AT319" s="3"/>
      <c r="AU319" s="3"/>
      <c r="AV319" s="3"/>
      <c r="AW319" s="3"/>
    </row>
    <row r="320" spans="2:49" x14ac:dyDescent="0.25">
      <c r="B320" t="s">
        <v>435</v>
      </c>
      <c r="C320">
        <v>1151</v>
      </c>
      <c r="D320">
        <v>600</v>
      </c>
      <c r="E320" s="5"/>
      <c r="F320" s="5"/>
      <c r="G320" s="5"/>
      <c r="H320">
        <v>84596</v>
      </c>
      <c r="I320" s="28">
        <v>169192</v>
      </c>
      <c r="J320" t="b">
        <v>0</v>
      </c>
      <c r="K320" t="s">
        <v>43</v>
      </c>
      <c r="M320" s="3">
        <v>160.19999999999999</v>
      </c>
      <c r="N320">
        <v>67.239999999999995</v>
      </c>
      <c r="O320">
        <v>200.4</v>
      </c>
      <c r="P320">
        <v>83.08</v>
      </c>
      <c r="Q320">
        <v>8459.66</v>
      </c>
      <c r="R320" s="28">
        <v>158.85</v>
      </c>
      <c r="S320" s="3">
        <f t="shared" si="62"/>
        <v>51.892132464888803</v>
      </c>
      <c r="T320" s="29">
        <f t="shared" si="66"/>
        <v>91.976410019091304</v>
      </c>
      <c r="U320">
        <v>540.72</v>
      </c>
      <c r="V320" s="29">
        <v>0.36</v>
      </c>
      <c r="W320" s="30">
        <f t="shared" si="67"/>
        <v>0.42016806722689076</v>
      </c>
      <c r="X320">
        <v>2.38</v>
      </c>
      <c r="Y320" s="3">
        <v>0.42</v>
      </c>
      <c r="Z320" s="3">
        <v>0.81</v>
      </c>
      <c r="AA320">
        <v>177.48</v>
      </c>
      <c r="AB320">
        <v>75.400000000000006</v>
      </c>
      <c r="AC320">
        <v>201.28</v>
      </c>
      <c r="AD320">
        <v>82.67</v>
      </c>
      <c r="AE320">
        <v>10510.87</v>
      </c>
      <c r="AF320" s="30">
        <f t="shared" si="61"/>
        <v>102.52253410836079</v>
      </c>
      <c r="AG320">
        <v>459.06</v>
      </c>
      <c r="AH320">
        <v>0.63</v>
      </c>
      <c r="AI320" s="3">
        <f t="shared" si="65"/>
        <v>0.42553191489361702</v>
      </c>
      <c r="AJ320">
        <v>2.35</v>
      </c>
      <c r="AK320">
        <v>0.42</v>
      </c>
      <c r="AL320">
        <v>1</v>
      </c>
      <c r="AN320">
        <v>0.62627758095759534</v>
      </c>
      <c r="AO320">
        <v>181.25</v>
      </c>
      <c r="AQ320">
        <v>117.28</v>
      </c>
      <c r="AR320" s="3">
        <f t="shared" si="60"/>
        <v>1.5454467939972714</v>
      </c>
      <c r="AS320" s="3"/>
      <c r="AT320" s="3"/>
      <c r="AU320" s="3"/>
      <c r="AV320" s="3"/>
      <c r="AW320" s="3"/>
    </row>
    <row r="321" spans="1:49" x14ac:dyDescent="0.25">
      <c r="B321" t="s">
        <v>436</v>
      </c>
      <c r="C321">
        <v>1151</v>
      </c>
      <c r="D321">
        <v>600</v>
      </c>
      <c r="E321" s="5"/>
      <c r="F321" s="5"/>
      <c r="G321" s="5"/>
      <c r="H321">
        <v>378624</v>
      </c>
      <c r="I321" s="28">
        <v>757248</v>
      </c>
      <c r="J321" t="b">
        <v>0</v>
      </c>
      <c r="K321" t="s">
        <v>43</v>
      </c>
      <c r="M321" s="3">
        <v>130.02000000000001</v>
      </c>
      <c r="N321">
        <v>31.07</v>
      </c>
      <c r="O321">
        <v>149.18</v>
      </c>
      <c r="P321">
        <v>44.22</v>
      </c>
      <c r="Q321">
        <v>3172.26</v>
      </c>
      <c r="R321" s="28">
        <v>797.05</v>
      </c>
      <c r="S321" s="3">
        <f t="shared" si="62"/>
        <v>31.77674809582302</v>
      </c>
      <c r="T321" s="29">
        <f t="shared" si="66"/>
        <v>56.322819531696034</v>
      </c>
      <c r="U321">
        <v>394.67</v>
      </c>
      <c r="V321" s="29">
        <v>0.26</v>
      </c>
      <c r="W321" s="30">
        <f t="shared" si="67"/>
        <v>0.2386634844868735</v>
      </c>
      <c r="X321">
        <v>4.1900000000000004</v>
      </c>
      <c r="Y321" s="3">
        <v>0.24</v>
      </c>
      <c r="Z321" s="3">
        <v>0.61</v>
      </c>
      <c r="AA321">
        <v>145.22</v>
      </c>
      <c r="AB321">
        <v>45.16</v>
      </c>
      <c r="AC321">
        <v>151.19</v>
      </c>
      <c r="AD321">
        <v>43.6</v>
      </c>
      <c r="AE321">
        <v>5150.88</v>
      </c>
      <c r="AF321" s="30">
        <f t="shared" si="61"/>
        <v>71.769631460667256</v>
      </c>
      <c r="AG321">
        <v>333.71</v>
      </c>
      <c r="AH321">
        <v>0.57999999999999996</v>
      </c>
      <c r="AI321" s="3">
        <f t="shared" si="65"/>
        <v>0.3105590062111801</v>
      </c>
      <c r="AJ321">
        <v>3.22</v>
      </c>
      <c r="AK321">
        <v>0.31</v>
      </c>
      <c r="AL321">
        <v>1</v>
      </c>
      <c r="AN321">
        <v>0.53509783585840998</v>
      </c>
      <c r="AO321">
        <v>98.73</v>
      </c>
      <c r="AQ321">
        <v>63.53</v>
      </c>
      <c r="AR321" s="3">
        <f t="shared" si="60"/>
        <v>1.554068943806076</v>
      </c>
      <c r="AS321" s="3"/>
      <c r="AT321" s="3"/>
      <c r="AU321" s="3"/>
      <c r="AV321" s="3"/>
      <c r="AW321" s="3"/>
    </row>
    <row r="322" spans="1:49" x14ac:dyDescent="0.25">
      <c r="B322" t="s">
        <v>437</v>
      </c>
      <c r="C322">
        <v>1151</v>
      </c>
      <c r="D322">
        <v>500</v>
      </c>
      <c r="E322" s="5"/>
      <c r="F322" s="5"/>
      <c r="G322" s="5"/>
      <c r="H322">
        <v>2360167</v>
      </c>
      <c r="I322" s="28">
        <v>4720334</v>
      </c>
      <c r="J322" t="b">
        <v>0</v>
      </c>
      <c r="K322" t="s">
        <v>43</v>
      </c>
      <c r="M322" s="3">
        <v>113.08</v>
      </c>
      <c r="N322">
        <v>35.74</v>
      </c>
      <c r="O322">
        <v>114.68</v>
      </c>
      <c r="P322">
        <v>45.22</v>
      </c>
      <c r="Q322">
        <v>3174.59</v>
      </c>
      <c r="R322" s="28">
        <v>229.73</v>
      </c>
      <c r="S322" s="3">
        <f t="shared" si="62"/>
        <v>31.788415839424903</v>
      </c>
      <c r="T322" s="29">
        <f t="shared" si="66"/>
        <v>56.343500068774574</v>
      </c>
      <c r="U322">
        <v>303.83</v>
      </c>
      <c r="V322" s="29">
        <v>0.43</v>
      </c>
      <c r="W322" s="30">
        <f t="shared" si="67"/>
        <v>0.31645569620253161</v>
      </c>
      <c r="X322">
        <v>3.16</v>
      </c>
      <c r="Y322" s="3">
        <v>0.32</v>
      </c>
      <c r="Z322" s="3">
        <v>0.73</v>
      </c>
      <c r="AA322">
        <v>115.9</v>
      </c>
      <c r="AB322">
        <v>49.52</v>
      </c>
      <c r="AC322">
        <v>114.91</v>
      </c>
      <c r="AD322">
        <v>46.52</v>
      </c>
      <c r="AE322">
        <v>4507.8500000000004</v>
      </c>
      <c r="AF322" s="30">
        <f t="shared" si="61"/>
        <v>67.140524275581882</v>
      </c>
      <c r="AG322">
        <v>282.04000000000002</v>
      </c>
      <c r="AH322">
        <v>0.71</v>
      </c>
      <c r="AI322" s="3">
        <f t="shared" si="65"/>
        <v>0.42735042735042739</v>
      </c>
      <c r="AJ322">
        <v>2.34</v>
      </c>
      <c r="AK322">
        <v>0.43</v>
      </c>
      <c r="AL322">
        <v>1</v>
      </c>
      <c r="AN322">
        <v>0.56014629441663133</v>
      </c>
      <c r="AO322">
        <v>99.32</v>
      </c>
      <c r="AQ322">
        <v>85</v>
      </c>
      <c r="AR322" s="3">
        <f t="shared" si="60"/>
        <v>1.1684705882352939</v>
      </c>
      <c r="AS322" s="3"/>
      <c r="AT322" s="3"/>
      <c r="AU322" s="3"/>
      <c r="AV322" s="3"/>
      <c r="AW322" s="3"/>
    </row>
    <row r="323" spans="1:49" x14ac:dyDescent="0.25">
      <c r="A323" s="7"/>
      <c r="B323" s="7" t="s">
        <v>438</v>
      </c>
      <c r="C323">
        <v>1151</v>
      </c>
      <c r="D323" s="7">
        <v>700</v>
      </c>
      <c r="E323" s="19"/>
      <c r="F323" s="19"/>
      <c r="G323" s="19"/>
      <c r="H323" s="7">
        <v>53583</v>
      </c>
      <c r="I323" s="42">
        <v>107166</v>
      </c>
      <c r="J323" s="20" t="b">
        <v>0</v>
      </c>
      <c r="K323" s="7" t="s">
        <v>64</v>
      </c>
      <c r="L323" s="7" t="s">
        <v>367</v>
      </c>
      <c r="M323" s="20">
        <v>95.8</v>
      </c>
      <c r="N323" s="7">
        <v>83.65</v>
      </c>
      <c r="O323" s="7">
        <v>102.2</v>
      </c>
      <c r="P323" s="7">
        <v>91.89</v>
      </c>
      <c r="Q323" s="7">
        <v>6294.21</v>
      </c>
      <c r="R323" s="42">
        <v>764.18</v>
      </c>
      <c r="S323" s="20">
        <f t="shared" si="62"/>
        <v>44.76057717140025</v>
      </c>
      <c r="T323" s="50">
        <f t="shared" si="66"/>
        <v>79.336057376201907</v>
      </c>
      <c r="U323" s="7">
        <v>343.13</v>
      </c>
      <c r="V323" s="50">
        <v>0.67</v>
      </c>
      <c r="W323" s="51">
        <f t="shared" si="67"/>
        <v>0.86956521739130443</v>
      </c>
      <c r="X323" s="7">
        <v>1.1499999999999999</v>
      </c>
      <c r="Y323" s="20">
        <v>0.87</v>
      </c>
      <c r="Z323" s="20">
        <v>0.89</v>
      </c>
      <c r="AA323" s="7">
        <v>97.48</v>
      </c>
      <c r="AB323" s="7">
        <v>92.42</v>
      </c>
      <c r="AC323" s="7">
        <v>102.75</v>
      </c>
      <c r="AD323" s="7">
        <v>92.42</v>
      </c>
      <c r="AE323" s="7">
        <v>7076.08</v>
      </c>
      <c r="AF323" s="51">
        <f t="shared" si="61"/>
        <v>84.119438894942704</v>
      </c>
      <c r="AG323" s="7">
        <v>307.98</v>
      </c>
      <c r="AH323" s="7">
        <v>0.94</v>
      </c>
      <c r="AI323" s="20">
        <f t="shared" si="65"/>
        <v>0.95238095238095233</v>
      </c>
      <c r="AJ323" s="7">
        <v>1.05</v>
      </c>
      <c r="AK323" s="7">
        <v>0.95</v>
      </c>
      <c r="AL323" s="7">
        <v>1</v>
      </c>
      <c r="AM323" s="7"/>
      <c r="AN323" s="7">
        <v>0.89260316697549791</v>
      </c>
      <c r="AO323" s="20">
        <v>97.68</v>
      </c>
      <c r="AP323" s="20"/>
      <c r="AQ323" s="20">
        <v>96.32</v>
      </c>
      <c r="AR323" s="20">
        <f t="shared" si="60"/>
        <v>1.0141196013289038</v>
      </c>
      <c r="AS323" s="3"/>
      <c r="AT323" s="3"/>
      <c r="AU323" s="3"/>
      <c r="AV323" s="3"/>
      <c r="AW323" s="3"/>
    </row>
    <row r="324" spans="1:49" x14ac:dyDescent="0.25">
      <c r="B324" s="6" t="s">
        <v>439</v>
      </c>
      <c r="C324" s="6">
        <v>1151</v>
      </c>
      <c r="D324" s="6">
        <v>600</v>
      </c>
      <c r="E324" s="5"/>
      <c r="F324" s="5"/>
      <c r="G324" s="5"/>
      <c r="H324" s="6">
        <v>295958</v>
      </c>
      <c r="I324" s="39">
        <v>591916</v>
      </c>
      <c r="J324" s="6" t="b">
        <v>0</v>
      </c>
      <c r="K324" t="s">
        <v>43</v>
      </c>
      <c r="M324" s="3">
        <v>106.35</v>
      </c>
      <c r="N324">
        <v>49.02</v>
      </c>
      <c r="O324">
        <v>103.6</v>
      </c>
      <c r="P324">
        <v>58.16</v>
      </c>
      <c r="Q324">
        <v>4094.24</v>
      </c>
      <c r="R324" s="28">
        <v>1101.6199999999999</v>
      </c>
      <c r="S324" s="3">
        <f t="shared" si="62"/>
        <v>36.100374906766874</v>
      </c>
      <c r="T324" s="29">
        <f t="shared" si="66"/>
        <v>63.986248522631797</v>
      </c>
      <c r="U324">
        <v>310.11</v>
      </c>
      <c r="V324" s="29">
        <v>0.54</v>
      </c>
      <c r="W324" s="30">
        <f t="shared" si="67"/>
        <v>0.46082949308755761</v>
      </c>
      <c r="X324">
        <v>2.17</v>
      </c>
      <c r="Y324" s="3">
        <v>0.46</v>
      </c>
      <c r="Z324" s="3">
        <v>0.77</v>
      </c>
      <c r="AA324">
        <v>106.02</v>
      </c>
      <c r="AB324">
        <v>64.62</v>
      </c>
      <c r="AC324">
        <v>104.4</v>
      </c>
      <c r="AD324">
        <v>59.65</v>
      </c>
      <c r="AE324">
        <v>5380.58</v>
      </c>
      <c r="AF324" s="30">
        <f t="shared" si="61"/>
        <v>73.352436905667972</v>
      </c>
      <c r="AG324">
        <v>285.57</v>
      </c>
      <c r="AH324">
        <v>0.83</v>
      </c>
      <c r="AI324" s="3">
        <f t="shared" si="65"/>
        <v>0.6097560975609756</v>
      </c>
      <c r="AJ324">
        <v>1.64</v>
      </c>
      <c r="AK324">
        <v>0.61</v>
      </c>
      <c r="AL324">
        <v>1</v>
      </c>
      <c r="AN324">
        <v>0.65524128840250562</v>
      </c>
      <c r="AO324">
        <v>100.49</v>
      </c>
      <c r="AQ324">
        <v>63.29</v>
      </c>
      <c r="AR324" s="3">
        <f t="shared" si="60"/>
        <v>1.5877705798704376</v>
      </c>
      <c r="AS324" s="3"/>
      <c r="AT324" s="3"/>
      <c r="AU324" s="3"/>
      <c r="AV324" s="3"/>
      <c r="AW324" s="3"/>
    </row>
    <row r="325" spans="1:49" x14ac:dyDescent="0.25">
      <c r="B325" t="s">
        <v>440</v>
      </c>
      <c r="C325">
        <v>1151</v>
      </c>
      <c r="D325">
        <v>500</v>
      </c>
      <c r="E325" s="5"/>
      <c r="F325" s="5"/>
      <c r="G325" s="5"/>
      <c r="H325">
        <v>2539563</v>
      </c>
      <c r="I325" s="28">
        <v>5079126</v>
      </c>
      <c r="J325" t="b">
        <v>0</v>
      </c>
      <c r="K325" t="s">
        <v>43</v>
      </c>
      <c r="M325" s="3">
        <v>77.2</v>
      </c>
      <c r="N325">
        <v>34.450000000000003</v>
      </c>
      <c r="O325">
        <v>86.58</v>
      </c>
      <c r="P325">
        <v>38.99</v>
      </c>
      <c r="Q325">
        <v>2089.0300000000002</v>
      </c>
      <c r="R325" s="28">
        <v>215.18</v>
      </c>
      <c r="S325" s="3">
        <f t="shared" si="62"/>
        <v>25.786797039076497</v>
      </c>
      <c r="T325" s="29">
        <f t="shared" si="66"/>
        <v>45.70590771443009</v>
      </c>
      <c r="U325">
        <v>211.82</v>
      </c>
      <c r="V325" s="29">
        <v>0.59</v>
      </c>
      <c r="W325" s="30">
        <f t="shared" si="67"/>
        <v>0.4464285714285714</v>
      </c>
      <c r="X325">
        <v>2.2400000000000002</v>
      </c>
      <c r="Y325" s="3">
        <v>0.45</v>
      </c>
      <c r="Z325" s="3">
        <v>0.84</v>
      </c>
      <c r="AA325">
        <v>82.26</v>
      </c>
      <c r="AB325">
        <v>40.76</v>
      </c>
      <c r="AC325">
        <v>87.02</v>
      </c>
      <c r="AD325">
        <v>40.479999999999997</v>
      </c>
      <c r="AE325">
        <v>2633.3</v>
      </c>
      <c r="AF325" s="30">
        <f t="shared" si="61"/>
        <v>51.315689608539806</v>
      </c>
      <c r="AG325">
        <v>211.5</v>
      </c>
      <c r="AH325">
        <v>0.74</v>
      </c>
      <c r="AI325" s="3">
        <f t="shared" si="65"/>
        <v>0.49504950495049505</v>
      </c>
      <c r="AJ325">
        <v>2.02</v>
      </c>
      <c r="AK325">
        <v>0.5</v>
      </c>
      <c r="AL325">
        <v>1</v>
      </c>
      <c r="AN325">
        <v>0.66418360212118666</v>
      </c>
      <c r="AO325">
        <v>56.03</v>
      </c>
      <c r="AQ325">
        <v>81.89</v>
      </c>
      <c r="AR325" s="3">
        <f t="shared" si="60"/>
        <v>0.68421052631578949</v>
      </c>
      <c r="AS325" s="3"/>
      <c r="AT325" s="3"/>
      <c r="AU325" s="3"/>
      <c r="AV325" s="3"/>
      <c r="AW325" s="3"/>
    </row>
    <row r="326" spans="1:49" x14ac:dyDescent="0.25">
      <c r="B326" s="59" t="s">
        <v>441</v>
      </c>
      <c r="C326">
        <v>1151</v>
      </c>
      <c r="D326">
        <v>700</v>
      </c>
      <c r="E326" s="5"/>
      <c r="F326" s="5"/>
      <c r="G326" s="5"/>
      <c r="H326">
        <v>117096</v>
      </c>
      <c r="J326" s="3" t="s">
        <v>55</v>
      </c>
      <c r="K326" t="s">
        <v>43</v>
      </c>
      <c r="L326" t="s">
        <v>442</v>
      </c>
      <c r="M326" s="3">
        <v>57.05</v>
      </c>
      <c r="N326">
        <v>22.37</v>
      </c>
      <c r="O326">
        <v>60.71</v>
      </c>
      <c r="P326">
        <v>34.11</v>
      </c>
      <c r="Q326">
        <v>1002.24</v>
      </c>
      <c r="R326" s="28">
        <v>91.19</v>
      </c>
      <c r="S326" s="3">
        <f t="shared" si="62"/>
        <v>17.861212174117476</v>
      </c>
      <c r="T326" s="29">
        <f t="shared" si="66"/>
        <v>31.658174299855006</v>
      </c>
      <c r="U326">
        <v>174.64</v>
      </c>
      <c r="V326" s="29">
        <v>0.41</v>
      </c>
      <c r="W326" s="30">
        <f t="shared" si="67"/>
        <v>0.39215686274509809</v>
      </c>
      <c r="X326">
        <v>2.5499999999999998</v>
      </c>
      <c r="Y326" s="3">
        <v>0.39</v>
      </c>
      <c r="Z326" s="3">
        <v>0.65</v>
      </c>
      <c r="AA326">
        <v>56.58</v>
      </c>
      <c r="AB326">
        <v>34.74</v>
      </c>
      <c r="AC326">
        <v>56.14</v>
      </c>
      <c r="AD326">
        <v>36.72</v>
      </c>
      <c r="AE326">
        <v>1543.79</v>
      </c>
      <c r="AF326" s="30">
        <f t="shared" si="61"/>
        <v>39.291093138267357</v>
      </c>
      <c r="AG326">
        <v>153.97999999999999</v>
      </c>
      <c r="AH326">
        <v>0.82</v>
      </c>
      <c r="AI326" s="3">
        <f t="shared" si="65"/>
        <v>0.61349693251533743</v>
      </c>
      <c r="AJ326">
        <v>1.63</v>
      </c>
      <c r="AK326">
        <v>0.61</v>
      </c>
      <c r="AL326">
        <v>1</v>
      </c>
      <c r="AN326">
        <v>0</v>
      </c>
      <c r="AO326" s="3">
        <v>120</v>
      </c>
      <c r="AP326" s="3"/>
      <c r="AQ326" s="3">
        <v>94</v>
      </c>
      <c r="AR326" s="3">
        <f t="shared" si="60"/>
        <v>1.2765957446808511</v>
      </c>
      <c r="AS326" s="3"/>
      <c r="AT326" s="3"/>
      <c r="AU326" s="3"/>
      <c r="AV326" s="3"/>
      <c r="AW326" s="3"/>
    </row>
    <row r="327" spans="1:49" x14ac:dyDescent="0.25">
      <c r="B327" s="7" t="s">
        <v>443</v>
      </c>
      <c r="C327">
        <v>1151</v>
      </c>
      <c r="D327" s="7">
        <v>700</v>
      </c>
      <c r="E327" s="5"/>
      <c r="F327" s="5"/>
      <c r="G327" s="5"/>
      <c r="H327" s="7">
        <v>28763</v>
      </c>
      <c r="I327" s="42">
        <v>57526</v>
      </c>
      <c r="J327" s="20" t="b">
        <v>0</v>
      </c>
      <c r="K327" t="s">
        <v>43</v>
      </c>
      <c r="M327" s="3">
        <v>213.07</v>
      </c>
      <c r="N327">
        <v>133.02000000000001</v>
      </c>
      <c r="O327">
        <v>309.3</v>
      </c>
      <c r="P327">
        <v>209.8</v>
      </c>
      <c r="Q327">
        <v>22259.35</v>
      </c>
      <c r="R327" s="28">
        <v>1038.26</v>
      </c>
      <c r="S327" s="3">
        <f t="shared" si="62"/>
        <v>84.174646806655275</v>
      </c>
      <c r="T327" s="29">
        <f t="shared" si="66"/>
        <v>149.19567688106784</v>
      </c>
      <c r="U327">
        <v>1190.5</v>
      </c>
      <c r="V327" s="29">
        <v>0.2</v>
      </c>
      <c r="W327" s="30">
        <f t="shared" si="67"/>
        <v>0.625</v>
      </c>
      <c r="X327">
        <v>1.6</v>
      </c>
      <c r="Y327" s="3">
        <v>0.62</v>
      </c>
      <c r="Z327" s="3">
        <v>0.48</v>
      </c>
      <c r="AA327">
        <v>304.04000000000002</v>
      </c>
      <c r="AB327">
        <v>197.78</v>
      </c>
      <c r="AC327">
        <v>314.14</v>
      </c>
      <c r="AD327">
        <v>213.75</v>
      </c>
      <c r="AE327">
        <v>47228.6</v>
      </c>
      <c r="AF327" s="30">
        <f t="shared" si="61"/>
        <v>217.32142094142492</v>
      </c>
      <c r="AG327">
        <v>864.22</v>
      </c>
      <c r="AH327">
        <v>0.79</v>
      </c>
      <c r="AI327" s="3">
        <f t="shared" si="65"/>
        <v>0.64935064935064934</v>
      </c>
      <c r="AJ327">
        <v>1.54</v>
      </c>
      <c r="AK327">
        <v>0.65</v>
      </c>
      <c r="AL327">
        <v>0.99</v>
      </c>
      <c r="AN327">
        <v>0.66429578359189601</v>
      </c>
      <c r="AO327" s="3">
        <v>306.77999999999997</v>
      </c>
      <c r="AP327" s="3"/>
      <c r="AQ327" s="3">
        <v>197.18</v>
      </c>
      <c r="AR327" s="3">
        <f t="shared" si="60"/>
        <v>1.5558373060148085</v>
      </c>
      <c r="AS327" s="3"/>
      <c r="AT327" s="3"/>
      <c r="AU327" s="3"/>
      <c r="AV327" s="3"/>
      <c r="AW327" s="3"/>
    </row>
    <row r="328" spans="1:49" x14ac:dyDescent="0.25">
      <c r="B328" t="s">
        <v>444</v>
      </c>
      <c r="C328" s="6">
        <v>1151</v>
      </c>
      <c r="D328">
        <v>600</v>
      </c>
      <c r="E328" s="5"/>
      <c r="F328" s="5"/>
      <c r="G328" s="5"/>
      <c r="H328">
        <v>156863</v>
      </c>
      <c r="I328" s="28">
        <v>313726</v>
      </c>
      <c r="J328" t="b">
        <v>0</v>
      </c>
      <c r="K328" t="s">
        <v>43</v>
      </c>
      <c r="M328" s="3">
        <v>111.1</v>
      </c>
      <c r="N328">
        <v>63.55</v>
      </c>
      <c r="O328">
        <v>168.14</v>
      </c>
      <c r="P328">
        <v>79.34</v>
      </c>
      <c r="Q328">
        <v>5544.93</v>
      </c>
      <c r="R328" s="28">
        <v>731.84</v>
      </c>
      <c r="S328" s="3">
        <f t="shared" si="62"/>
        <v>42.011974926169401</v>
      </c>
      <c r="T328" s="29">
        <f t="shared" si="66"/>
        <v>74.464286742034943</v>
      </c>
      <c r="U328">
        <v>440.15</v>
      </c>
      <c r="V328" s="29">
        <v>0.36</v>
      </c>
      <c r="W328" s="30">
        <f t="shared" si="67"/>
        <v>0.5714285714285714</v>
      </c>
      <c r="X328">
        <v>1.75</v>
      </c>
      <c r="Y328" s="3">
        <v>0.56999999999999995</v>
      </c>
      <c r="Z328" s="3">
        <v>0.72</v>
      </c>
      <c r="AA328">
        <v>139.1</v>
      </c>
      <c r="AB328">
        <v>67.849999999999994</v>
      </c>
      <c r="AC328">
        <v>169.01</v>
      </c>
      <c r="AD328">
        <v>79.33</v>
      </c>
      <c r="AE328">
        <v>7412.47</v>
      </c>
      <c r="AF328" s="30">
        <f t="shared" si="61"/>
        <v>86.095702564065306</v>
      </c>
      <c r="AG328">
        <v>405.2</v>
      </c>
      <c r="AH328">
        <v>0.56999999999999995</v>
      </c>
      <c r="AI328" s="3">
        <f t="shared" si="65"/>
        <v>0.48780487804878053</v>
      </c>
      <c r="AJ328">
        <v>2.0499999999999998</v>
      </c>
      <c r="AK328">
        <v>0.49</v>
      </c>
      <c r="AL328">
        <v>0.95</v>
      </c>
      <c r="AN328">
        <v>0.7470920147982395</v>
      </c>
      <c r="AO328">
        <v>144.07</v>
      </c>
      <c r="AQ328">
        <v>128.59</v>
      </c>
      <c r="AR328" s="3">
        <f t="shared" si="60"/>
        <v>1.1203826114005755</v>
      </c>
      <c r="AS328" s="3"/>
      <c r="AT328" s="3"/>
      <c r="AU328" s="3"/>
      <c r="AV328" s="3"/>
      <c r="AW328" s="3"/>
    </row>
    <row r="329" spans="1:49" x14ac:dyDescent="0.25">
      <c r="B329" s="21" t="s">
        <v>445</v>
      </c>
      <c r="C329">
        <v>1151</v>
      </c>
      <c r="D329" s="21">
        <v>500</v>
      </c>
      <c r="E329" s="5"/>
      <c r="F329" s="5"/>
      <c r="G329" s="5"/>
      <c r="H329" s="21">
        <v>1036714</v>
      </c>
      <c r="I329" s="52">
        <v>2073428</v>
      </c>
      <c r="J329" s="21" t="s">
        <v>55</v>
      </c>
      <c r="K329" t="s">
        <v>43</v>
      </c>
      <c r="L329" t="s">
        <v>446</v>
      </c>
      <c r="M329" s="3">
        <v>138.01</v>
      </c>
      <c r="N329">
        <v>57.87</v>
      </c>
      <c r="O329">
        <v>175.55</v>
      </c>
      <c r="P329">
        <v>91.26</v>
      </c>
      <c r="Q329">
        <v>6272.74</v>
      </c>
      <c r="R329" s="28">
        <v>70.42</v>
      </c>
      <c r="S329" s="3">
        <f t="shared" si="62"/>
        <v>44.684171195855377</v>
      </c>
      <c r="T329" s="29">
        <f t="shared" si="66"/>
        <v>79.200631310615194</v>
      </c>
      <c r="U329">
        <v>501.23</v>
      </c>
      <c r="V329" s="29">
        <v>0.31</v>
      </c>
      <c r="W329" s="30">
        <f t="shared" si="67"/>
        <v>0.42016806722689076</v>
      </c>
      <c r="X329">
        <v>2.38</v>
      </c>
      <c r="Y329" s="3">
        <v>0.42</v>
      </c>
      <c r="Z329" s="3">
        <v>0.61</v>
      </c>
      <c r="AA329">
        <v>161.16</v>
      </c>
      <c r="AB329">
        <v>81.459999999999994</v>
      </c>
      <c r="AC329">
        <v>176.35</v>
      </c>
      <c r="AD329">
        <v>91.72</v>
      </c>
      <c r="AE329">
        <v>10311.049999999999</v>
      </c>
      <c r="AF329" s="30">
        <f t="shared" si="61"/>
        <v>101.54334050049762</v>
      </c>
      <c r="AG329">
        <v>420.2</v>
      </c>
      <c r="AH329">
        <v>0.59</v>
      </c>
      <c r="AI329" s="3">
        <f t="shared" si="65"/>
        <v>0.50505050505050508</v>
      </c>
      <c r="AJ329">
        <v>1.98</v>
      </c>
      <c r="AK329">
        <v>0.51</v>
      </c>
      <c r="AL329">
        <v>1</v>
      </c>
      <c r="AN329">
        <v>0.65108942946067938</v>
      </c>
      <c r="AO329">
        <v>174.11</v>
      </c>
      <c r="AQ329">
        <v>94.87</v>
      </c>
      <c r="AR329" s="3">
        <f t="shared" si="60"/>
        <v>1.8352482344260568</v>
      </c>
      <c r="AS329" s="3"/>
      <c r="AT329" s="3"/>
      <c r="AU329" s="3"/>
      <c r="AV329" s="3"/>
      <c r="AW329" s="3"/>
    </row>
    <row r="330" spans="1:49" x14ac:dyDescent="0.25">
      <c r="B330" t="s">
        <v>447</v>
      </c>
      <c r="C330">
        <v>1162</v>
      </c>
      <c r="D330">
        <v>700</v>
      </c>
      <c r="E330" s="5"/>
      <c r="F330" s="5"/>
      <c r="G330" s="5"/>
      <c r="H330">
        <v>35133</v>
      </c>
      <c r="I330" s="28">
        <v>70266</v>
      </c>
      <c r="J330" t="b">
        <v>0</v>
      </c>
      <c r="K330" t="s">
        <v>43</v>
      </c>
      <c r="M330" s="3">
        <v>159.47</v>
      </c>
      <c r="N330">
        <v>116.98</v>
      </c>
      <c r="O330">
        <v>231.51</v>
      </c>
      <c r="P330">
        <v>173.56</v>
      </c>
      <c r="Q330">
        <v>14651.12</v>
      </c>
      <c r="R330" s="28">
        <v>1683.75</v>
      </c>
      <c r="S330" s="3">
        <f t="shared" si="62"/>
        <v>68.290528916278419</v>
      </c>
      <c r="T330" s="29">
        <f t="shared" si="66"/>
        <v>121.04181095803219</v>
      </c>
      <c r="U330">
        <v>1019.5</v>
      </c>
      <c r="V330" s="29">
        <v>0.18</v>
      </c>
      <c r="W330" s="30">
        <f t="shared" si="67"/>
        <v>0.73529411764705876</v>
      </c>
      <c r="X330">
        <v>1.36</v>
      </c>
      <c r="Y330" s="3">
        <v>0.73</v>
      </c>
      <c r="Z330" s="3">
        <v>0.55000000000000004</v>
      </c>
      <c r="AA330">
        <v>207.17</v>
      </c>
      <c r="AB330">
        <v>165.17</v>
      </c>
      <c r="AC330">
        <v>236.84</v>
      </c>
      <c r="AD330">
        <v>173.31</v>
      </c>
      <c r="AE330">
        <v>26874.53</v>
      </c>
      <c r="AF330" s="30">
        <f t="shared" si="61"/>
        <v>163.9345296147215</v>
      </c>
      <c r="AG330">
        <v>656.44</v>
      </c>
      <c r="AH330">
        <v>0.78</v>
      </c>
      <c r="AI330" s="3">
        <f t="shared" si="65"/>
        <v>0.8</v>
      </c>
      <c r="AJ330">
        <v>1.25</v>
      </c>
      <c r="AK330">
        <v>0.8</v>
      </c>
      <c r="AL330">
        <v>0.98</v>
      </c>
      <c r="AN330">
        <v>0.80080142501536189</v>
      </c>
      <c r="AO330">
        <v>226.04</v>
      </c>
      <c r="AQ330">
        <v>183.38</v>
      </c>
      <c r="AR330" s="3">
        <f t="shared" si="60"/>
        <v>1.2326316937506816</v>
      </c>
      <c r="AS330" s="3"/>
      <c r="AT330" s="3"/>
      <c r="AU330" s="3"/>
      <c r="AV330" s="3"/>
      <c r="AW330" s="3"/>
    </row>
    <row r="331" spans="1:49" x14ac:dyDescent="0.25">
      <c r="B331" s="16" t="s">
        <v>448</v>
      </c>
      <c r="C331" s="14">
        <v>1162</v>
      </c>
      <c r="D331" s="16">
        <v>600</v>
      </c>
      <c r="E331" s="5"/>
      <c r="F331" s="5"/>
      <c r="G331" s="5"/>
      <c r="H331" s="16">
        <v>26656</v>
      </c>
      <c r="I331" s="48">
        <v>53312</v>
      </c>
      <c r="J331" s="16" t="s">
        <v>55</v>
      </c>
      <c r="K331" t="s">
        <v>43</v>
      </c>
      <c r="M331" s="3">
        <v>205.79</v>
      </c>
      <c r="N331">
        <v>54.84</v>
      </c>
      <c r="O331">
        <v>213.2</v>
      </c>
      <c r="P331">
        <v>70.56</v>
      </c>
      <c r="Q331">
        <v>8863.09</v>
      </c>
      <c r="R331" s="28">
        <v>9.74</v>
      </c>
      <c r="S331" s="3">
        <f t="shared" si="62"/>
        <v>53.115055955319235</v>
      </c>
      <c r="T331" s="29">
        <f t="shared" si="66"/>
        <v>94.143985469067545</v>
      </c>
      <c r="U331">
        <v>586.44000000000005</v>
      </c>
      <c r="V331" s="29">
        <v>0.32</v>
      </c>
      <c r="W331" s="30">
        <f t="shared" si="67"/>
        <v>0.26666666666666666</v>
      </c>
      <c r="X331">
        <v>3.75</v>
      </c>
      <c r="Y331" s="3">
        <v>0.27</v>
      </c>
      <c r="Z331" s="3">
        <v>0.71</v>
      </c>
      <c r="AA331">
        <v>234.54</v>
      </c>
      <c r="AB331">
        <v>99.18</v>
      </c>
      <c r="AC331">
        <v>227.09</v>
      </c>
      <c r="AD331">
        <v>97.54</v>
      </c>
      <c r="AE331">
        <v>18268.97</v>
      </c>
      <c r="AF331" s="30">
        <f t="shared" si="61"/>
        <v>135.16275374525335</v>
      </c>
      <c r="AG331">
        <v>577.67999999999995</v>
      </c>
      <c r="AH331">
        <v>0.69</v>
      </c>
      <c r="AI331" s="3">
        <f t="shared" si="65"/>
        <v>0.42372881355932207</v>
      </c>
      <c r="AJ331">
        <v>2.36</v>
      </c>
      <c r="AK331">
        <v>0.42</v>
      </c>
      <c r="AL331">
        <v>1</v>
      </c>
      <c r="AN331">
        <v>0.55287577967557389</v>
      </c>
      <c r="AO331">
        <v>209.79</v>
      </c>
      <c r="AQ331">
        <v>88.03</v>
      </c>
      <c r="AR331" s="3">
        <f t="shared" si="60"/>
        <v>2.3831648301715322</v>
      </c>
    </row>
    <row r="332" spans="1:49" x14ac:dyDescent="0.25">
      <c r="B332" s="6" t="s">
        <v>449</v>
      </c>
      <c r="C332" s="8">
        <v>1162</v>
      </c>
      <c r="D332" s="6">
        <v>500</v>
      </c>
      <c r="E332" s="5"/>
      <c r="F332" s="5"/>
      <c r="G332" s="5"/>
      <c r="H332" s="6">
        <v>533034</v>
      </c>
      <c r="I332" s="39">
        <v>1066068</v>
      </c>
      <c r="J332" s="6" t="b">
        <v>0</v>
      </c>
      <c r="K332" t="s">
        <v>43</v>
      </c>
      <c r="M332" s="3">
        <v>145.1</v>
      </c>
      <c r="N332">
        <v>69.13</v>
      </c>
      <c r="O332">
        <v>165.6</v>
      </c>
      <c r="P332">
        <v>71.849999999999994</v>
      </c>
      <c r="Q332">
        <v>7877.89</v>
      </c>
      <c r="R332" s="28">
        <v>441.97</v>
      </c>
      <c r="S332" s="3">
        <f t="shared" si="62"/>
        <v>50.076044864470106</v>
      </c>
      <c r="T332" s="29">
        <f t="shared" si="66"/>
        <v>88.757478558147426</v>
      </c>
      <c r="U332">
        <v>403.62</v>
      </c>
      <c r="V332" s="29">
        <v>0.61</v>
      </c>
      <c r="W332" s="30">
        <f t="shared" si="67"/>
        <v>0.47619047619047616</v>
      </c>
      <c r="X332">
        <v>2.1</v>
      </c>
      <c r="Y332" s="3">
        <v>0.48</v>
      </c>
      <c r="Z332" s="3">
        <v>0.91</v>
      </c>
      <c r="AA332">
        <v>152.5</v>
      </c>
      <c r="AB332">
        <v>73.31</v>
      </c>
      <c r="AC332">
        <v>166.69</v>
      </c>
      <c r="AD332">
        <v>73.14</v>
      </c>
      <c r="AE332">
        <v>8780.16</v>
      </c>
      <c r="AF332" s="30">
        <f t="shared" si="61"/>
        <v>93.702507970704815</v>
      </c>
      <c r="AG332">
        <v>392.08</v>
      </c>
      <c r="AH332">
        <v>0.72</v>
      </c>
      <c r="AI332" s="3">
        <f t="shared" si="65"/>
        <v>0.48076923076923073</v>
      </c>
      <c r="AJ332">
        <v>2.08</v>
      </c>
      <c r="AK332">
        <v>0.48</v>
      </c>
      <c r="AL332">
        <v>1</v>
      </c>
      <c r="AN332">
        <v>0.70204458741120179</v>
      </c>
      <c r="AO332">
        <v>167.46</v>
      </c>
      <c r="AQ332">
        <v>81.58</v>
      </c>
      <c r="AR332" s="3">
        <f t="shared" si="60"/>
        <v>2.0527089973032608</v>
      </c>
      <c r="AS332" s="3"/>
      <c r="AT332" s="3"/>
      <c r="AU332" s="3"/>
      <c r="AV332" s="3"/>
      <c r="AW332" s="3"/>
    </row>
    <row r="333" spans="1:49" x14ac:dyDescent="0.25">
      <c r="B333" s="21" t="s">
        <v>450</v>
      </c>
      <c r="C333" s="10">
        <v>1162</v>
      </c>
      <c r="D333" s="21">
        <v>500</v>
      </c>
      <c r="E333" s="5"/>
      <c r="F333" s="5"/>
      <c r="G333" s="5"/>
      <c r="H333" s="21">
        <v>262682</v>
      </c>
      <c r="I333" s="52">
        <v>525364</v>
      </c>
      <c r="J333" s="21" t="s">
        <v>55</v>
      </c>
      <c r="K333" t="s">
        <v>43</v>
      </c>
      <c r="L333" t="s">
        <v>367</v>
      </c>
      <c r="M333" s="3">
        <v>165.53</v>
      </c>
      <c r="N333">
        <v>75.33</v>
      </c>
      <c r="O333">
        <v>203.11</v>
      </c>
      <c r="P333">
        <v>118.24</v>
      </c>
      <c r="Q333">
        <v>9793.14</v>
      </c>
      <c r="R333" s="28">
        <v>9.23</v>
      </c>
      <c r="S333" s="3">
        <f t="shared" si="62"/>
        <v>55.832367662332999</v>
      </c>
      <c r="T333" s="29">
        <f t="shared" si="66"/>
        <v>98.960295068274732</v>
      </c>
      <c r="U333">
        <v>703.09</v>
      </c>
      <c r="V333" s="29">
        <v>0.25</v>
      </c>
      <c r="W333" s="30">
        <f t="shared" si="67"/>
        <v>0.45454545454545453</v>
      </c>
      <c r="X333">
        <v>2.2000000000000002</v>
      </c>
      <c r="Y333" s="3">
        <v>0.46</v>
      </c>
      <c r="Z333" s="3">
        <v>0.55000000000000004</v>
      </c>
      <c r="AA333">
        <v>215.2</v>
      </c>
      <c r="AB333">
        <v>144.81</v>
      </c>
      <c r="AC333">
        <v>235.86</v>
      </c>
      <c r="AD333">
        <v>142.71</v>
      </c>
      <c r="AE333">
        <v>24475.27</v>
      </c>
      <c r="AF333" s="30">
        <f t="shared" si="61"/>
        <v>156.44574139298263</v>
      </c>
      <c r="AG333">
        <v>622.71</v>
      </c>
      <c r="AH333">
        <v>0.79</v>
      </c>
      <c r="AI333" s="3">
        <f t="shared" si="65"/>
        <v>0.67114093959731547</v>
      </c>
      <c r="AJ333">
        <v>1.49</v>
      </c>
      <c r="AK333">
        <v>0.67</v>
      </c>
      <c r="AL333">
        <v>1</v>
      </c>
      <c r="AN333">
        <v>0.64001740899375925</v>
      </c>
      <c r="AO333">
        <v>141.22999999999999</v>
      </c>
      <c r="AQ333">
        <v>212.31</v>
      </c>
      <c r="AR333" s="3">
        <f t="shared" si="60"/>
        <v>0.6652065376100984</v>
      </c>
    </row>
    <row r="334" spans="1:49" x14ac:dyDescent="0.25">
      <c r="B334" t="s">
        <v>451</v>
      </c>
      <c r="C334" s="14">
        <v>1162</v>
      </c>
      <c r="D334">
        <v>600</v>
      </c>
      <c r="E334" s="5"/>
      <c r="F334" s="5"/>
      <c r="G334" s="5"/>
      <c r="H334">
        <v>104823</v>
      </c>
      <c r="I334" s="28">
        <v>209646</v>
      </c>
      <c r="J334" t="b">
        <v>0</v>
      </c>
      <c r="K334" t="s">
        <v>43</v>
      </c>
      <c r="M334" s="3">
        <v>160.59</v>
      </c>
      <c r="N334">
        <v>62.23</v>
      </c>
      <c r="O334">
        <v>173.86</v>
      </c>
      <c r="P334">
        <v>87.36</v>
      </c>
      <c r="Q334">
        <v>7848.38</v>
      </c>
      <c r="R334" s="28">
        <v>1120.9000000000001</v>
      </c>
      <c r="S334" s="3">
        <f t="shared" si="62"/>
        <v>49.982166264850299</v>
      </c>
      <c r="T334" s="29">
        <f t="shared" si="66"/>
        <v>88.591083072733682</v>
      </c>
      <c r="U334">
        <v>586.08000000000004</v>
      </c>
      <c r="V334" s="29">
        <v>0.28999999999999998</v>
      </c>
      <c r="W334" s="30">
        <f t="shared" si="67"/>
        <v>0.38759689922480617</v>
      </c>
      <c r="X334">
        <v>2.58</v>
      </c>
      <c r="Y334" s="3">
        <v>0.39</v>
      </c>
      <c r="Z334" s="3">
        <v>0.68</v>
      </c>
      <c r="AA334">
        <v>176.4</v>
      </c>
      <c r="AB334">
        <v>85.21</v>
      </c>
      <c r="AC334">
        <v>174.4</v>
      </c>
      <c r="AD334">
        <v>88.93</v>
      </c>
      <c r="AE334">
        <v>11805.19</v>
      </c>
      <c r="AF334" s="30">
        <f t="shared" si="61"/>
        <v>108.65169119714612</v>
      </c>
      <c r="AG334">
        <v>448.43</v>
      </c>
      <c r="AH334">
        <v>88.93</v>
      </c>
      <c r="AI334" s="3">
        <f t="shared" si="65"/>
        <v>0.48309178743961356</v>
      </c>
      <c r="AJ334">
        <v>2.0699999999999998</v>
      </c>
      <c r="AK334">
        <v>0.48</v>
      </c>
      <c r="AL334">
        <v>1</v>
      </c>
      <c r="AN334">
        <v>0.56508060801629723</v>
      </c>
      <c r="AO334">
        <v>102.9</v>
      </c>
      <c r="AQ334">
        <v>164.18</v>
      </c>
      <c r="AR334" s="3">
        <f t="shared" si="60"/>
        <v>0.6267511268120356</v>
      </c>
      <c r="AS334" s="3"/>
      <c r="AT334" s="3"/>
      <c r="AU334" s="3"/>
      <c r="AV334" s="3"/>
      <c r="AW334" s="3"/>
    </row>
    <row r="335" spans="1:49" x14ac:dyDescent="0.25">
      <c r="B335" s="59" t="s">
        <v>452</v>
      </c>
      <c r="C335">
        <v>1162</v>
      </c>
      <c r="D335" s="14">
        <v>700</v>
      </c>
      <c r="E335" s="5"/>
      <c r="F335" s="5"/>
      <c r="G335" s="46"/>
      <c r="H335" s="14">
        <v>15036</v>
      </c>
      <c r="I335" s="47">
        <v>30072</v>
      </c>
      <c r="J335" s="14" t="s">
        <v>55</v>
      </c>
      <c r="K335" t="s">
        <v>43</v>
      </c>
      <c r="L335" t="s">
        <v>335</v>
      </c>
      <c r="M335" s="3">
        <v>129.28</v>
      </c>
      <c r="N335">
        <v>45.64</v>
      </c>
      <c r="O335">
        <v>171.43</v>
      </c>
      <c r="P335">
        <v>82.31</v>
      </c>
      <c r="Q335">
        <v>4634.3999999999996</v>
      </c>
      <c r="R335" s="28">
        <v>0</v>
      </c>
      <c r="S335" s="3">
        <f t="shared" si="62"/>
        <v>38.408011358701707</v>
      </c>
      <c r="T335" s="29">
        <f t="shared" si="66"/>
        <v>68.076427638353636</v>
      </c>
      <c r="U335">
        <v>498.92</v>
      </c>
      <c r="V335" s="29">
        <v>0.23</v>
      </c>
      <c r="W335" s="30">
        <f t="shared" si="67"/>
        <v>0.35335689045936397</v>
      </c>
      <c r="X335">
        <v>2.83</v>
      </c>
      <c r="Y335" s="3">
        <v>0.35</v>
      </c>
      <c r="Z335" s="3">
        <v>0.44</v>
      </c>
      <c r="AA335">
        <v>184.5</v>
      </c>
      <c r="AB335">
        <v>85.54</v>
      </c>
      <c r="AC335">
        <v>182.57</v>
      </c>
      <c r="AD335">
        <v>87.55</v>
      </c>
      <c r="AE335">
        <v>12395.02</v>
      </c>
      <c r="AF335" s="30">
        <f t="shared" si="61"/>
        <v>111.33292415094468</v>
      </c>
      <c r="AG335">
        <v>474.66</v>
      </c>
      <c r="AH335">
        <v>0.69</v>
      </c>
      <c r="AI335" s="3">
        <f t="shared" si="65"/>
        <v>0.46296296296296291</v>
      </c>
      <c r="AJ335">
        <v>2.16</v>
      </c>
      <c r="AK335">
        <v>0.46</v>
      </c>
      <c r="AL335">
        <v>0.99</v>
      </c>
      <c r="AN335">
        <v>0.59547476260520327</v>
      </c>
      <c r="AO335">
        <v>165.51</v>
      </c>
      <c r="AQ335">
        <v>86.49</v>
      </c>
      <c r="AR335" s="3">
        <f t="shared" si="60"/>
        <v>1.9136316337148804</v>
      </c>
    </row>
    <row r="336" spans="1:49" x14ac:dyDescent="0.25">
      <c r="B336" s="16" t="s">
        <v>453</v>
      </c>
      <c r="C336">
        <v>1162</v>
      </c>
      <c r="D336" s="16">
        <v>700</v>
      </c>
      <c r="E336" s="5"/>
      <c r="F336" s="5"/>
      <c r="G336" s="46"/>
      <c r="H336" s="16">
        <v>23032</v>
      </c>
      <c r="I336" s="48">
        <v>46064</v>
      </c>
      <c r="J336" s="16" t="s">
        <v>55</v>
      </c>
      <c r="K336" t="s">
        <v>43</v>
      </c>
      <c r="M336" s="3">
        <v>69.510000000000005</v>
      </c>
      <c r="N336">
        <v>28.53</v>
      </c>
      <c r="O336">
        <v>74.69</v>
      </c>
      <c r="P336">
        <v>31.57</v>
      </c>
      <c r="Q336">
        <v>1557.51</v>
      </c>
      <c r="R336" s="28">
        <v>0</v>
      </c>
      <c r="S336" s="3">
        <f t="shared" si="62"/>
        <v>22.265911857144225</v>
      </c>
      <c r="T336" s="29">
        <f t="shared" si="66"/>
        <v>39.465301215118075</v>
      </c>
      <c r="U336">
        <v>180.18</v>
      </c>
      <c r="V336" s="29">
        <v>0.6</v>
      </c>
      <c r="W336" s="30">
        <f t="shared" si="67"/>
        <v>0.4098360655737705</v>
      </c>
      <c r="X336">
        <v>2.44</v>
      </c>
      <c r="Y336" s="3">
        <v>0.41</v>
      </c>
      <c r="Z336" s="3">
        <v>0.97</v>
      </c>
      <c r="AA336">
        <v>67.52</v>
      </c>
      <c r="AB336">
        <v>53.62</v>
      </c>
      <c r="AC336">
        <v>77.040000000000006</v>
      </c>
      <c r="AD336">
        <v>54.92</v>
      </c>
      <c r="AE336">
        <v>2843.48</v>
      </c>
      <c r="AF336" s="30">
        <f t="shared" si="61"/>
        <v>53.324290900114178</v>
      </c>
      <c r="AG336">
        <v>207.35</v>
      </c>
      <c r="AH336">
        <v>0.83</v>
      </c>
      <c r="AI336" s="3">
        <f t="shared" si="65"/>
        <v>0.79365079365079361</v>
      </c>
      <c r="AJ336">
        <v>1.26</v>
      </c>
      <c r="AK336">
        <v>0.49</v>
      </c>
      <c r="AL336">
        <v>1</v>
      </c>
      <c r="AN336">
        <v>0.64726902624486771</v>
      </c>
      <c r="AO336">
        <v>54.84</v>
      </c>
      <c r="AQ336">
        <v>58.47</v>
      </c>
      <c r="AR336" s="3">
        <f t="shared" si="60"/>
        <v>0.93791688045151367</v>
      </c>
    </row>
    <row r="337" spans="2:49" x14ac:dyDescent="0.25">
      <c r="B337" s="14" t="s">
        <v>454</v>
      </c>
      <c r="C337" s="14">
        <v>1162</v>
      </c>
      <c r="D337" s="14">
        <v>600</v>
      </c>
      <c r="E337" s="5"/>
      <c r="F337" s="5"/>
      <c r="G337" s="5"/>
      <c r="H337" s="14">
        <v>136248</v>
      </c>
      <c r="I337" s="47">
        <v>272496</v>
      </c>
      <c r="J337" s="17" t="s">
        <v>55</v>
      </c>
      <c r="K337" t="s">
        <v>43</v>
      </c>
      <c r="M337" s="3">
        <v>42.83</v>
      </c>
      <c r="N337">
        <v>24.69</v>
      </c>
      <c r="O337">
        <v>59.2</v>
      </c>
      <c r="P337">
        <v>36.99</v>
      </c>
      <c r="Q337">
        <v>830.32</v>
      </c>
      <c r="R337" s="28">
        <v>0</v>
      </c>
      <c r="S337" s="3">
        <f t="shared" si="62"/>
        <v>16.257277284223367</v>
      </c>
      <c r="T337" s="29">
        <f t="shared" si="66"/>
        <v>28.815273727660475</v>
      </c>
      <c r="U337">
        <v>169.03</v>
      </c>
      <c r="V337" s="29">
        <v>0.37</v>
      </c>
      <c r="W337" s="30">
        <f t="shared" si="67"/>
        <v>0.5780346820809249</v>
      </c>
      <c r="X337">
        <v>1.73</v>
      </c>
      <c r="Y337" s="3">
        <v>0.57999999999999996</v>
      </c>
      <c r="Z337" s="3">
        <v>0.65</v>
      </c>
      <c r="AA337">
        <v>62.87</v>
      </c>
      <c r="AB337">
        <v>40.61</v>
      </c>
      <c r="AC337">
        <v>71.05</v>
      </c>
      <c r="AD337">
        <v>44.51</v>
      </c>
      <c r="AE337">
        <v>2004.98</v>
      </c>
      <c r="AF337" s="30">
        <f t="shared" si="61"/>
        <v>44.777003026107053</v>
      </c>
      <c r="AG337">
        <v>185.03</v>
      </c>
      <c r="AH337">
        <v>0.74</v>
      </c>
      <c r="AI337" s="3">
        <f t="shared" si="65"/>
        <v>0.64516129032258063</v>
      </c>
      <c r="AJ337">
        <v>1.55</v>
      </c>
      <c r="AK337">
        <v>0.65</v>
      </c>
      <c r="AL337">
        <v>1</v>
      </c>
      <c r="AN337">
        <v>0.74710879358661397</v>
      </c>
      <c r="AO337">
        <v>48.68</v>
      </c>
      <c r="AQ337">
        <v>45.96</v>
      </c>
      <c r="AR337" s="3">
        <f t="shared" si="60"/>
        <v>1.0591818973020017</v>
      </c>
    </row>
    <row r="338" spans="2:49" x14ac:dyDescent="0.25">
      <c r="B338" t="s">
        <v>455</v>
      </c>
      <c r="C338" s="10">
        <v>1162</v>
      </c>
      <c r="D338">
        <v>500</v>
      </c>
      <c r="E338" s="5"/>
      <c r="F338" s="5"/>
      <c r="G338" s="5"/>
      <c r="H338">
        <v>3330389</v>
      </c>
      <c r="I338" s="28">
        <v>6660778</v>
      </c>
      <c r="J338" t="b">
        <v>0</v>
      </c>
      <c r="K338" t="s">
        <v>43</v>
      </c>
      <c r="M338" s="3">
        <v>89.42</v>
      </c>
      <c r="N338">
        <v>35.840000000000003</v>
      </c>
      <c r="O338">
        <v>90.52</v>
      </c>
      <c r="P338">
        <v>38.85</v>
      </c>
      <c r="Q338">
        <v>2516.88</v>
      </c>
      <c r="R338" s="28">
        <v>428.2</v>
      </c>
      <c r="S338" s="3">
        <f t="shared" si="62"/>
        <v>28.304554162506413</v>
      </c>
      <c r="T338" s="29">
        <f t="shared" si="66"/>
        <v>50.168516023498242</v>
      </c>
      <c r="U338">
        <v>220.19</v>
      </c>
      <c r="V338" s="29">
        <v>0.65</v>
      </c>
      <c r="W338" s="30">
        <f t="shared" si="67"/>
        <v>0.4</v>
      </c>
      <c r="X338">
        <v>2.5</v>
      </c>
      <c r="Y338" s="3">
        <v>0.4</v>
      </c>
      <c r="Z338" s="3">
        <v>0.91</v>
      </c>
      <c r="AA338">
        <v>90.25</v>
      </c>
      <c r="AB338">
        <v>40.369999999999997</v>
      </c>
      <c r="AC338">
        <v>92.43</v>
      </c>
      <c r="AD338">
        <v>40.21</v>
      </c>
      <c r="AE338">
        <v>2861.3</v>
      </c>
      <c r="AF338" s="30">
        <f t="shared" si="61"/>
        <v>53.491120758495988</v>
      </c>
      <c r="AG338">
        <v>222.68</v>
      </c>
      <c r="AH338">
        <v>0.73</v>
      </c>
      <c r="AI338" s="3">
        <f t="shared" si="65"/>
        <v>0.4464285714285714</v>
      </c>
      <c r="AJ338">
        <v>2.2400000000000002</v>
      </c>
      <c r="AK338">
        <v>0.45</v>
      </c>
      <c r="AL338">
        <v>1</v>
      </c>
      <c r="AN338">
        <v>0.62804999176636633</v>
      </c>
      <c r="AO338">
        <v>90.65</v>
      </c>
      <c r="AQ338">
        <v>48.5</v>
      </c>
      <c r="AR338" s="3">
        <f t="shared" si="60"/>
        <v>1.8690721649484536</v>
      </c>
      <c r="AS338" s="3"/>
      <c r="AT338" s="3"/>
      <c r="AU338" s="3"/>
      <c r="AV338" s="3"/>
      <c r="AW338" s="3"/>
    </row>
    <row r="339" spans="2:49" x14ac:dyDescent="0.25">
      <c r="B339" s="14" t="s">
        <v>456</v>
      </c>
      <c r="C339">
        <v>1162</v>
      </c>
      <c r="D339" s="14">
        <v>700</v>
      </c>
      <c r="E339" s="5"/>
      <c r="F339" s="5"/>
      <c r="G339" s="46"/>
      <c r="H339" s="14">
        <v>31695</v>
      </c>
      <c r="I339" s="47">
        <v>63390</v>
      </c>
      <c r="J339" s="14" t="s">
        <v>55</v>
      </c>
      <c r="K339" t="s">
        <v>64</v>
      </c>
      <c r="L339" t="s">
        <v>393</v>
      </c>
      <c r="M339" s="3">
        <v>42.34</v>
      </c>
      <c r="N339">
        <v>22.6</v>
      </c>
      <c r="O339">
        <v>42.33</v>
      </c>
      <c r="P339">
        <v>24.75</v>
      </c>
      <c r="Q339">
        <v>751.6</v>
      </c>
      <c r="R339" s="28">
        <v>0</v>
      </c>
      <c r="S339" s="3">
        <f t="shared" si="62"/>
        <v>15.46744033302657</v>
      </c>
      <c r="T339" s="29">
        <f t="shared" si="66"/>
        <v>27.415324181924241</v>
      </c>
      <c r="U339">
        <v>115.91</v>
      </c>
      <c r="V339" s="29">
        <v>0.7</v>
      </c>
      <c r="W339" s="30">
        <f t="shared" si="67"/>
        <v>0.53475935828876997</v>
      </c>
      <c r="X339">
        <v>1.87</v>
      </c>
      <c r="Y339" s="3">
        <v>0.53</v>
      </c>
      <c r="Z339" s="3">
        <v>0.89</v>
      </c>
      <c r="AA339">
        <v>45.9</v>
      </c>
      <c r="AB339">
        <v>35.25</v>
      </c>
      <c r="AC339">
        <v>47.99</v>
      </c>
      <c r="AD339">
        <v>29.5</v>
      </c>
      <c r="AE339">
        <v>1090.5999999999999</v>
      </c>
      <c r="AF339" s="30">
        <f t="shared" si="61"/>
        <v>33.024233526306098</v>
      </c>
      <c r="AG339">
        <v>129.22</v>
      </c>
      <c r="AH339">
        <v>0.82</v>
      </c>
      <c r="AI339" s="3">
        <f t="shared" si="65"/>
        <v>0.65789473684210531</v>
      </c>
      <c r="AJ339">
        <v>1.52</v>
      </c>
      <c r="AK339">
        <v>0.66</v>
      </c>
      <c r="AL339">
        <v>1</v>
      </c>
      <c r="AN339">
        <v>0.7595658299689636</v>
      </c>
      <c r="AO339">
        <v>42.27</v>
      </c>
      <c r="AQ339">
        <v>28.86</v>
      </c>
      <c r="AR339" s="3">
        <f t="shared" si="60"/>
        <v>1.4646569646569647</v>
      </c>
    </row>
    <row r="340" spans="2:49" x14ac:dyDescent="0.25">
      <c r="B340" s="7" t="s">
        <v>457</v>
      </c>
      <c r="C340">
        <v>1162</v>
      </c>
      <c r="D340" s="7">
        <v>600</v>
      </c>
      <c r="E340" s="5"/>
      <c r="F340" s="5"/>
      <c r="G340" s="5"/>
      <c r="H340" s="7">
        <v>159482</v>
      </c>
      <c r="I340" s="42">
        <v>318964</v>
      </c>
      <c r="J340" s="7" t="s">
        <v>55</v>
      </c>
      <c r="K340" t="s">
        <v>43</v>
      </c>
      <c r="L340" t="s">
        <v>362</v>
      </c>
      <c r="M340" s="3">
        <v>97.84</v>
      </c>
      <c r="N340">
        <v>53.47</v>
      </c>
      <c r="O340">
        <v>121.62</v>
      </c>
      <c r="P340">
        <v>68.599999999999994</v>
      </c>
      <c r="Q340">
        <v>4108.43</v>
      </c>
      <c r="R340" s="28">
        <v>79.52</v>
      </c>
      <c r="S340" s="3">
        <f t="shared" si="62"/>
        <v>36.162879941924857</v>
      </c>
      <c r="T340" s="29">
        <f t="shared" si="66"/>
        <v>64.097035812898554</v>
      </c>
      <c r="U340">
        <v>327.66000000000003</v>
      </c>
      <c r="V340" s="29">
        <v>0.48</v>
      </c>
      <c r="W340" s="30">
        <f t="shared" si="67"/>
        <v>0.54644808743169393</v>
      </c>
      <c r="X340">
        <v>1.83</v>
      </c>
      <c r="Y340" s="3">
        <v>0.55000000000000004</v>
      </c>
      <c r="Z340" s="3">
        <v>0.77</v>
      </c>
      <c r="AA340">
        <v>106.91</v>
      </c>
      <c r="AB340">
        <v>64.55</v>
      </c>
      <c r="AC340">
        <v>122.39</v>
      </c>
      <c r="AD340">
        <v>67.87</v>
      </c>
      <c r="AE340">
        <v>5419.71</v>
      </c>
      <c r="AF340" s="30">
        <f t="shared" si="61"/>
        <v>73.61867969476225</v>
      </c>
      <c r="AG340">
        <v>302.39999999999998</v>
      </c>
      <c r="AH340">
        <v>0.74</v>
      </c>
      <c r="AI340" s="3">
        <f t="shared" si="65"/>
        <v>0.60240963855421692</v>
      </c>
      <c r="AJ340">
        <v>1.66</v>
      </c>
      <c r="AK340">
        <v>0.6</v>
      </c>
      <c r="AL340">
        <v>1</v>
      </c>
      <c r="AN340">
        <v>0.71339401392788826</v>
      </c>
      <c r="AO340">
        <v>76.3</v>
      </c>
      <c r="AQ340">
        <v>119.55</v>
      </c>
      <c r="AR340" s="3">
        <f t="shared" si="60"/>
        <v>0.63822668339606858</v>
      </c>
      <c r="AS340" s="3"/>
      <c r="AT340" s="3"/>
      <c r="AU340" s="3"/>
      <c r="AV340" s="3"/>
      <c r="AW340" s="3"/>
    </row>
    <row r="341" spans="2:49" x14ac:dyDescent="0.25">
      <c r="B341" t="s">
        <v>458</v>
      </c>
      <c r="C341">
        <v>1162</v>
      </c>
      <c r="D341">
        <v>500</v>
      </c>
      <c r="E341" s="5"/>
      <c r="F341" s="5"/>
      <c r="G341" s="5"/>
      <c r="H341">
        <v>3908201</v>
      </c>
      <c r="I341" s="28">
        <v>7816402</v>
      </c>
      <c r="J341" t="b">
        <v>0</v>
      </c>
      <c r="K341" t="s">
        <v>43</v>
      </c>
      <c r="M341" s="3">
        <v>88.24</v>
      </c>
      <c r="N341">
        <v>20.8</v>
      </c>
      <c r="O341">
        <v>105.81</v>
      </c>
      <c r="P341">
        <v>32.74</v>
      </c>
      <c r="Q341">
        <v>1441.53</v>
      </c>
      <c r="R341" s="28">
        <v>92.3</v>
      </c>
      <c r="S341" s="3">
        <f t="shared" si="62"/>
        <v>21.420860165514359</v>
      </c>
      <c r="T341" s="29">
        <f t="shared" si="66"/>
        <v>37.967486090074495</v>
      </c>
      <c r="U341">
        <v>259.83</v>
      </c>
      <c r="V341" s="29">
        <v>0.27</v>
      </c>
      <c r="W341" s="30">
        <f t="shared" si="67"/>
        <v>0.23584905660377356</v>
      </c>
      <c r="X341">
        <v>4.24</v>
      </c>
      <c r="Y341" s="3">
        <v>0.24</v>
      </c>
      <c r="Z341" s="3">
        <v>0.56000000000000005</v>
      </c>
      <c r="AA341">
        <v>106.6</v>
      </c>
      <c r="AB341">
        <v>33.33</v>
      </c>
      <c r="AC341">
        <v>108.37</v>
      </c>
      <c r="AD341">
        <v>35.15</v>
      </c>
      <c r="AE341">
        <v>2790.75</v>
      </c>
      <c r="AF341" s="30">
        <f t="shared" si="61"/>
        <v>52.827549630850754</v>
      </c>
      <c r="AG341">
        <v>246.36</v>
      </c>
      <c r="AH341">
        <v>0.57999999999999996</v>
      </c>
      <c r="AI341" s="3">
        <f t="shared" si="65"/>
        <v>0.3125</v>
      </c>
      <c r="AJ341">
        <v>3.2</v>
      </c>
      <c r="AK341">
        <v>0.31</v>
      </c>
      <c r="AL341">
        <v>1</v>
      </c>
      <c r="AN341">
        <v>0.48254044225601234</v>
      </c>
      <c r="AO341">
        <v>68.64</v>
      </c>
      <c r="AQ341">
        <v>89.77</v>
      </c>
      <c r="AR341" s="3">
        <f t="shared" si="60"/>
        <v>0.76462069733764071</v>
      </c>
      <c r="AS341" s="3"/>
      <c r="AT341" s="3"/>
      <c r="AU341" s="3"/>
      <c r="AV341" s="3"/>
      <c r="AW341" s="3"/>
    </row>
    <row r="342" spans="2:49" x14ac:dyDescent="0.25">
      <c r="B342" t="s">
        <v>459</v>
      </c>
      <c r="C342">
        <v>1162</v>
      </c>
      <c r="D342">
        <v>700</v>
      </c>
      <c r="E342" s="5"/>
      <c r="F342" s="5"/>
      <c r="G342" s="5"/>
      <c r="H342">
        <v>93323</v>
      </c>
      <c r="I342" s="28">
        <v>186646</v>
      </c>
      <c r="J342" t="b">
        <v>0</v>
      </c>
      <c r="K342" t="s">
        <v>43</v>
      </c>
      <c r="L342" t="s">
        <v>460</v>
      </c>
      <c r="M342" s="3">
        <v>90.54</v>
      </c>
      <c r="N342">
        <v>30.76</v>
      </c>
      <c r="O342">
        <v>96.63</v>
      </c>
      <c r="P342">
        <v>47.24</v>
      </c>
      <c r="Q342">
        <v>2187.63</v>
      </c>
      <c r="R342" s="28">
        <v>1356.29</v>
      </c>
      <c r="S342" s="3">
        <f t="shared" si="62"/>
        <v>26.388335610876371</v>
      </c>
      <c r="T342" s="29">
        <f t="shared" si="66"/>
        <v>46.772107072484985</v>
      </c>
      <c r="U342">
        <v>288.43</v>
      </c>
      <c r="V342" s="29">
        <v>0.33</v>
      </c>
      <c r="W342" s="30">
        <f t="shared" si="67"/>
        <v>0.3401360544217687</v>
      </c>
      <c r="X342">
        <v>2.94</v>
      </c>
      <c r="Y342" s="3">
        <v>0.34</v>
      </c>
      <c r="Z342" s="3">
        <v>0.61</v>
      </c>
      <c r="AA342">
        <v>157.35</v>
      </c>
      <c r="AB342">
        <v>48.68</v>
      </c>
      <c r="AC342">
        <v>170.45</v>
      </c>
      <c r="AD342">
        <v>53.86</v>
      </c>
      <c r="AE342">
        <v>6015.93</v>
      </c>
      <c r="AF342" s="30">
        <f t="shared" si="61"/>
        <v>77.56242647055339</v>
      </c>
      <c r="AG342">
        <v>376.37</v>
      </c>
      <c r="AH342">
        <v>0.53</v>
      </c>
      <c r="AI342" s="3">
        <f t="shared" si="65"/>
        <v>0.30959752321981426</v>
      </c>
      <c r="AJ342">
        <v>3.23</v>
      </c>
      <c r="AK342">
        <v>0.31</v>
      </c>
      <c r="AL342">
        <v>0.95</v>
      </c>
      <c r="AN342">
        <v>0</v>
      </c>
      <c r="AO342">
        <v>160.83000000000001</v>
      </c>
      <c r="AQ342">
        <v>88.7</v>
      </c>
      <c r="AR342" s="3">
        <f t="shared" si="60"/>
        <v>1.8131905298759865</v>
      </c>
      <c r="AS342" s="3"/>
      <c r="AT342" s="3"/>
      <c r="AU342" s="3"/>
      <c r="AV342" s="3"/>
      <c r="AW342" s="3"/>
    </row>
    <row r="343" spans="2:49" x14ac:dyDescent="0.25">
      <c r="B343" t="s">
        <v>461</v>
      </c>
      <c r="C343" s="10">
        <v>1162</v>
      </c>
      <c r="D343">
        <v>500</v>
      </c>
      <c r="E343" s="5"/>
      <c r="F343" s="5"/>
      <c r="G343" s="5"/>
      <c r="H343">
        <v>334157</v>
      </c>
      <c r="I343" s="28">
        <v>668314</v>
      </c>
      <c r="J343" t="b">
        <v>0</v>
      </c>
      <c r="K343" t="s">
        <v>43</v>
      </c>
      <c r="L343" t="s">
        <v>362</v>
      </c>
      <c r="M343" s="3">
        <v>126.98</v>
      </c>
      <c r="N343">
        <v>118.75</v>
      </c>
      <c r="O343">
        <v>190.14</v>
      </c>
      <c r="P343">
        <v>162.86000000000001</v>
      </c>
      <c r="Q343">
        <v>11842.82</v>
      </c>
      <c r="R343" s="28">
        <v>449.53</v>
      </c>
      <c r="S343" s="3">
        <f t="shared" si="62"/>
        <v>61.397774278023462</v>
      </c>
      <c r="T343" s="29">
        <f t="shared" si="66"/>
        <v>108.82472145611032</v>
      </c>
      <c r="U343">
        <v>741.43</v>
      </c>
      <c r="V343" s="29">
        <v>0.27</v>
      </c>
      <c r="W343" s="30">
        <f t="shared" si="67"/>
        <v>0.93457943925233644</v>
      </c>
      <c r="X343">
        <v>1.07</v>
      </c>
      <c r="Y343" s="3">
        <v>0.94</v>
      </c>
      <c r="Z343" s="3">
        <v>0.6</v>
      </c>
      <c r="AA343">
        <v>160.41</v>
      </c>
      <c r="AB343">
        <v>152.62</v>
      </c>
      <c r="AC343">
        <v>190.98</v>
      </c>
      <c r="AD343">
        <v>162.87</v>
      </c>
      <c r="AE343">
        <v>19228.18</v>
      </c>
      <c r="AF343" s="30">
        <f t="shared" si="61"/>
        <v>138.66571313774722</v>
      </c>
      <c r="AG343">
        <v>551.35</v>
      </c>
      <c r="AH343">
        <v>0.79</v>
      </c>
      <c r="AI343" s="3">
        <f t="shared" si="65"/>
        <v>0.95238095238095233</v>
      </c>
      <c r="AJ343">
        <v>1.05</v>
      </c>
      <c r="AK343">
        <v>0.95</v>
      </c>
      <c r="AL343">
        <v>0.98</v>
      </c>
      <c r="AN343">
        <v>0.79980927829721515</v>
      </c>
      <c r="AO343">
        <v>191.17</v>
      </c>
      <c r="AQ343">
        <v>179.81</v>
      </c>
      <c r="AR343" s="3">
        <f t="shared" si="60"/>
        <v>1.063177798787609</v>
      </c>
      <c r="AS343" s="3"/>
      <c r="AT343" s="3"/>
      <c r="AU343" s="3"/>
      <c r="AV343" s="3"/>
      <c r="AW343" s="3"/>
    </row>
    <row r="344" spans="2:49" x14ac:dyDescent="0.25">
      <c r="B344" s="14" t="s">
        <v>462</v>
      </c>
      <c r="C344" s="14">
        <v>1162</v>
      </c>
      <c r="D344" s="14">
        <v>600</v>
      </c>
      <c r="E344" s="5"/>
      <c r="F344" s="5"/>
      <c r="G344" s="5"/>
      <c r="H344" s="14">
        <v>18541</v>
      </c>
      <c r="I344" s="47">
        <v>37082</v>
      </c>
      <c r="J344" s="14" t="s">
        <v>55</v>
      </c>
      <c r="K344" t="s">
        <v>43</v>
      </c>
      <c r="M344" s="3">
        <v>185.88</v>
      </c>
      <c r="N344">
        <v>98.92</v>
      </c>
      <c r="O344">
        <v>215.28</v>
      </c>
      <c r="P344">
        <v>118.37</v>
      </c>
      <c r="Q344">
        <v>14441.58</v>
      </c>
      <c r="R344" s="28">
        <v>0</v>
      </c>
      <c r="S344" s="3">
        <f t="shared" si="62"/>
        <v>67.800425412486234</v>
      </c>
      <c r="T344" s="29">
        <f t="shared" si="66"/>
        <v>120.17312511539342</v>
      </c>
      <c r="U344">
        <v>574.67999999999995</v>
      </c>
      <c r="V344" s="29">
        <v>0.55000000000000004</v>
      </c>
      <c r="W344" s="30">
        <f t="shared" si="67"/>
        <v>0.53191489361702127</v>
      </c>
      <c r="X344">
        <v>1.88</v>
      </c>
      <c r="Y344" s="3">
        <v>0.53</v>
      </c>
      <c r="Z344" s="3">
        <v>0.82</v>
      </c>
      <c r="AA344">
        <v>226.82</v>
      </c>
      <c r="AB344">
        <v>135.19999999999999</v>
      </c>
      <c r="AC344">
        <v>230.22</v>
      </c>
      <c r="AD344">
        <v>137.41999999999999</v>
      </c>
      <c r="AE344">
        <v>24084.46</v>
      </c>
      <c r="AF344" s="30">
        <f t="shared" si="61"/>
        <v>155.19168792174406</v>
      </c>
      <c r="AG344">
        <v>618.65</v>
      </c>
      <c r="AH344">
        <v>0.79</v>
      </c>
      <c r="AI344" s="3">
        <f t="shared" si="65"/>
        <v>0.59523809523809523</v>
      </c>
      <c r="AJ344">
        <v>1.68</v>
      </c>
      <c r="AK344">
        <v>0.6</v>
      </c>
      <c r="AL344">
        <v>1</v>
      </c>
      <c r="AN344">
        <v>0.66799614374803895</v>
      </c>
      <c r="AO344">
        <v>215.27</v>
      </c>
      <c r="AQ344">
        <v>138.15</v>
      </c>
      <c r="AR344" s="3">
        <f t="shared" si="60"/>
        <v>1.5582338038364096</v>
      </c>
    </row>
    <row r="345" spans="2:49" s="7" customFormat="1" x14ac:dyDescent="0.25">
      <c r="B345" s="12" t="s">
        <v>463</v>
      </c>
      <c r="C345" s="12">
        <v>1190</v>
      </c>
      <c r="D345" s="12">
        <v>500</v>
      </c>
      <c r="E345" s="19"/>
      <c r="F345" s="19"/>
      <c r="G345" s="19"/>
      <c r="H345" s="12">
        <v>2082514</v>
      </c>
      <c r="I345" s="45">
        <v>4165028</v>
      </c>
      <c r="J345" s="22" t="b">
        <v>0</v>
      </c>
      <c r="K345" s="7" t="s">
        <v>43</v>
      </c>
      <c r="L345" s="7" t="s">
        <v>362</v>
      </c>
      <c r="M345" s="20">
        <v>89.07</v>
      </c>
      <c r="N345" s="7">
        <v>46.66</v>
      </c>
      <c r="O345" s="7">
        <v>95.14</v>
      </c>
      <c r="P345" s="7">
        <v>66.2</v>
      </c>
      <c r="Q345" s="7">
        <v>3264.51</v>
      </c>
      <c r="R345" s="42">
        <v>533.80999999999995</v>
      </c>
      <c r="S345" s="20">
        <f t="shared" si="62"/>
        <v>32.235474349632995</v>
      </c>
      <c r="T345" s="50">
        <f t="shared" si="66"/>
        <v>57.135890646772978</v>
      </c>
      <c r="U345" s="7">
        <v>306.44</v>
      </c>
      <c r="V345" s="50">
        <v>0.44</v>
      </c>
      <c r="W345" s="51">
        <f t="shared" si="67"/>
        <v>0.52356020942408377</v>
      </c>
      <c r="X345" s="7">
        <v>1.91</v>
      </c>
      <c r="Y345" s="20">
        <v>0.52</v>
      </c>
      <c r="Z345" s="20">
        <v>0.69</v>
      </c>
      <c r="AA345" s="7">
        <v>93.22</v>
      </c>
      <c r="AB345" s="7">
        <v>65.58</v>
      </c>
      <c r="AC345" s="7">
        <v>96.49</v>
      </c>
      <c r="AD345" s="7">
        <v>66.900000000000006</v>
      </c>
      <c r="AE345" s="7">
        <v>4801.6499999999996</v>
      </c>
      <c r="AF345" s="51">
        <f t="shared" si="61"/>
        <v>69.293939128902167</v>
      </c>
      <c r="AG345" s="7">
        <v>266.89</v>
      </c>
      <c r="AH345" s="7">
        <v>0.85</v>
      </c>
      <c r="AI345" s="20">
        <f t="shared" si="65"/>
        <v>0.70422535211267612</v>
      </c>
      <c r="AJ345" s="7">
        <v>1.42</v>
      </c>
      <c r="AK345" s="7">
        <v>0.7</v>
      </c>
      <c r="AL345" s="7">
        <v>1</v>
      </c>
      <c r="AN345" s="7">
        <v>0.61558671714209234</v>
      </c>
      <c r="AO345" s="7">
        <v>80</v>
      </c>
      <c r="AQ345" s="7">
        <v>97.05</v>
      </c>
      <c r="AR345" s="20">
        <f t="shared" si="60"/>
        <v>0.82431736218444107</v>
      </c>
      <c r="AS345" s="20"/>
      <c r="AT345" s="20"/>
      <c r="AU345" s="20"/>
      <c r="AV345" s="20"/>
      <c r="AW345" s="20"/>
    </row>
    <row r="346" spans="2:49" x14ac:dyDescent="0.25">
      <c r="B346" s="10" t="s">
        <v>464</v>
      </c>
      <c r="C346" s="10">
        <v>1190</v>
      </c>
      <c r="D346" s="10">
        <v>600</v>
      </c>
      <c r="E346" s="5"/>
      <c r="F346" s="5"/>
      <c r="G346" s="5"/>
      <c r="H346" s="10">
        <v>640377</v>
      </c>
      <c r="I346" s="44">
        <v>1280754</v>
      </c>
      <c r="J346" s="14" t="b">
        <v>0</v>
      </c>
      <c r="K346" t="s">
        <v>43</v>
      </c>
      <c r="L346" t="s">
        <v>393</v>
      </c>
      <c r="M346" s="3">
        <v>30.75</v>
      </c>
      <c r="N346">
        <v>14.54</v>
      </c>
      <c r="O346">
        <v>35.619999999999997</v>
      </c>
      <c r="P346">
        <v>19.37</v>
      </c>
      <c r="Q346">
        <v>351.06</v>
      </c>
      <c r="R346" s="28">
        <v>742.66</v>
      </c>
      <c r="S346" s="3">
        <f t="shared" si="62"/>
        <v>10.570991847678323</v>
      </c>
      <c r="T346" s="29">
        <f t="shared" si="66"/>
        <v>18.736595208308259</v>
      </c>
      <c r="U346">
        <v>93.68</v>
      </c>
      <c r="V346" s="29">
        <v>0.5</v>
      </c>
      <c r="W346" s="30">
        <f t="shared" si="67"/>
        <v>0.47169811320754712</v>
      </c>
      <c r="X346">
        <v>2.12</v>
      </c>
      <c r="Y346" s="3">
        <v>0.47</v>
      </c>
      <c r="Z346" s="3">
        <v>0.8</v>
      </c>
      <c r="AA346">
        <v>32.229999999999997</v>
      </c>
      <c r="AB346">
        <v>18.46</v>
      </c>
      <c r="AC346">
        <v>34.89</v>
      </c>
      <c r="AD346">
        <v>20.92</v>
      </c>
      <c r="AE346">
        <v>467.25</v>
      </c>
      <c r="AF346" s="30">
        <f t="shared" si="61"/>
        <v>21.615966321217286</v>
      </c>
      <c r="AG346">
        <v>91.78</v>
      </c>
      <c r="AH346">
        <v>0.7</v>
      </c>
      <c r="AI346" s="3">
        <f t="shared" si="65"/>
        <v>0.5714285714285714</v>
      </c>
      <c r="AJ346">
        <v>1.75</v>
      </c>
      <c r="AK346">
        <v>0.56999999999999995</v>
      </c>
      <c r="AL346">
        <v>1</v>
      </c>
      <c r="AN346">
        <v>0</v>
      </c>
      <c r="AO346">
        <v>30.96</v>
      </c>
      <c r="AQ346">
        <v>31.45</v>
      </c>
      <c r="AR346" s="3">
        <f t="shared" si="60"/>
        <v>0.98441971383147864</v>
      </c>
      <c r="AS346" s="3"/>
      <c r="AT346" s="3"/>
      <c r="AU346" s="3"/>
      <c r="AV346" s="3"/>
      <c r="AW346" s="3"/>
    </row>
    <row r="347" spans="2:49" x14ac:dyDescent="0.25">
      <c r="B347" s="10" t="s">
        <v>465</v>
      </c>
      <c r="C347" s="10">
        <v>1190</v>
      </c>
      <c r="D347">
        <v>700</v>
      </c>
      <c r="E347" s="5"/>
      <c r="F347" s="5"/>
      <c r="G347" s="5"/>
      <c r="H347" s="10">
        <v>110889</v>
      </c>
      <c r="I347" s="44">
        <v>221778</v>
      </c>
      <c r="J347" s="11" t="b">
        <v>0</v>
      </c>
      <c r="K347" t="s">
        <v>64</v>
      </c>
      <c r="M347" s="3">
        <v>27.43</v>
      </c>
      <c r="N347">
        <v>25.65</v>
      </c>
      <c r="O347">
        <v>28.29</v>
      </c>
      <c r="P347">
        <v>25.4</v>
      </c>
      <c r="Q347">
        <v>552.66</v>
      </c>
      <c r="R347" s="28">
        <v>2049.83</v>
      </c>
      <c r="S347" s="3">
        <f t="shared" si="62"/>
        <v>13.263375954044799</v>
      </c>
      <c r="T347" s="29">
        <f t="shared" si="66"/>
        <v>23.508721785754325</v>
      </c>
      <c r="U347">
        <v>84.61</v>
      </c>
      <c r="V347" s="29">
        <v>0.97</v>
      </c>
      <c r="W347" s="30">
        <f t="shared" si="67"/>
        <v>0.93457943925233644</v>
      </c>
      <c r="X347">
        <v>1.07</v>
      </c>
      <c r="Y347" s="3">
        <v>0.93</v>
      </c>
      <c r="Z347" s="3">
        <v>1</v>
      </c>
      <c r="AA347">
        <v>27.43</v>
      </c>
      <c r="AB347">
        <v>25.65</v>
      </c>
      <c r="AC347">
        <v>28.29</v>
      </c>
      <c r="AD347">
        <v>25.4</v>
      </c>
      <c r="AE347">
        <v>552.66</v>
      </c>
      <c r="AF347" s="30">
        <f t="shared" si="61"/>
        <v>23.508721785754325</v>
      </c>
      <c r="AG347">
        <v>84.61</v>
      </c>
      <c r="AH347">
        <v>0.97</v>
      </c>
      <c r="AI347" s="3">
        <f t="shared" si="65"/>
        <v>0.93457943925233644</v>
      </c>
      <c r="AJ347">
        <v>1.07</v>
      </c>
      <c r="AK347">
        <v>0.93</v>
      </c>
      <c r="AL347">
        <v>1</v>
      </c>
      <c r="AN347">
        <v>0.95589844343489117</v>
      </c>
      <c r="AO347" s="3">
        <v>26.78</v>
      </c>
      <c r="AP347" s="3"/>
      <c r="AQ347" s="3">
        <v>27.23</v>
      </c>
      <c r="AR347" s="3">
        <f t="shared" si="60"/>
        <v>0.98347410943811975</v>
      </c>
      <c r="AS347" s="3"/>
      <c r="AT347" s="3"/>
      <c r="AU347" s="3"/>
      <c r="AV347" s="3"/>
      <c r="AW347" s="3"/>
    </row>
    <row r="348" spans="2:49" x14ac:dyDescent="0.25">
      <c r="B348" s="10" t="s">
        <v>466</v>
      </c>
      <c r="C348" s="10">
        <v>1190</v>
      </c>
      <c r="D348" s="10">
        <v>500</v>
      </c>
      <c r="E348" s="5"/>
      <c r="F348" s="5"/>
      <c r="G348" s="5"/>
      <c r="H348" s="10">
        <v>2843365</v>
      </c>
      <c r="I348" s="44">
        <v>5686730</v>
      </c>
      <c r="J348" s="21" t="b">
        <v>0</v>
      </c>
      <c r="K348" t="s">
        <v>43</v>
      </c>
      <c r="M348" s="3">
        <v>95.59</v>
      </c>
      <c r="N348">
        <v>27.27</v>
      </c>
      <c r="O348">
        <v>107.35</v>
      </c>
      <c r="P348">
        <v>33.11</v>
      </c>
      <c r="Q348">
        <v>2047.51</v>
      </c>
      <c r="R348" s="28">
        <v>1385.99</v>
      </c>
      <c r="S348" s="3">
        <f t="shared" si="62"/>
        <v>25.529251361138133</v>
      </c>
      <c r="T348" s="29">
        <f t="shared" si="66"/>
        <v>45.249419885784171</v>
      </c>
      <c r="U348">
        <v>254.51</v>
      </c>
      <c r="V348" s="29">
        <v>0.4</v>
      </c>
      <c r="W348" s="30">
        <f t="shared" si="67"/>
        <v>0.2857142857142857</v>
      </c>
      <c r="X348">
        <v>3.5</v>
      </c>
      <c r="Y348" s="3">
        <v>0.28999999999999998</v>
      </c>
      <c r="Z348" s="3">
        <v>0.77</v>
      </c>
      <c r="AA348">
        <v>104.22</v>
      </c>
      <c r="AB348">
        <v>33.659999999999997</v>
      </c>
      <c r="AC348">
        <v>109.32</v>
      </c>
      <c r="AD348">
        <v>33.76</v>
      </c>
      <c r="AE348">
        <v>2755.1</v>
      </c>
      <c r="AF348" s="30">
        <f t="shared" si="61"/>
        <v>52.489046476384004</v>
      </c>
      <c r="AG348">
        <v>246.88</v>
      </c>
      <c r="AH348">
        <v>0.56999999999999995</v>
      </c>
      <c r="AI348" s="3">
        <f t="shared" si="65"/>
        <v>0.32258064516129031</v>
      </c>
      <c r="AJ348">
        <v>3.1</v>
      </c>
      <c r="AK348">
        <v>0.32</v>
      </c>
      <c r="AL348">
        <v>1</v>
      </c>
      <c r="AN348">
        <v>0.51941702725939864</v>
      </c>
      <c r="AO348">
        <v>32.21</v>
      </c>
      <c r="AQ348">
        <v>107.3</v>
      </c>
      <c r="AR348" s="3">
        <f t="shared" si="60"/>
        <v>0.30018639328984159</v>
      </c>
      <c r="AS348" s="3"/>
      <c r="AT348" s="3"/>
      <c r="AU348" s="3"/>
      <c r="AV348" s="3"/>
      <c r="AW348" s="3"/>
    </row>
    <row r="349" spans="2:49" x14ac:dyDescent="0.25">
      <c r="B349" s="12" t="s">
        <v>467</v>
      </c>
      <c r="C349" s="10">
        <v>1190</v>
      </c>
      <c r="D349" s="12">
        <v>600</v>
      </c>
      <c r="E349" s="5"/>
      <c r="F349" s="5"/>
      <c r="G349" s="5"/>
      <c r="H349" s="12">
        <v>509789</v>
      </c>
      <c r="I349" s="45">
        <v>1019578</v>
      </c>
      <c r="J349" s="16" t="b">
        <v>0</v>
      </c>
      <c r="K349" t="s">
        <v>43</v>
      </c>
      <c r="L349" t="s">
        <v>362</v>
      </c>
      <c r="M349" s="3">
        <v>68.27</v>
      </c>
      <c r="N349">
        <v>32.01</v>
      </c>
      <c r="O349">
        <v>83.04</v>
      </c>
      <c r="P349">
        <v>48.65</v>
      </c>
      <c r="Q349">
        <v>1716.45</v>
      </c>
      <c r="R349" s="28">
        <v>199.74</v>
      </c>
      <c r="S349" s="3">
        <f t="shared" si="62"/>
        <v>23.374409172001922</v>
      </c>
      <c r="T349" s="29">
        <f t="shared" si="66"/>
        <v>41.430061549556015</v>
      </c>
      <c r="U349">
        <v>288.8</v>
      </c>
      <c r="V349" s="29">
        <v>0.26</v>
      </c>
      <c r="W349" s="30">
        <f t="shared" si="67"/>
        <v>0.46948356807511737</v>
      </c>
      <c r="X349">
        <v>2.13</v>
      </c>
      <c r="Y349" s="3">
        <v>0.47</v>
      </c>
      <c r="Z349" s="3">
        <v>0.56999999999999995</v>
      </c>
      <c r="AA349">
        <v>81.05</v>
      </c>
      <c r="AB349">
        <v>49</v>
      </c>
      <c r="AC349">
        <v>84.74</v>
      </c>
      <c r="AD349">
        <v>50.05</v>
      </c>
      <c r="AE349">
        <v>3119.18</v>
      </c>
      <c r="AF349" s="30">
        <f t="shared" si="61"/>
        <v>55.84961951526617</v>
      </c>
      <c r="AG349">
        <v>224.51</v>
      </c>
      <c r="AH349">
        <v>0.78</v>
      </c>
      <c r="AI349" s="3">
        <f t="shared" si="65"/>
        <v>0.60606060606060608</v>
      </c>
      <c r="AJ349">
        <v>1.65</v>
      </c>
      <c r="AK349">
        <v>0.6</v>
      </c>
      <c r="AL349">
        <v>1</v>
      </c>
      <c r="AN349">
        <v>0.6006736501511889</v>
      </c>
      <c r="AO349">
        <v>57.42</v>
      </c>
      <c r="AQ349">
        <v>83.09</v>
      </c>
      <c r="AR349" s="3">
        <f t="shared" si="60"/>
        <v>0.69105788903598508</v>
      </c>
      <c r="AS349" s="3"/>
      <c r="AT349" s="3"/>
      <c r="AU349" s="3"/>
      <c r="AV349" s="3"/>
      <c r="AW349" s="3"/>
    </row>
    <row r="350" spans="2:49" x14ac:dyDescent="0.25">
      <c r="B350" s="8" t="s">
        <v>468</v>
      </c>
      <c r="C350" s="8">
        <v>1190</v>
      </c>
      <c r="D350" s="6">
        <v>700</v>
      </c>
      <c r="E350" s="5"/>
      <c r="F350" s="5"/>
      <c r="G350" s="5"/>
      <c r="H350" s="8">
        <v>36362</v>
      </c>
      <c r="I350" s="43">
        <v>72724</v>
      </c>
      <c r="J350" s="9" t="b">
        <v>0</v>
      </c>
      <c r="K350" t="s">
        <v>64</v>
      </c>
      <c r="L350" t="s">
        <v>469</v>
      </c>
      <c r="M350" s="3">
        <v>21.05</v>
      </c>
      <c r="N350">
        <v>12.42</v>
      </c>
      <c r="O350">
        <v>21.7</v>
      </c>
      <c r="P350">
        <v>12.37</v>
      </c>
      <c r="Q350">
        <v>205.22</v>
      </c>
      <c r="R350" s="28">
        <v>1417.94</v>
      </c>
      <c r="S350" s="3">
        <f t="shared" si="62"/>
        <v>8.0822988587800637</v>
      </c>
      <c r="T350" s="29">
        <f t="shared" si="66"/>
        <v>14.325501736413981</v>
      </c>
      <c r="U350">
        <v>55.15</v>
      </c>
      <c r="V350" s="29">
        <v>0.85</v>
      </c>
      <c r="W350" s="30">
        <f t="shared" si="67"/>
        <v>0.58823529411764708</v>
      </c>
      <c r="X350">
        <v>1.7</v>
      </c>
      <c r="Y350" s="3">
        <v>0.59</v>
      </c>
      <c r="Z350" s="3">
        <v>0.99</v>
      </c>
      <c r="AA350">
        <v>21.05</v>
      </c>
      <c r="AB350">
        <v>12.42</v>
      </c>
      <c r="AC350">
        <v>21.7</v>
      </c>
      <c r="AD350">
        <v>12.37</v>
      </c>
      <c r="AE350">
        <v>205.22</v>
      </c>
      <c r="AF350" s="30">
        <f t="shared" si="61"/>
        <v>14.325501736413981</v>
      </c>
      <c r="AG350">
        <v>55.15</v>
      </c>
      <c r="AH350">
        <v>0.85</v>
      </c>
      <c r="AI350" s="3">
        <f t="shared" si="65"/>
        <v>0.58823529411764708</v>
      </c>
      <c r="AJ350">
        <v>1.7</v>
      </c>
      <c r="AK350">
        <v>0.59</v>
      </c>
      <c r="AL350">
        <v>0.99</v>
      </c>
      <c r="AN350">
        <v>0.76229824307194383</v>
      </c>
      <c r="AO350" s="3">
        <v>15.08</v>
      </c>
      <c r="AP350" s="3"/>
      <c r="AQ350" s="3">
        <v>19.7</v>
      </c>
      <c r="AR350" s="3">
        <f t="shared" si="60"/>
        <v>0.76548223350253808</v>
      </c>
      <c r="AS350" s="3"/>
      <c r="AT350" s="3"/>
      <c r="AU350" s="3"/>
      <c r="AV350" s="3"/>
      <c r="AW350" s="3"/>
    </row>
    <row r="351" spans="2:49" x14ac:dyDescent="0.25">
      <c r="B351" s="10" t="s">
        <v>470</v>
      </c>
      <c r="C351" s="10">
        <v>1190</v>
      </c>
      <c r="D351" s="10">
        <v>500</v>
      </c>
      <c r="E351" s="5"/>
      <c r="F351" s="5"/>
      <c r="G351" s="5"/>
      <c r="H351" s="10">
        <v>1000305</v>
      </c>
      <c r="I351" s="44">
        <v>2000610</v>
      </c>
      <c r="J351" s="11" t="b">
        <v>0</v>
      </c>
      <c r="K351" t="s">
        <v>64</v>
      </c>
      <c r="M351" s="3">
        <v>41.35</v>
      </c>
      <c r="N351">
        <v>30.68</v>
      </c>
      <c r="O351">
        <v>43.09</v>
      </c>
      <c r="P351">
        <v>33.26</v>
      </c>
      <c r="Q351">
        <v>996.59</v>
      </c>
      <c r="R351" s="28">
        <v>2307.2399999999998</v>
      </c>
      <c r="S351" s="3">
        <f t="shared" si="62"/>
        <v>17.810795868570949</v>
      </c>
      <c r="T351" s="29">
        <f t="shared" si="66"/>
        <v>31.568813724940632</v>
      </c>
      <c r="U351">
        <v>120.74</v>
      </c>
      <c r="V351" s="29">
        <v>0.86</v>
      </c>
      <c r="W351" s="30">
        <f t="shared" si="67"/>
        <v>0.7407407407407407</v>
      </c>
      <c r="X351">
        <v>1.35</v>
      </c>
      <c r="Y351" s="3">
        <v>0.74</v>
      </c>
      <c r="Z351" s="3">
        <v>0.96</v>
      </c>
      <c r="AA351">
        <v>42.62</v>
      </c>
      <c r="AB351">
        <v>32.479999999999997</v>
      </c>
      <c r="AC351">
        <v>43.39</v>
      </c>
      <c r="AD351">
        <v>33.99</v>
      </c>
      <c r="AE351">
        <v>1087.29</v>
      </c>
      <c r="AF351" s="30">
        <f t="shared" si="61"/>
        <v>32.974080730173512</v>
      </c>
      <c r="AG351">
        <v>122.32</v>
      </c>
      <c r="AH351">
        <v>0.91</v>
      </c>
      <c r="AI351" s="3">
        <f t="shared" si="65"/>
        <v>0.76335877862595414</v>
      </c>
      <c r="AJ351">
        <v>1.31</v>
      </c>
      <c r="AK351">
        <v>0.76</v>
      </c>
      <c r="AL351">
        <v>1</v>
      </c>
      <c r="AN351">
        <v>0.86131618725588655</v>
      </c>
      <c r="AO351">
        <v>37.729999999999997</v>
      </c>
      <c r="AQ351">
        <v>42.95</v>
      </c>
      <c r="AR351" s="3">
        <f t="shared" si="60"/>
        <v>0.87846332945285199</v>
      </c>
      <c r="AS351" s="3"/>
      <c r="AT351" s="3"/>
      <c r="AU351" s="3"/>
      <c r="AV351" s="3"/>
      <c r="AW351" s="3"/>
    </row>
    <row r="352" spans="2:49" x14ac:dyDescent="0.25">
      <c r="B352" s="10" t="s">
        <v>471</v>
      </c>
      <c r="C352" s="10">
        <v>1190</v>
      </c>
      <c r="D352" s="10">
        <v>600</v>
      </c>
      <c r="E352" s="5"/>
      <c r="F352" s="5"/>
      <c r="G352" s="5"/>
      <c r="H352" s="10">
        <v>909321</v>
      </c>
      <c r="I352" s="44">
        <v>1818642</v>
      </c>
      <c r="J352" s="14" t="b">
        <v>0</v>
      </c>
      <c r="K352" t="s">
        <v>64</v>
      </c>
      <c r="M352" s="3">
        <v>14.73</v>
      </c>
      <c r="N352">
        <v>14.01</v>
      </c>
      <c r="O352">
        <v>15.55</v>
      </c>
      <c r="P352">
        <v>14</v>
      </c>
      <c r="Q352">
        <v>162.09</v>
      </c>
      <c r="R352" s="28">
        <v>1419</v>
      </c>
      <c r="S352" s="3">
        <f t="shared" si="62"/>
        <v>7.1829554816614749</v>
      </c>
      <c r="T352" s="29">
        <f t="shared" si="66"/>
        <v>12.731457104353767</v>
      </c>
      <c r="U352">
        <v>46.23</v>
      </c>
      <c r="V352" s="29">
        <v>0.95</v>
      </c>
      <c r="W352" s="30">
        <f t="shared" si="67"/>
        <v>0.95238095238095233</v>
      </c>
      <c r="X352">
        <v>1.05</v>
      </c>
      <c r="Y352" s="3">
        <v>0.95</v>
      </c>
      <c r="Z352" s="3">
        <v>1</v>
      </c>
      <c r="AA352">
        <v>14.73</v>
      </c>
      <c r="AB352">
        <v>14.01</v>
      </c>
      <c r="AC352">
        <v>15.55</v>
      </c>
      <c r="AD352">
        <v>14</v>
      </c>
      <c r="AE352">
        <v>162.09</v>
      </c>
      <c r="AF352" s="30">
        <f t="shared" si="61"/>
        <v>12.731457104353767</v>
      </c>
      <c r="AG352">
        <v>46.23</v>
      </c>
      <c r="AH352">
        <v>0.95</v>
      </c>
      <c r="AI352" s="3">
        <f t="shared" si="65"/>
        <v>0.95238095238095233</v>
      </c>
      <c r="AJ352">
        <v>1.05</v>
      </c>
      <c r="AK352">
        <v>0.95</v>
      </c>
      <c r="AL352">
        <v>1</v>
      </c>
      <c r="AN352">
        <v>0.96733004053281724</v>
      </c>
      <c r="AO352">
        <v>15.02</v>
      </c>
      <c r="AQ352">
        <v>14.17</v>
      </c>
      <c r="AR352" s="3">
        <f t="shared" si="60"/>
        <v>1.059985885673959</v>
      </c>
      <c r="AS352" s="3"/>
      <c r="AT352" s="3"/>
      <c r="AU352" s="3"/>
      <c r="AV352" s="3"/>
      <c r="AW352" s="3"/>
    </row>
    <row r="353" spans="1:49" x14ac:dyDescent="0.25">
      <c r="B353" s="10" t="s">
        <v>472</v>
      </c>
      <c r="C353" s="10">
        <v>1190</v>
      </c>
      <c r="D353">
        <v>700</v>
      </c>
      <c r="E353" s="5"/>
      <c r="F353" s="5"/>
      <c r="G353" s="5"/>
      <c r="H353" s="10">
        <v>75143</v>
      </c>
      <c r="I353" s="44">
        <v>150286</v>
      </c>
      <c r="J353" s="67" t="b">
        <v>0</v>
      </c>
      <c r="K353" t="s">
        <v>43</v>
      </c>
      <c r="M353" s="3">
        <v>75.459999999999994</v>
      </c>
      <c r="N353">
        <v>35.39</v>
      </c>
      <c r="O353">
        <v>82.68</v>
      </c>
      <c r="P353">
        <v>40.92</v>
      </c>
      <c r="Q353">
        <v>2097.5700000000002</v>
      </c>
      <c r="R353" s="28">
        <v>183.87</v>
      </c>
      <c r="S353" s="3">
        <f t="shared" si="62"/>
        <v>25.839451773645155</v>
      </c>
      <c r="T353" s="29">
        <f t="shared" si="66"/>
        <v>45.799235801484727</v>
      </c>
      <c r="U353">
        <v>208.63</v>
      </c>
      <c r="V353" s="29">
        <v>0.61</v>
      </c>
      <c r="W353" s="30">
        <f t="shared" si="67"/>
        <v>0.46948356807511737</v>
      </c>
      <c r="X353">
        <v>2.13</v>
      </c>
      <c r="Y353" s="3">
        <v>0.47</v>
      </c>
      <c r="Z353" s="3">
        <v>0.83</v>
      </c>
      <c r="AA353">
        <v>78.11</v>
      </c>
      <c r="AB353">
        <v>42.24</v>
      </c>
      <c r="AC353">
        <v>83.35</v>
      </c>
      <c r="AD353">
        <v>41.53</v>
      </c>
      <c r="AE353">
        <v>2591.4499999999998</v>
      </c>
      <c r="AF353" s="30">
        <f t="shared" si="61"/>
        <v>50.906286448728508</v>
      </c>
      <c r="AG353">
        <v>203.73</v>
      </c>
      <c r="AH353">
        <v>0.78</v>
      </c>
      <c r="AI353" s="3">
        <f t="shared" si="65"/>
        <v>0.54054054054054046</v>
      </c>
      <c r="AJ353">
        <v>1.85</v>
      </c>
      <c r="AK353">
        <v>0.54</v>
      </c>
      <c r="AL353">
        <v>1</v>
      </c>
      <c r="AN353">
        <v>0.65559289135527321</v>
      </c>
      <c r="AO353">
        <v>46.91</v>
      </c>
      <c r="AQ353">
        <v>81.81</v>
      </c>
      <c r="AR353" s="3">
        <f t="shared" ref="AR353:AR354" si="68">AO353/AQ353</f>
        <v>0.5734017846229067</v>
      </c>
      <c r="AS353" s="3"/>
      <c r="AT353" s="3"/>
      <c r="AU353" s="3"/>
      <c r="AV353" s="3"/>
      <c r="AW353" s="3"/>
    </row>
    <row r="354" spans="1:49" x14ac:dyDescent="0.25">
      <c r="B354" s="12" t="s">
        <v>473</v>
      </c>
      <c r="C354" s="10">
        <v>1190</v>
      </c>
      <c r="D354" s="12">
        <v>500</v>
      </c>
      <c r="E354" s="5"/>
      <c r="F354" s="5"/>
      <c r="G354" s="5"/>
      <c r="H354" s="12">
        <v>3157964</v>
      </c>
      <c r="I354" s="45">
        <v>6315928</v>
      </c>
      <c r="J354" s="22" t="b">
        <v>0</v>
      </c>
      <c r="K354" t="s">
        <v>64</v>
      </c>
      <c r="M354" s="3">
        <v>8.39</v>
      </c>
      <c r="N354">
        <v>8.24</v>
      </c>
      <c r="O354">
        <v>9.25</v>
      </c>
      <c r="P354">
        <v>8.2799999999999994</v>
      </c>
      <c r="Q354">
        <v>54.29</v>
      </c>
      <c r="R354" s="28">
        <v>201.53</v>
      </c>
      <c r="S354" s="3">
        <f t="shared" si="62"/>
        <v>4.1570474763848919</v>
      </c>
      <c r="T354" s="29">
        <f t="shared" si="66"/>
        <v>7.3681748079154579</v>
      </c>
      <c r="U354">
        <v>27.35</v>
      </c>
      <c r="V354" s="29">
        <v>0.91</v>
      </c>
      <c r="W354" s="30">
        <f t="shared" si="67"/>
        <v>0.98039215686274506</v>
      </c>
      <c r="X354">
        <v>1.02</v>
      </c>
      <c r="Y354" s="3">
        <v>0.98</v>
      </c>
      <c r="Z354" s="3">
        <v>1</v>
      </c>
      <c r="AA354">
        <v>8.39</v>
      </c>
      <c r="AB354">
        <v>8.24</v>
      </c>
      <c r="AC354">
        <v>9.25</v>
      </c>
      <c r="AD354">
        <v>8.2799999999999994</v>
      </c>
      <c r="AE354">
        <v>54.29</v>
      </c>
      <c r="AF354" s="30">
        <f t="shared" si="61"/>
        <v>7.3681748079154579</v>
      </c>
      <c r="AG354">
        <v>27.35</v>
      </c>
      <c r="AH354">
        <v>0.91</v>
      </c>
      <c r="AI354" s="3">
        <f t="shared" si="65"/>
        <v>0.98039215686274506</v>
      </c>
      <c r="AJ354">
        <v>1.02</v>
      </c>
      <c r="AK354">
        <v>0.98</v>
      </c>
      <c r="AL354">
        <v>1</v>
      </c>
      <c r="AN354">
        <v>0.95836828867098611</v>
      </c>
      <c r="AO354">
        <v>9.52</v>
      </c>
      <c r="AQ354">
        <v>9.07</v>
      </c>
      <c r="AR354" s="3">
        <f t="shared" si="68"/>
        <v>1.0496141124586549</v>
      </c>
      <c r="AS354" s="3"/>
      <c r="AT354" s="3"/>
      <c r="AU354" s="3"/>
      <c r="AV354" s="3"/>
      <c r="AW354" s="3"/>
    </row>
    <row r="355" spans="1:49" x14ac:dyDescent="0.25">
      <c r="B355" s="18" t="s">
        <v>474</v>
      </c>
      <c r="C355" s="18">
        <v>1190</v>
      </c>
      <c r="D355" s="8">
        <v>600</v>
      </c>
      <c r="E355" s="5"/>
      <c r="F355" s="5"/>
      <c r="G355" s="5"/>
      <c r="H355" s="8">
        <v>728836</v>
      </c>
      <c r="I355" s="43"/>
      <c r="J355" s="17" t="b">
        <v>0</v>
      </c>
      <c r="R355" s="28">
        <v>0</v>
      </c>
      <c r="S355" s="3"/>
      <c r="AN355" t="e">
        <v>#DIV/0!</v>
      </c>
      <c r="AR355" s="3"/>
      <c r="AS355" s="3"/>
      <c r="AT355" s="3"/>
      <c r="AU355" s="3"/>
      <c r="AV355" s="3"/>
      <c r="AW355" s="3"/>
    </row>
    <row r="356" spans="1:49" x14ac:dyDescent="0.25">
      <c r="B356" s="10" t="s">
        <v>475</v>
      </c>
      <c r="C356" s="10">
        <v>1190</v>
      </c>
      <c r="D356">
        <v>700</v>
      </c>
      <c r="E356" s="5"/>
      <c r="F356" s="5"/>
      <c r="G356" s="5"/>
      <c r="H356" s="10">
        <v>65360</v>
      </c>
      <c r="I356" s="44">
        <v>130720</v>
      </c>
      <c r="J356" s="11" t="b">
        <v>0</v>
      </c>
      <c r="K356" t="s">
        <v>64</v>
      </c>
      <c r="M356" s="3">
        <v>20.329999999999998</v>
      </c>
      <c r="N356">
        <v>13.89</v>
      </c>
      <c r="O356">
        <v>21.48</v>
      </c>
      <c r="P356">
        <v>14.21</v>
      </c>
      <c r="Q356">
        <v>221.77</v>
      </c>
      <c r="R356" s="28">
        <v>1494.11</v>
      </c>
      <c r="S356" s="3">
        <f t="shared" ref="S356:S387" si="69">SQRT(Q356/PI())</f>
        <v>8.4018797574697093</v>
      </c>
      <c r="T356" s="29">
        <f t="shared" ref="T356:T380" si="70">SQRT(Q356)</f>
        <v>14.89194413097229</v>
      </c>
      <c r="U356">
        <v>56.39</v>
      </c>
      <c r="V356" s="29">
        <v>0.88</v>
      </c>
      <c r="W356" s="30">
        <f>1/X356</f>
        <v>0.68493150684931503</v>
      </c>
      <c r="X356">
        <v>1.46</v>
      </c>
      <c r="Y356" s="3">
        <v>0.68</v>
      </c>
      <c r="Z356" s="3">
        <v>1</v>
      </c>
      <c r="AA356">
        <v>20.329999999999998</v>
      </c>
      <c r="AB356">
        <v>13.89</v>
      </c>
      <c r="AC356">
        <v>21.48</v>
      </c>
      <c r="AD356">
        <v>14.21</v>
      </c>
      <c r="AE356">
        <v>221.77</v>
      </c>
      <c r="AF356" s="30">
        <f>SQRT(AE356)</f>
        <v>14.89194413097229</v>
      </c>
      <c r="AG356">
        <v>56.39</v>
      </c>
      <c r="AH356">
        <v>0.88</v>
      </c>
      <c r="AI356" s="3">
        <f>1/AJ356</f>
        <v>0.68493150684931503</v>
      </c>
      <c r="AJ356">
        <v>1.46</v>
      </c>
      <c r="AK356">
        <v>0.68</v>
      </c>
      <c r="AL356">
        <v>1</v>
      </c>
      <c r="AN356">
        <v>0.83690839779286108</v>
      </c>
      <c r="AO356" s="3">
        <v>17.73</v>
      </c>
      <c r="AP356" s="3"/>
      <c r="AQ356" s="3">
        <v>17.27</v>
      </c>
      <c r="AR356" s="3">
        <f>AO356/AQ356</f>
        <v>1.026635784597568</v>
      </c>
      <c r="AS356" s="3"/>
      <c r="AT356" s="3"/>
      <c r="AU356" s="3"/>
      <c r="AV356" s="3"/>
      <c r="AW356" s="3"/>
    </row>
    <row r="357" spans="1:49" x14ac:dyDescent="0.25">
      <c r="B357" s="10" t="s">
        <v>476</v>
      </c>
      <c r="C357" s="10">
        <v>1190</v>
      </c>
      <c r="D357">
        <v>700</v>
      </c>
      <c r="E357" s="5"/>
      <c r="F357" s="5"/>
      <c r="G357" s="5"/>
      <c r="H357" s="10">
        <v>50972</v>
      </c>
      <c r="I357" s="44">
        <v>101944</v>
      </c>
      <c r="J357" s="67" t="b">
        <v>0</v>
      </c>
      <c r="K357" t="s">
        <v>64</v>
      </c>
      <c r="M357" s="3">
        <v>40.229999999999997</v>
      </c>
      <c r="N357">
        <v>38.6</v>
      </c>
      <c r="O357">
        <v>40.85</v>
      </c>
      <c r="P357">
        <v>38.53</v>
      </c>
      <c r="Q357">
        <v>1219.76</v>
      </c>
      <c r="R357" s="28">
        <v>120.13</v>
      </c>
      <c r="S357" s="3">
        <f t="shared" si="69"/>
        <v>19.704356542946044</v>
      </c>
      <c r="T357" s="29">
        <f t="shared" si="70"/>
        <v>34.925062634160014</v>
      </c>
      <c r="U357">
        <v>124.92</v>
      </c>
      <c r="V357" s="29">
        <v>0.98</v>
      </c>
      <c r="W357" s="30">
        <f>1/X357</f>
        <v>0.96153846153846145</v>
      </c>
      <c r="X357">
        <v>1.04</v>
      </c>
      <c r="Y357" s="3">
        <v>0.96</v>
      </c>
      <c r="Z357" s="3">
        <v>1</v>
      </c>
      <c r="AA357">
        <v>43.08</v>
      </c>
      <c r="AB357">
        <v>37.659999999999997</v>
      </c>
      <c r="AC357">
        <v>45.67</v>
      </c>
      <c r="AD357">
        <v>37.729999999999997</v>
      </c>
      <c r="AE357">
        <v>1274.2</v>
      </c>
      <c r="AF357" s="30">
        <f>SQRT(AE357)</f>
        <v>35.695938144276305</v>
      </c>
      <c r="AG357">
        <v>130.44999999999999</v>
      </c>
      <c r="AH357">
        <v>0.94</v>
      </c>
      <c r="AI357" s="3">
        <f>1/AJ357</f>
        <v>0.87719298245614041</v>
      </c>
      <c r="AJ357">
        <v>1.1399999999999999</v>
      </c>
      <c r="AK357">
        <v>0.87</v>
      </c>
      <c r="AL357">
        <v>1</v>
      </c>
      <c r="AN357">
        <v>0.96686739609144445</v>
      </c>
      <c r="AO357" s="3">
        <v>39.47</v>
      </c>
      <c r="AP357" s="3"/>
      <c r="AQ357" s="3">
        <v>39.700000000000003</v>
      </c>
      <c r="AR357" s="3">
        <f>AO357/AQ357</f>
        <v>0.99420654911838779</v>
      </c>
      <c r="AS357" s="3"/>
      <c r="AT357" s="3"/>
      <c r="AU357" s="3"/>
      <c r="AV357" s="3"/>
      <c r="AW357" s="3"/>
    </row>
    <row r="358" spans="1:49" x14ac:dyDescent="0.25">
      <c r="B358" s="10" t="s">
        <v>477</v>
      </c>
      <c r="C358" s="10">
        <v>1190</v>
      </c>
      <c r="D358" s="10">
        <v>600</v>
      </c>
      <c r="E358" s="5"/>
      <c r="F358" s="5"/>
      <c r="G358" s="5"/>
      <c r="H358" s="10">
        <v>240483</v>
      </c>
      <c r="I358" s="44">
        <v>480966</v>
      </c>
      <c r="J358" t="b">
        <v>0</v>
      </c>
      <c r="K358" t="s">
        <v>43</v>
      </c>
      <c r="L358" t="s">
        <v>478</v>
      </c>
      <c r="M358" s="3">
        <v>67.55</v>
      </c>
      <c r="N358">
        <v>48.74</v>
      </c>
      <c r="O358">
        <v>75.37</v>
      </c>
      <c r="P358">
        <v>53.91</v>
      </c>
      <c r="Q358">
        <v>2585.81</v>
      </c>
      <c r="R358" s="28">
        <v>862.87</v>
      </c>
      <c r="S358" s="3">
        <f t="shared" si="69"/>
        <v>28.689525733147068</v>
      </c>
      <c r="T358" s="29">
        <f t="shared" si="70"/>
        <v>50.850860366369417</v>
      </c>
      <c r="U358">
        <v>220.06</v>
      </c>
      <c r="V358" s="29">
        <v>0.67</v>
      </c>
      <c r="W358" s="30">
        <f>1/X358</f>
        <v>0.71942446043165476</v>
      </c>
      <c r="X358">
        <v>1.39</v>
      </c>
      <c r="Y358" s="3">
        <v>0.72</v>
      </c>
      <c r="Z358" s="3">
        <v>0.87</v>
      </c>
      <c r="AA358">
        <v>72.12</v>
      </c>
      <c r="AB358">
        <v>52.21</v>
      </c>
      <c r="AC358">
        <v>76.25</v>
      </c>
      <c r="AD358">
        <v>53.33</v>
      </c>
      <c r="AE358">
        <v>2957.02</v>
      </c>
      <c r="AF358" s="30">
        <f>SQRT(AE358)</f>
        <v>54.378488393849274</v>
      </c>
      <c r="AG358">
        <v>210.2</v>
      </c>
      <c r="AH358">
        <v>0.84</v>
      </c>
      <c r="AI358" s="3">
        <f>1/AJ358</f>
        <v>0.7246376811594204</v>
      </c>
      <c r="AJ358">
        <v>1.38</v>
      </c>
      <c r="AK358">
        <v>0.72</v>
      </c>
      <c r="AL358">
        <v>1</v>
      </c>
      <c r="AN358">
        <v>0</v>
      </c>
      <c r="AO358">
        <v>61.02</v>
      </c>
      <c r="AQ358">
        <v>77.13</v>
      </c>
      <c r="AR358" s="3">
        <f>AO358/AQ358</f>
        <v>0.79113185530921826</v>
      </c>
      <c r="AS358" s="3"/>
      <c r="AT358" s="3"/>
      <c r="AU358" s="3"/>
      <c r="AV358" s="3"/>
      <c r="AW358" s="3"/>
    </row>
    <row r="359" spans="1:49" x14ac:dyDescent="0.25">
      <c r="B359" s="10" t="s">
        <v>479</v>
      </c>
      <c r="C359" s="10">
        <v>1190</v>
      </c>
      <c r="D359" s="10">
        <v>500</v>
      </c>
      <c r="E359" s="5"/>
      <c r="F359" s="5"/>
      <c r="G359" s="5"/>
      <c r="H359" s="10">
        <v>2874626</v>
      </c>
      <c r="I359" s="44">
        <v>5749252</v>
      </c>
      <c r="J359" s="21" t="b">
        <v>0</v>
      </c>
      <c r="K359" t="s">
        <v>43</v>
      </c>
      <c r="M359" s="3">
        <v>73.739999999999995</v>
      </c>
      <c r="N359">
        <v>24.68</v>
      </c>
      <c r="O359">
        <v>90.71</v>
      </c>
      <c r="P359">
        <v>40.049999999999997</v>
      </c>
      <c r="Q359">
        <v>1429.44</v>
      </c>
      <c r="R359" s="28">
        <v>906.69</v>
      </c>
      <c r="S359" s="3">
        <f t="shared" si="69"/>
        <v>21.330843483241768</v>
      </c>
      <c r="T359" s="29">
        <f t="shared" si="70"/>
        <v>37.807935674934704</v>
      </c>
      <c r="U359">
        <v>268.81</v>
      </c>
      <c r="V359" s="29">
        <v>0.25</v>
      </c>
      <c r="W359" s="30">
        <f>1/X359</f>
        <v>0.33444816053511706</v>
      </c>
      <c r="X359">
        <v>2.99</v>
      </c>
      <c r="Y359" s="3">
        <v>0.33</v>
      </c>
      <c r="Z359" s="3">
        <v>0.55000000000000004</v>
      </c>
      <c r="AA359">
        <v>86.48</v>
      </c>
      <c r="AB359">
        <v>35.51</v>
      </c>
      <c r="AC359">
        <v>92.78</v>
      </c>
      <c r="AD359">
        <v>39.21</v>
      </c>
      <c r="AE359">
        <v>2412.12</v>
      </c>
      <c r="AF359" s="30">
        <f>SQRT(AE359)</f>
        <v>49.113338310483435</v>
      </c>
      <c r="AG359">
        <v>224.84</v>
      </c>
      <c r="AH359">
        <v>0.6</v>
      </c>
      <c r="AI359" s="3">
        <f>1/AJ359</f>
        <v>0.41152263374485593</v>
      </c>
      <c r="AJ359">
        <v>2.4300000000000002</v>
      </c>
      <c r="AK359">
        <v>0.41</v>
      </c>
      <c r="AL359">
        <v>1</v>
      </c>
      <c r="AN359">
        <v>0.58643447973998253</v>
      </c>
      <c r="AO359">
        <v>88.08</v>
      </c>
      <c r="AQ359">
        <v>64.75</v>
      </c>
      <c r="AR359" s="3">
        <f>AO359/AQ359</f>
        <v>1.3603088803088803</v>
      </c>
      <c r="AS359" s="3"/>
      <c r="AT359" s="3"/>
      <c r="AU359" s="3"/>
      <c r="AV359" s="3"/>
      <c r="AW359" s="3"/>
    </row>
    <row r="360" spans="1:49" s="6" customFormat="1" ht="16.5" customHeight="1" x14ac:dyDescent="0.25">
      <c r="A360" s="6" t="s">
        <v>480</v>
      </c>
      <c r="B360" s="6" t="s">
        <v>481</v>
      </c>
      <c r="C360" s="6">
        <v>1162</v>
      </c>
      <c r="D360" s="6">
        <v>500</v>
      </c>
      <c r="H360" s="25">
        <v>245727</v>
      </c>
      <c r="I360" s="54">
        <v>491454</v>
      </c>
      <c r="J360" s="6" t="s">
        <v>55</v>
      </c>
      <c r="K360" s="6" t="s">
        <v>43</v>
      </c>
      <c r="M360" s="15">
        <v>137.9111</v>
      </c>
      <c r="N360" s="6">
        <v>112.404</v>
      </c>
      <c r="O360" s="6">
        <v>221.85499999999999</v>
      </c>
      <c r="P360" s="6">
        <v>143.30099999999999</v>
      </c>
      <c r="Q360" s="6">
        <v>12175.075000000001</v>
      </c>
      <c r="R360" s="39">
        <v>194.9</v>
      </c>
      <c r="S360" s="6">
        <f t="shared" si="69"/>
        <v>62.253086168712272</v>
      </c>
      <c r="T360" s="40">
        <f t="shared" si="70"/>
        <v>110.34072231048698</v>
      </c>
      <c r="U360" s="6">
        <v>888.50400000000002</v>
      </c>
      <c r="V360" s="40">
        <v>0.19400000000000001</v>
      </c>
      <c r="W360" s="41">
        <f>1/1.227</f>
        <v>0.81499592502037488</v>
      </c>
      <c r="X360" s="6">
        <f>1/W360</f>
        <v>1.2270000000000001</v>
      </c>
      <c r="Y360" s="15">
        <v>0.81499999999999995</v>
      </c>
      <c r="Z360" s="15">
        <v>0.56299999999999994</v>
      </c>
      <c r="AA360" s="6">
        <v>196.255</v>
      </c>
      <c r="AB360" s="6">
        <v>140.96799999999999</v>
      </c>
      <c r="AC360" s="6">
        <v>220.285</v>
      </c>
      <c r="AD360" s="6">
        <v>143.48099999999999</v>
      </c>
      <c r="AE360" s="6">
        <v>21728.496999999999</v>
      </c>
      <c r="AF360" s="41">
        <f>SQRT(AE360)</f>
        <v>147.40589201249725</v>
      </c>
      <c r="AG360" s="6">
        <v>581.44100000000003</v>
      </c>
      <c r="AH360" s="6">
        <v>0.80800000000000005</v>
      </c>
      <c r="AI360" s="6">
        <f>1/1.392</f>
        <v>0.71839080459770122</v>
      </c>
      <c r="AJ360" s="6">
        <f>1/AI360</f>
        <v>1.3919999999999999</v>
      </c>
      <c r="AK360" s="6">
        <v>0.71799999999999997</v>
      </c>
      <c r="AL360" s="6">
        <v>1</v>
      </c>
      <c r="AM360" s="6">
        <v>0.5</v>
      </c>
      <c r="AN360" s="6">
        <v>0.68621509784636736</v>
      </c>
      <c r="AO360" s="6">
        <v>150.642</v>
      </c>
      <c r="AQ360" s="6">
        <v>199.71700000000001</v>
      </c>
      <c r="AR360" s="6">
        <f>AO360/AQ360</f>
        <v>0.75427730238287172</v>
      </c>
    </row>
    <row r="361" spans="1:49" x14ac:dyDescent="0.25">
      <c r="A361" t="s">
        <v>482</v>
      </c>
      <c r="B361" t="s">
        <v>483</v>
      </c>
      <c r="C361">
        <v>1162</v>
      </c>
      <c r="D361">
        <v>700</v>
      </c>
      <c r="H361" s="24">
        <v>67850</v>
      </c>
      <c r="I361" s="28">
        <v>135700</v>
      </c>
      <c r="J361" t="b">
        <v>0</v>
      </c>
      <c r="K361" t="s">
        <v>43</v>
      </c>
      <c r="M361" s="3">
        <v>99.242999999999995</v>
      </c>
      <c r="N361">
        <v>57.002000000000002</v>
      </c>
      <c r="O361">
        <v>127.30800000000001</v>
      </c>
      <c r="P361">
        <v>78.415999999999997</v>
      </c>
      <c r="Q361">
        <v>4443.0360000000001</v>
      </c>
      <c r="R361" s="28">
        <v>1299.1043212916843</v>
      </c>
      <c r="S361">
        <f t="shared" si="69"/>
        <v>37.606678708315691</v>
      </c>
      <c r="T361" s="29">
        <f t="shared" si="70"/>
        <v>66.656102496320614</v>
      </c>
      <c r="U361">
        <v>392.12400000000002</v>
      </c>
      <c r="V361" s="29">
        <v>0.36299999999999999</v>
      </c>
      <c r="W361" s="30">
        <f>1/1.741</f>
        <v>0.57438253877082135</v>
      </c>
      <c r="X361">
        <f t="shared" ref="X361:X379" si="71">1/W361</f>
        <v>1.7410000000000001</v>
      </c>
      <c r="Y361" s="3">
        <v>0.57399999999999995</v>
      </c>
      <c r="Z361" s="3">
        <v>0.66200000000000003</v>
      </c>
      <c r="AA361">
        <v>115.35899999999999</v>
      </c>
      <c r="AB361">
        <v>75.241</v>
      </c>
      <c r="AC361">
        <v>127.514</v>
      </c>
      <c r="AD361">
        <v>79.677999999999997</v>
      </c>
      <c r="AE361">
        <v>6817.0150000000003</v>
      </c>
      <c r="AF361" s="30">
        <f t="shared" ref="AF361:AF379" si="72">SQRT(AE361)</f>
        <v>82.565216647205617</v>
      </c>
      <c r="AG361">
        <v>336.56599999999997</v>
      </c>
      <c r="AH361">
        <v>0.75600000000000001</v>
      </c>
      <c r="AI361">
        <f>1/1.533</f>
        <v>0.65231572080887157</v>
      </c>
      <c r="AJ361">
        <f t="shared" ref="AJ361:AJ379" si="73">1/AI361</f>
        <v>1.5329999999999999</v>
      </c>
      <c r="AK361">
        <v>0.65200000000000002</v>
      </c>
      <c r="AL361">
        <v>1</v>
      </c>
      <c r="AM361">
        <v>0.5</v>
      </c>
      <c r="AN361">
        <v>0.71002227695019682</v>
      </c>
      <c r="AO361">
        <v>132</v>
      </c>
      <c r="AQ361">
        <v>83.46</v>
      </c>
      <c r="AR361">
        <f t="shared" ref="AR361:AR379" si="74">AO361/AQ361</f>
        <v>1.5815959741193388</v>
      </c>
    </row>
    <row r="362" spans="1:49" x14ac:dyDescent="0.25">
      <c r="B362" t="s">
        <v>484</v>
      </c>
      <c r="C362">
        <v>1162</v>
      </c>
      <c r="D362">
        <v>600</v>
      </c>
      <c r="H362" s="24">
        <v>157246</v>
      </c>
      <c r="I362" s="55">
        <v>314492</v>
      </c>
      <c r="J362" t="b">
        <v>0</v>
      </c>
      <c r="K362" t="s">
        <v>43</v>
      </c>
      <c r="M362" s="3">
        <v>146.61000000000001</v>
      </c>
      <c r="N362">
        <v>102.06699999999999</v>
      </c>
      <c r="O362">
        <v>258.60700000000003</v>
      </c>
      <c r="P362">
        <v>124.128</v>
      </c>
      <c r="Q362">
        <v>11752.647999999999</v>
      </c>
      <c r="R362" s="28">
        <v>1778.2514156769882</v>
      </c>
      <c r="S362">
        <f t="shared" si="69"/>
        <v>61.163584323011634</v>
      </c>
      <c r="T362" s="29">
        <f t="shared" si="70"/>
        <v>108.40963056850623</v>
      </c>
      <c r="U362">
        <v>802.43</v>
      </c>
      <c r="V362" s="29">
        <v>0.22900000000000001</v>
      </c>
      <c r="W362" s="30">
        <f>1/1.436</f>
        <v>0.69637883008356549</v>
      </c>
      <c r="X362">
        <f t="shared" si="71"/>
        <v>1.4359999999999999</v>
      </c>
      <c r="Y362" s="3">
        <v>0.69599999999999995</v>
      </c>
      <c r="Z362" s="3">
        <v>0.47599999999999998</v>
      </c>
      <c r="AA362">
        <v>235.77799999999999</v>
      </c>
      <c r="AB362">
        <v>134.15</v>
      </c>
      <c r="AC362">
        <v>261.38</v>
      </c>
      <c r="AD362">
        <v>122.831</v>
      </c>
      <c r="AE362">
        <v>24841.888999999999</v>
      </c>
      <c r="AF362" s="30">
        <f t="shared" si="72"/>
        <v>157.61309907491827</v>
      </c>
      <c r="AG362">
        <v>660.68600000000004</v>
      </c>
      <c r="AH362">
        <v>0.71499999999999997</v>
      </c>
      <c r="AI362">
        <f>1/1.758</f>
        <v>0.56882821387940841</v>
      </c>
      <c r="AJ362">
        <f t="shared" si="73"/>
        <v>1.758</v>
      </c>
      <c r="AK362">
        <v>0.56899999999999995</v>
      </c>
      <c r="AL362">
        <v>1</v>
      </c>
      <c r="AM362">
        <v>0.5</v>
      </c>
      <c r="AN362">
        <v>0.73678362747390391</v>
      </c>
      <c r="AO362">
        <v>253.21799999999999</v>
      </c>
      <c r="AQ362">
        <v>182.17</v>
      </c>
      <c r="AR362">
        <f t="shared" si="74"/>
        <v>1.3900093319426909</v>
      </c>
    </row>
    <row r="363" spans="1:49" x14ac:dyDescent="0.25">
      <c r="B363" t="s">
        <v>485</v>
      </c>
      <c r="C363">
        <v>1162</v>
      </c>
      <c r="D363">
        <v>500</v>
      </c>
      <c r="H363" s="24">
        <v>347011</v>
      </c>
      <c r="I363" s="55">
        <v>694022</v>
      </c>
      <c r="J363" t="b">
        <v>0</v>
      </c>
      <c r="K363" t="s">
        <v>43</v>
      </c>
      <c r="M363" s="3">
        <v>127.351</v>
      </c>
      <c r="N363">
        <v>73.534000000000006</v>
      </c>
      <c r="O363">
        <v>166.83600000000001</v>
      </c>
      <c r="P363">
        <v>100.833</v>
      </c>
      <c r="Q363">
        <v>7354.8559999999998</v>
      </c>
      <c r="R363" s="28">
        <v>428.91884343046752</v>
      </c>
      <c r="S363">
        <f t="shared" si="69"/>
        <v>48.385156569532462</v>
      </c>
      <c r="T363" s="29">
        <f t="shared" si="70"/>
        <v>85.760457088334135</v>
      </c>
      <c r="U363">
        <v>542.95299999999997</v>
      </c>
      <c r="V363" s="29">
        <v>0.314</v>
      </c>
      <c r="W363" s="30">
        <f>1/1.732</f>
        <v>0.57736720554272514</v>
      </c>
      <c r="X363">
        <f t="shared" si="71"/>
        <v>1.7320000000000002</v>
      </c>
      <c r="Y363" s="3">
        <v>0.57699999999999996</v>
      </c>
      <c r="Z363" s="3">
        <v>0.66400000000000003</v>
      </c>
      <c r="AA363">
        <v>147.88399999999999</v>
      </c>
      <c r="AB363">
        <v>95.801000000000002</v>
      </c>
      <c r="AC363">
        <v>168.61600000000001</v>
      </c>
      <c r="AD363">
        <v>101.033</v>
      </c>
      <c r="AE363">
        <v>11134.428</v>
      </c>
      <c r="AF363" s="30">
        <f t="shared" si="72"/>
        <v>105.5197990900286</v>
      </c>
      <c r="AG363">
        <v>421.54300000000001</v>
      </c>
      <c r="AH363">
        <v>0.78700000000000003</v>
      </c>
      <c r="AI363">
        <f>1/1.543</f>
        <v>0.64808813998703829</v>
      </c>
      <c r="AJ363">
        <f t="shared" si="73"/>
        <v>1.5429999999999999</v>
      </c>
      <c r="AK363">
        <v>0.64800000000000002</v>
      </c>
      <c r="AL363">
        <v>1</v>
      </c>
      <c r="AM363">
        <v>0.5</v>
      </c>
      <c r="AN363">
        <v>0.71718588063365341</v>
      </c>
      <c r="AO363">
        <v>118.182</v>
      </c>
      <c r="AQ363">
        <v>148.21600000000001</v>
      </c>
      <c r="AR363">
        <f t="shared" si="74"/>
        <v>0.79736330760511687</v>
      </c>
    </row>
    <row r="364" spans="1:49" x14ac:dyDescent="0.25">
      <c r="B364" t="s">
        <v>486</v>
      </c>
      <c r="C364">
        <v>1162</v>
      </c>
      <c r="D364">
        <v>600</v>
      </c>
      <c r="H364" s="24">
        <v>280698</v>
      </c>
      <c r="I364" s="55">
        <v>561396</v>
      </c>
      <c r="J364" t="b">
        <v>0</v>
      </c>
      <c r="K364" t="s">
        <v>43</v>
      </c>
      <c r="M364" s="3">
        <v>62.19</v>
      </c>
      <c r="N364">
        <v>42.37</v>
      </c>
      <c r="O364">
        <v>69.971999999999994</v>
      </c>
      <c r="P364">
        <v>48.475999999999999</v>
      </c>
      <c r="Q364">
        <v>2069.5349999999999</v>
      </c>
      <c r="R364" s="28">
        <v>1519.0868072495475</v>
      </c>
      <c r="S364">
        <f t="shared" si="69"/>
        <v>25.666192750452321</v>
      </c>
      <c r="T364" s="29">
        <f t="shared" si="70"/>
        <v>45.492142178622451</v>
      </c>
      <c r="U364">
        <v>213.90100000000001</v>
      </c>
      <c r="V364" s="29">
        <v>0.56799999999999995</v>
      </c>
      <c r="W364" s="30">
        <f>1/1.468</f>
        <v>0.68119891008174394</v>
      </c>
      <c r="X364">
        <f t="shared" si="71"/>
        <v>1.4679999999999997</v>
      </c>
      <c r="Y364" s="3">
        <v>0.68100000000000005</v>
      </c>
      <c r="Z364" s="3">
        <v>0.85199999999999998</v>
      </c>
      <c r="AA364">
        <v>64.992000000000004</v>
      </c>
      <c r="AB364">
        <v>47.365000000000002</v>
      </c>
      <c r="AC364">
        <v>71.591999999999999</v>
      </c>
      <c r="AD364">
        <v>47.970999999999997</v>
      </c>
      <c r="AE364">
        <v>2417.7510000000002</v>
      </c>
      <c r="AF364" s="30">
        <f t="shared" si="72"/>
        <v>49.170631478556388</v>
      </c>
      <c r="AG364">
        <v>189.947</v>
      </c>
      <c r="AH364">
        <v>0.84199999999999997</v>
      </c>
      <c r="AI364">
        <f>1/1.372</f>
        <v>0.7288629737609329</v>
      </c>
      <c r="AJ364">
        <f t="shared" si="73"/>
        <v>1.3720000000000001</v>
      </c>
      <c r="AK364">
        <v>0.72899999999999998</v>
      </c>
      <c r="AL364">
        <v>1</v>
      </c>
      <c r="AM364">
        <v>0.5</v>
      </c>
      <c r="AN364">
        <v>0.78322887014252718</v>
      </c>
      <c r="AO364">
        <v>49.122</v>
      </c>
      <c r="AQ364">
        <v>62.860999999999997</v>
      </c>
      <c r="AR364">
        <f t="shared" si="74"/>
        <v>0.78143841173382544</v>
      </c>
    </row>
    <row r="365" spans="1:49" x14ac:dyDescent="0.25">
      <c r="B365" t="s">
        <v>487</v>
      </c>
      <c r="C365">
        <v>1162</v>
      </c>
      <c r="D365">
        <v>500</v>
      </c>
      <c r="H365" s="24">
        <v>2427812</v>
      </c>
      <c r="I365" s="55">
        <v>4855624</v>
      </c>
      <c r="J365" t="b">
        <v>0</v>
      </c>
      <c r="K365" t="s">
        <v>64</v>
      </c>
      <c r="M365" s="3">
        <v>41.32</v>
      </c>
      <c r="N365">
        <v>34.695</v>
      </c>
      <c r="O365">
        <v>41.622999999999998</v>
      </c>
      <c r="P365">
        <v>34.344000000000001</v>
      </c>
      <c r="Q365">
        <v>1125.961</v>
      </c>
      <c r="R365" s="28">
        <v>394.40742537564859</v>
      </c>
      <c r="S365">
        <f t="shared" si="69"/>
        <v>18.931574624351434</v>
      </c>
      <c r="T365" s="29">
        <f t="shared" si="70"/>
        <v>33.555342346636849</v>
      </c>
      <c r="U365">
        <v>120.367</v>
      </c>
      <c r="V365" s="29">
        <v>0.97699999999999998</v>
      </c>
      <c r="W365" s="30">
        <f>1/1.191</f>
        <v>0.83963056255247692</v>
      </c>
      <c r="X365">
        <f t="shared" si="71"/>
        <v>1.1910000000000001</v>
      </c>
      <c r="Y365" s="3">
        <v>0.84</v>
      </c>
      <c r="Z365" s="3">
        <v>1</v>
      </c>
      <c r="AA365">
        <f>M365</f>
        <v>41.32</v>
      </c>
      <c r="AB365">
        <f>N365</f>
        <v>34.695</v>
      </c>
      <c r="AC365">
        <f>O365</f>
        <v>41.622999999999998</v>
      </c>
      <c r="AD365">
        <f>P365</f>
        <v>34.344000000000001</v>
      </c>
      <c r="AE365">
        <f>Q365</f>
        <v>1125.961</v>
      </c>
      <c r="AF365" s="30">
        <f t="shared" si="72"/>
        <v>33.555342346636849</v>
      </c>
      <c r="AG365">
        <f t="shared" ref="AG365:AL365" si="75">U365</f>
        <v>120.367</v>
      </c>
      <c r="AH365">
        <f t="shared" si="75"/>
        <v>0.97699999999999998</v>
      </c>
      <c r="AI365">
        <f t="shared" si="75"/>
        <v>0.83963056255247692</v>
      </c>
      <c r="AJ365">
        <f t="shared" si="75"/>
        <v>1.1910000000000001</v>
      </c>
      <c r="AK365">
        <f t="shared" si="75"/>
        <v>0.84</v>
      </c>
      <c r="AL365">
        <f t="shared" si="75"/>
        <v>1</v>
      </c>
      <c r="AM365">
        <v>0.5</v>
      </c>
      <c r="AN365">
        <v>0.89576527425599772</v>
      </c>
      <c r="AO365">
        <v>38.640999999999998</v>
      </c>
      <c r="AQ365">
        <v>38.402000000000001</v>
      </c>
      <c r="AR365">
        <f t="shared" si="74"/>
        <v>1.0062236341857194</v>
      </c>
    </row>
    <row r="366" spans="1:49" x14ac:dyDescent="0.25">
      <c r="B366" t="s">
        <v>488</v>
      </c>
      <c r="C366">
        <v>1162</v>
      </c>
      <c r="D366">
        <v>700</v>
      </c>
      <c r="H366" s="24">
        <v>72511</v>
      </c>
      <c r="I366" s="55">
        <v>145022</v>
      </c>
      <c r="J366" t="b">
        <v>0</v>
      </c>
      <c r="K366" t="s">
        <v>43</v>
      </c>
      <c r="M366" s="3">
        <v>77.691000000000003</v>
      </c>
      <c r="N366">
        <v>50.686</v>
      </c>
      <c r="O366">
        <v>92.974999999999994</v>
      </c>
      <c r="P366">
        <v>58.93</v>
      </c>
      <c r="Q366">
        <v>3092.7869999999998</v>
      </c>
      <c r="R366" s="28">
        <v>565.14581989532974</v>
      </c>
      <c r="S366">
        <f t="shared" si="69"/>
        <v>31.376180104670283</v>
      </c>
      <c r="T366" s="29">
        <f t="shared" si="70"/>
        <v>55.612831253227881</v>
      </c>
      <c r="U366">
        <v>260.517</v>
      </c>
      <c r="V366" s="29">
        <v>0.57299999999999995</v>
      </c>
      <c r="W366" s="30">
        <f>1/1.533</f>
        <v>0.65231572080887157</v>
      </c>
      <c r="X366">
        <f t="shared" si="71"/>
        <v>1.5329999999999999</v>
      </c>
      <c r="Y366" s="3">
        <v>0.65200000000000002</v>
      </c>
      <c r="Z366" s="3">
        <v>0.85499999999999998</v>
      </c>
      <c r="AA366">
        <v>84.152000000000001</v>
      </c>
      <c r="AB366">
        <v>54.243000000000002</v>
      </c>
      <c r="AC366">
        <v>95.578000000000003</v>
      </c>
      <c r="AD366">
        <v>57.825000000000003</v>
      </c>
      <c r="AE366">
        <v>3585.0990000000002</v>
      </c>
      <c r="AF366" s="30">
        <f t="shared" si="72"/>
        <v>59.875696238123197</v>
      </c>
      <c r="AG366">
        <v>239.00200000000001</v>
      </c>
      <c r="AH366">
        <v>0.78900000000000003</v>
      </c>
      <c r="AI366">
        <f>1/1.551</f>
        <v>0.64474532559638942</v>
      </c>
      <c r="AJ366">
        <f t="shared" si="73"/>
        <v>1.5509999999999999</v>
      </c>
      <c r="AK366">
        <v>0.64500000000000002</v>
      </c>
      <c r="AL366">
        <v>0.97899999999999998</v>
      </c>
      <c r="AM366">
        <v>0.5</v>
      </c>
      <c r="AN366">
        <v>0.75704771411285909</v>
      </c>
      <c r="AO366">
        <v>68.271000000000001</v>
      </c>
      <c r="AQ366">
        <v>73.475999999999999</v>
      </c>
      <c r="AR366">
        <f t="shared" si="74"/>
        <v>0.92916054221786704</v>
      </c>
    </row>
    <row r="367" spans="1:49" x14ac:dyDescent="0.25">
      <c r="B367" t="s">
        <v>489</v>
      </c>
      <c r="C367">
        <v>1162</v>
      </c>
      <c r="D367">
        <v>600</v>
      </c>
      <c r="H367" s="24">
        <v>443049</v>
      </c>
      <c r="I367" s="55">
        <v>886098</v>
      </c>
      <c r="J367" t="b">
        <v>0</v>
      </c>
      <c r="K367" t="s">
        <v>43</v>
      </c>
      <c r="M367" s="3">
        <v>88.962000000000003</v>
      </c>
      <c r="N367">
        <v>34.179000000000002</v>
      </c>
      <c r="O367">
        <v>98.334999999999994</v>
      </c>
      <c r="P367">
        <v>37.229999999999997</v>
      </c>
      <c r="Q367">
        <v>2388.15</v>
      </c>
      <c r="R367" s="28">
        <v>949.25978757308962</v>
      </c>
      <c r="S367">
        <f t="shared" si="69"/>
        <v>27.571212426910424</v>
      </c>
      <c r="T367" s="29">
        <f t="shared" si="70"/>
        <v>48.868701640211398</v>
      </c>
      <c r="U367">
        <v>219.648</v>
      </c>
      <c r="V367" s="29">
        <v>0.622</v>
      </c>
      <c r="W367" s="30">
        <f>1/2.603</f>
        <v>0.38417210910487898</v>
      </c>
      <c r="X367">
        <f t="shared" si="71"/>
        <v>2.6030000000000002</v>
      </c>
      <c r="Y367" s="3">
        <v>0.38400000000000001</v>
      </c>
      <c r="Z367" s="3">
        <v>0.97399999999999998</v>
      </c>
      <c r="AA367">
        <v>93.105000000000004</v>
      </c>
      <c r="AB367">
        <v>36.659999999999997</v>
      </c>
      <c r="AC367">
        <v>98.164000000000001</v>
      </c>
      <c r="AD367">
        <v>38.076999999999998</v>
      </c>
      <c r="AE367">
        <v>2680.73</v>
      </c>
      <c r="AF367" s="30">
        <f t="shared" si="72"/>
        <v>51.775766532230115</v>
      </c>
      <c r="AG367">
        <v>221.886</v>
      </c>
      <c r="AH367">
        <v>0.68400000000000005</v>
      </c>
      <c r="AI367">
        <f>1/2.54</f>
        <v>0.39370078740157477</v>
      </c>
      <c r="AJ367">
        <f t="shared" si="73"/>
        <v>2.54</v>
      </c>
      <c r="AK367">
        <v>0.39400000000000002</v>
      </c>
      <c r="AL367">
        <v>0.998</v>
      </c>
      <c r="AM367">
        <v>0.5</v>
      </c>
      <c r="AN367">
        <v>0.64596168394550835</v>
      </c>
      <c r="AO367">
        <v>98.102000000000004</v>
      </c>
      <c r="AQ367">
        <v>38.000999999999998</v>
      </c>
      <c r="AR367">
        <f t="shared" si="74"/>
        <v>2.581563643062025</v>
      </c>
    </row>
    <row r="368" spans="1:49" x14ac:dyDescent="0.25">
      <c r="B368" t="s">
        <v>490</v>
      </c>
      <c r="C368">
        <v>1162</v>
      </c>
      <c r="D368">
        <v>700</v>
      </c>
      <c r="H368" s="24">
        <v>108303</v>
      </c>
      <c r="I368" s="55">
        <v>216606</v>
      </c>
      <c r="J368" t="b">
        <v>0</v>
      </c>
      <c r="K368" t="s">
        <v>43</v>
      </c>
      <c r="M368" s="3">
        <v>88.753</v>
      </c>
      <c r="N368">
        <v>39.92</v>
      </c>
      <c r="O368">
        <v>115.248</v>
      </c>
      <c r="P368">
        <v>51.988999999999997</v>
      </c>
      <c r="Q368">
        <v>2782.694</v>
      </c>
      <c r="R368" s="28">
        <v>698.04429624459794</v>
      </c>
      <c r="S368">
        <f t="shared" si="69"/>
        <v>29.761703755402131</v>
      </c>
      <c r="T368" s="29">
        <f t="shared" si="70"/>
        <v>52.751246430771658</v>
      </c>
      <c r="U368">
        <v>307.06700000000001</v>
      </c>
      <c r="V368" s="29">
        <v>0.371</v>
      </c>
      <c r="W368" s="30">
        <f>1/2.223</f>
        <v>0.44984255510571303</v>
      </c>
      <c r="X368">
        <f t="shared" si="71"/>
        <v>2.2229999999999999</v>
      </c>
      <c r="Y368" s="3">
        <v>0.45</v>
      </c>
      <c r="Z368" s="3">
        <v>0.72</v>
      </c>
      <c r="AA368">
        <v>103.538</v>
      </c>
      <c r="AB368">
        <v>46.856000000000002</v>
      </c>
      <c r="AC368">
        <v>116.41500000000001</v>
      </c>
      <c r="AD368">
        <v>51.972999999999999</v>
      </c>
      <c r="AE368">
        <v>3810.2779999999998</v>
      </c>
      <c r="AF368" s="30">
        <f t="shared" si="72"/>
        <v>61.727449323619389</v>
      </c>
      <c r="AG368">
        <v>265.28800000000001</v>
      </c>
      <c r="AH368">
        <v>0.68</v>
      </c>
      <c r="AI368">
        <f>1/2.21</f>
        <v>0.45248868778280543</v>
      </c>
      <c r="AJ368">
        <f t="shared" si="73"/>
        <v>2.21</v>
      </c>
      <c r="AK368">
        <v>0.45300000000000001</v>
      </c>
      <c r="AL368">
        <v>0.998</v>
      </c>
      <c r="AM368">
        <v>0.5</v>
      </c>
      <c r="AN368">
        <v>0.62559488381753336</v>
      </c>
      <c r="AO368">
        <v>51.643999999999998</v>
      </c>
      <c r="AQ368">
        <v>112.78700000000001</v>
      </c>
      <c r="AR368">
        <f t="shared" si="74"/>
        <v>0.45788965040297191</v>
      </c>
    </row>
    <row r="369" spans="1:51" x14ac:dyDescent="0.25">
      <c r="B369" t="s">
        <v>491</v>
      </c>
      <c r="C369">
        <v>1162</v>
      </c>
      <c r="D369">
        <v>500</v>
      </c>
      <c r="H369" s="24">
        <v>1270334</v>
      </c>
      <c r="I369" s="55">
        <v>2540668</v>
      </c>
      <c r="J369" t="b">
        <v>0</v>
      </c>
      <c r="K369" t="s">
        <v>43</v>
      </c>
      <c r="L369" t="s">
        <v>44</v>
      </c>
      <c r="M369" s="3">
        <v>87.313999999999993</v>
      </c>
      <c r="N369">
        <v>51.393000000000001</v>
      </c>
      <c r="O369">
        <v>103.075</v>
      </c>
      <c r="P369">
        <v>63.63</v>
      </c>
      <c r="Q369">
        <v>3524.6460000000002</v>
      </c>
      <c r="R369" s="28">
        <v>1586.1377814293121</v>
      </c>
      <c r="S369">
        <f t="shared" si="69"/>
        <v>33.495218570687868</v>
      </c>
      <c r="T369" s="29">
        <f t="shared" si="70"/>
        <v>59.36872914253766</v>
      </c>
      <c r="U369">
        <v>349.70400000000001</v>
      </c>
      <c r="V369" s="29">
        <v>0.36199999999999999</v>
      </c>
      <c r="W369" s="30">
        <f>1/1.699</f>
        <v>0.58858151854031782</v>
      </c>
      <c r="X369">
        <f t="shared" si="71"/>
        <v>1.6990000000000001</v>
      </c>
      <c r="Y369" s="3">
        <v>0.58899999999999997</v>
      </c>
      <c r="Z369" s="3">
        <v>0.73099999999999998</v>
      </c>
      <c r="AA369">
        <v>95.738</v>
      </c>
      <c r="AB369">
        <v>63.008000000000003</v>
      </c>
      <c r="AC369">
        <v>103.175</v>
      </c>
      <c r="AD369">
        <v>62.045999999999999</v>
      </c>
      <c r="AE369">
        <v>4737.7280000000001</v>
      </c>
      <c r="AF369" s="30">
        <f t="shared" si="72"/>
        <v>68.831155736337891</v>
      </c>
      <c r="AG369">
        <v>269.69400000000002</v>
      </c>
      <c r="AH369">
        <v>0.81899999999999995</v>
      </c>
      <c r="AI369">
        <f>1/1.519</f>
        <v>0.65832784726793947</v>
      </c>
      <c r="AJ369">
        <f t="shared" si="73"/>
        <v>1.5189999999999999</v>
      </c>
      <c r="AK369">
        <v>0.65800000000000003</v>
      </c>
      <c r="AL369">
        <v>1</v>
      </c>
      <c r="AM369">
        <v>0.5</v>
      </c>
      <c r="AN369">
        <v>0</v>
      </c>
      <c r="AO369">
        <v>96.632999999999996</v>
      </c>
      <c r="AQ369">
        <v>61.798999999999999</v>
      </c>
      <c r="AR369">
        <f t="shared" si="74"/>
        <v>1.5636660787391381</v>
      </c>
    </row>
    <row r="370" spans="1:51" x14ac:dyDescent="0.25">
      <c r="B370" t="s">
        <v>492</v>
      </c>
      <c r="C370">
        <v>1162</v>
      </c>
      <c r="D370">
        <v>600</v>
      </c>
      <c r="H370" s="24">
        <v>420382</v>
      </c>
      <c r="I370" s="55">
        <v>840764</v>
      </c>
      <c r="J370" t="b">
        <v>0</v>
      </c>
      <c r="K370" t="s">
        <v>43</v>
      </c>
      <c r="M370" s="3">
        <v>73.938999999999993</v>
      </c>
      <c r="N370">
        <v>43.988999999999997</v>
      </c>
      <c r="O370">
        <v>85.108000000000004</v>
      </c>
      <c r="P370">
        <v>51.404000000000003</v>
      </c>
      <c r="Q370">
        <v>2554.4760000000001</v>
      </c>
      <c r="R370" s="28">
        <v>509.42782921637632</v>
      </c>
      <c r="S370">
        <f t="shared" si="69"/>
        <v>28.51517078362367</v>
      </c>
      <c r="T370" s="29">
        <f t="shared" si="70"/>
        <v>50.541824264662232</v>
      </c>
      <c r="U370">
        <v>233.72</v>
      </c>
      <c r="V370" s="29">
        <v>0.58799999999999997</v>
      </c>
      <c r="W370" s="30">
        <f>1/1.681</f>
        <v>0.59488399762046396</v>
      </c>
      <c r="X370">
        <f t="shared" si="71"/>
        <v>1.681</v>
      </c>
      <c r="Y370" s="3">
        <v>0.59499999999999997</v>
      </c>
      <c r="Z370" s="3">
        <v>0.85299999999999998</v>
      </c>
      <c r="AA370">
        <v>75.375</v>
      </c>
      <c r="AB370">
        <v>48.381</v>
      </c>
      <c r="AC370">
        <v>84.557000000000002</v>
      </c>
      <c r="AD370">
        <v>51.926000000000002</v>
      </c>
      <c r="AE370">
        <v>2864.0839999999998</v>
      </c>
      <c r="AF370" s="30">
        <f t="shared" si="72"/>
        <v>53.517137442131563</v>
      </c>
      <c r="AG370">
        <v>222.85400000000001</v>
      </c>
      <c r="AH370">
        <v>0.72499999999999998</v>
      </c>
      <c r="AI370">
        <f>1/1.558</f>
        <v>0.64184852374839541</v>
      </c>
      <c r="AJ370">
        <f t="shared" si="73"/>
        <v>1.5579999999999998</v>
      </c>
      <c r="AK370">
        <v>0.64200000000000002</v>
      </c>
      <c r="AL370">
        <v>0.997</v>
      </c>
      <c r="AM370">
        <v>0.5</v>
      </c>
      <c r="AN370">
        <v>0.70299194824901201</v>
      </c>
      <c r="AO370">
        <v>54.896000000000001</v>
      </c>
      <c r="AQ370">
        <v>82.222999999999999</v>
      </c>
      <c r="AR370">
        <f t="shared" si="74"/>
        <v>0.66764773846733882</v>
      </c>
    </row>
    <row r="371" spans="1:51" x14ac:dyDescent="0.25">
      <c r="B371" t="s">
        <v>493</v>
      </c>
      <c r="C371">
        <v>1162</v>
      </c>
      <c r="D371">
        <v>700</v>
      </c>
      <c r="H371" s="24">
        <v>215659</v>
      </c>
      <c r="I371" s="55">
        <v>431318</v>
      </c>
      <c r="J371" t="b">
        <v>0</v>
      </c>
      <c r="K371" t="s">
        <v>43</v>
      </c>
      <c r="M371" s="3">
        <v>52.956000000000003</v>
      </c>
      <c r="N371">
        <v>22.956</v>
      </c>
      <c r="O371">
        <v>55.804000000000002</v>
      </c>
      <c r="P371">
        <v>24.059000000000001</v>
      </c>
      <c r="Q371">
        <v>954.78899999999999</v>
      </c>
      <c r="R371" s="28">
        <v>95.693733584335504</v>
      </c>
      <c r="S371">
        <f t="shared" si="69"/>
        <v>17.433266415664487</v>
      </c>
      <c r="T371" s="29">
        <f t="shared" si="70"/>
        <v>30.899660192306321</v>
      </c>
      <c r="U371">
        <v>134.16</v>
      </c>
      <c r="V371" s="29">
        <v>0.66700000000000004</v>
      </c>
      <c r="W371" s="30">
        <f>1/2.307</f>
        <v>0.43346337234503685</v>
      </c>
      <c r="X371">
        <f t="shared" si="71"/>
        <v>2.3069999999999999</v>
      </c>
      <c r="Y371" s="3">
        <v>0.433</v>
      </c>
      <c r="Z371" s="3">
        <v>0.95099999999999996</v>
      </c>
      <c r="AA371">
        <v>54.887</v>
      </c>
      <c r="AB371">
        <v>23.617999999999999</v>
      </c>
      <c r="AC371">
        <v>55.804000000000002</v>
      </c>
      <c r="AD371">
        <v>24.059000000000001</v>
      </c>
      <c r="AE371">
        <v>1018.114</v>
      </c>
      <c r="AF371" s="30">
        <f t="shared" si="72"/>
        <v>31.907898708626991</v>
      </c>
      <c r="AG371">
        <v>131.61699999999999</v>
      </c>
      <c r="AH371">
        <v>0.73899999999999999</v>
      </c>
      <c r="AI371">
        <f>1/2.324</f>
        <v>0.43029259896729777</v>
      </c>
      <c r="AJ371">
        <f t="shared" si="73"/>
        <v>2.3239999999999998</v>
      </c>
      <c r="AK371">
        <v>0.43</v>
      </c>
      <c r="AL371">
        <v>0.999</v>
      </c>
      <c r="AM371">
        <v>0.5</v>
      </c>
      <c r="AN371">
        <v>0.69560466900094131</v>
      </c>
      <c r="AO371">
        <v>26.06</v>
      </c>
      <c r="AQ371">
        <v>55.432000000000002</v>
      </c>
      <c r="AR371">
        <f t="shared" si="74"/>
        <v>0.4701255592437581</v>
      </c>
    </row>
    <row r="372" spans="1:51" x14ac:dyDescent="0.25">
      <c r="B372" t="s">
        <v>494</v>
      </c>
      <c r="C372">
        <v>1162</v>
      </c>
      <c r="D372">
        <v>700</v>
      </c>
      <c r="H372" s="24">
        <v>101608</v>
      </c>
      <c r="I372" s="55"/>
      <c r="J372" t="b">
        <v>0</v>
      </c>
      <c r="K372" t="s">
        <v>43</v>
      </c>
      <c r="M372" s="3">
        <v>61.094999999999999</v>
      </c>
      <c r="N372">
        <v>30.055</v>
      </c>
      <c r="O372">
        <v>100.396</v>
      </c>
      <c r="P372">
        <v>58.881999999999998</v>
      </c>
      <c r="Q372">
        <v>1442.174</v>
      </c>
      <c r="R372" s="28">
        <v>325.0563555103418</v>
      </c>
      <c r="S372">
        <f t="shared" si="69"/>
        <v>21.425644489658232</v>
      </c>
      <c r="T372" s="29">
        <f t="shared" si="70"/>
        <v>37.975966083827281</v>
      </c>
      <c r="U372">
        <v>283.88099999999997</v>
      </c>
      <c r="V372" s="29">
        <v>0.22500000000000001</v>
      </c>
      <c r="W372" s="30">
        <f>1/2.033</f>
        <v>0.4918839153959666</v>
      </c>
      <c r="X372">
        <f t="shared" si="71"/>
        <v>2.0329999999999999</v>
      </c>
      <c r="Y372" s="3">
        <v>0.49199999999999999</v>
      </c>
      <c r="Z372" s="3">
        <v>0.42899999999999999</v>
      </c>
      <c r="AA372">
        <v>76.239999999999995</v>
      </c>
      <c r="AB372">
        <v>51.945999999999998</v>
      </c>
      <c r="AC372">
        <v>93.478999999999999</v>
      </c>
      <c r="AD372">
        <v>55.26</v>
      </c>
      <c r="AE372">
        <v>3110.4940000000001</v>
      </c>
      <c r="AF372" s="30">
        <f t="shared" si="72"/>
        <v>55.771802911507173</v>
      </c>
      <c r="AG372">
        <v>248.12799999999999</v>
      </c>
      <c r="AH372">
        <v>0.63500000000000001</v>
      </c>
      <c r="AI372">
        <f>1/1.468</f>
        <v>0.68119891008174394</v>
      </c>
      <c r="AJ372">
        <f t="shared" si="73"/>
        <v>1.4679999999999997</v>
      </c>
      <c r="AK372">
        <v>0.68100000000000005</v>
      </c>
      <c r="AL372">
        <v>1.0009999999999999</v>
      </c>
      <c r="AM372">
        <v>0.5</v>
      </c>
      <c r="AN372">
        <v>0</v>
      </c>
      <c r="AO372">
        <v>84.733999999999995</v>
      </c>
      <c r="AQ372">
        <v>81.956000000000003</v>
      </c>
      <c r="AR372">
        <f t="shared" si="74"/>
        <v>1.0338962370052223</v>
      </c>
    </row>
    <row r="373" spans="1:51" x14ac:dyDescent="0.25">
      <c r="B373" t="s">
        <v>495</v>
      </c>
      <c r="C373">
        <v>1162</v>
      </c>
      <c r="D373">
        <v>600</v>
      </c>
      <c r="H373" s="24">
        <v>786035</v>
      </c>
      <c r="I373" s="55">
        <v>1572070</v>
      </c>
      <c r="J373" t="b">
        <v>0</v>
      </c>
      <c r="K373" t="s">
        <v>43</v>
      </c>
      <c r="M373" s="3">
        <v>91.438000000000002</v>
      </c>
      <c r="N373">
        <v>31.388999999999999</v>
      </c>
      <c r="O373">
        <v>105.151</v>
      </c>
      <c r="P373">
        <v>34.948</v>
      </c>
      <c r="Q373">
        <v>2254.2289999999998</v>
      </c>
      <c r="R373" s="28">
        <v>1213.2319998614589</v>
      </c>
      <c r="S373">
        <f t="shared" si="69"/>
        <v>26.787000138541089</v>
      </c>
      <c r="T373" s="29">
        <f t="shared" si="70"/>
        <v>47.47872154976374</v>
      </c>
      <c r="U373">
        <v>241.172</v>
      </c>
      <c r="V373" s="29">
        <v>0.48699999999999999</v>
      </c>
      <c r="W373" s="30">
        <f>1/2.913</f>
        <v>0.34328870580157916</v>
      </c>
      <c r="X373">
        <f t="shared" si="71"/>
        <v>2.9129999999999998</v>
      </c>
      <c r="Y373" s="3">
        <v>0.34300000000000003</v>
      </c>
      <c r="Z373" s="3">
        <v>0.91</v>
      </c>
      <c r="AA373">
        <v>95.039000000000001</v>
      </c>
      <c r="AB373">
        <v>33.371000000000002</v>
      </c>
      <c r="AC373">
        <v>106.517</v>
      </c>
      <c r="AD373">
        <v>35.933</v>
      </c>
      <c r="AE373">
        <v>2490.9369999999999</v>
      </c>
      <c r="AF373" s="30">
        <f t="shared" si="72"/>
        <v>49.909287712809522</v>
      </c>
      <c r="AG373">
        <v>240.18199999999999</v>
      </c>
      <c r="AH373">
        <v>0.54300000000000004</v>
      </c>
      <c r="AI373">
        <f>1/2.848</f>
        <v>0.351123595505618</v>
      </c>
      <c r="AJ373">
        <f t="shared" si="73"/>
        <v>2.8479999999999999</v>
      </c>
      <c r="AK373">
        <v>0.35099999999999998</v>
      </c>
      <c r="AL373">
        <v>1</v>
      </c>
      <c r="AM373">
        <v>0.5</v>
      </c>
      <c r="AN373">
        <v>0.60729644847778586</v>
      </c>
      <c r="AO373">
        <v>104.398</v>
      </c>
      <c r="AQ373">
        <v>51.039000000000001</v>
      </c>
      <c r="AR373">
        <f t="shared" si="74"/>
        <v>2.0454554360391071</v>
      </c>
    </row>
    <row r="374" spans="1:51" x14ac:dyDescent="0.25">
      <c r="B374" t="s">
        <v>496</v>
      </c>
      <c r="C374">
        <v>1162</v>
      </c>
      <c r="D374">
        <v>500</v>
      </c>
      <c r="H374" s="24">
        <v>1395519</v>
      </c>
      <c r="I374" s="28">
        <v>2791038</v>
      </c>
      <c r="J374" t="b">
        <v>0</v>
      </c>
      <c r="K374" t="s">
        <v>43</v>
      </c>
      <c r="M374" s="3">
        <v>95.286000000000001</v>
      </c>
      <c r="N374">
        <v>60.18</v>
      </c>
      <c r="O374">
        <v>121.319</v>
      </c>
      <c r="P374">
        <v>81.578000000000003</v>
      </c>
      <c r="Q374">
        <v>4503.6729999999998</v>
      </c>
      <c r="R374" s="28">
        <v>663.44856954395277</v>
      </c>
      <c r="S374">
        <f t="shared" si="69"/>
        <v>37.862430456047207</v>
      </c>
      <c r="T374" s="29">
        <f t="shared" si="70"/>
        <v>67.109410666463162</v>
      </c>
      <c r="U374">
        <v>358.92399999999998</v>
      </c>
      <c r="V374" s="29">
        <v>0.439</v>
      </c>
      <c r="W374" s="30">
        <f>1/1.583</f>
        <v>0.63171193935565384</v>
      </c>
      <c r="X374">
        <f t="shared" si="71"/>
        <v>1.583</v>
      </c>
      <c r="Y374" s="3">
        <v>0.63200000000000001</v>
      </c>
      <c r="Z374" s="3">
        <v>0.69399999999999995</v>
      </c>
      <c r="AA374">
        <v>109.29600000000001</v>
      </c>
      <c r="AB374">
        <v>74.963999999999999</v>
      </c>
      <c r="AC374">
        <v>122.503</v>
      </c>
      <c r="AD374">
        <v>81.474000000000004</v>
      </c>
      <c r="AE374">
        <v>6434.9790000000003</v>
      </c>
      <c r="AF374" s="30">
        <f t="shared" si="72"/>
        <v>80.218320850040243</v>
      </c>
      <c r="AG374">
        <v>312.30099999999999</v>
      </c>
      <c r="AH374">
        <v>0.82899999999999996</v>
      </c>
      <c r="AI374">
        <f>1/1.458</f>
        <v>0.68587105624142664</v>
      </c>
      <c r="AJ374">
        <f t="shared" si="73"/>
        <v>1.458</v>
      </c>
      <c r="AK374">
        <v>0.68600000000000005</v>
      </c>
      <c r="AL374">
        <v>0.999</v>
      </c>
      <c r="AM374">
        <v>0.5</v>
      </c>
      <c r="AN374">
        <v>0.70216602078249257</v>
      </c>
      <c r="AO374">
        <v>116.75700000000001</v>
      </c>
      <c r="AQ374">
        <v>85.126000000000005</v>
      </c>
      <c r="AR374">
        <f t="shared" si="74"/>
        <v>1.3715786011324389</v>
      </c>
    </row>
    <row r="375" spans="1:51" x14ac:dyDescent="0.25">
      <c r="B375" t="s">
        <v>497</v>
      </c>
      <c r="C375">
        <v>1162</v>
      </c>
      <c r="D375">
        <v>500</v>
      </c>
      <c r="H375" s="24">
        <v>3272126</v>
      </c>
      <c r="I375" s="55">
        <v>6544252</v>
      </c>
      <c r="J375" t="b">
        <v>0</v>
      </c>
      <c r="K375" t="s">
        <v>43</v>
      </c>
      <c r="M375" s="3">
        <v>80.194999999999993</v>
      </c>
      <c r="N375">
        <v>25.599</v>
      </c>
      <c r="O375">
        <v>90.218000000000004</v>
      </c>
      <c r="P375">
        <v>34.618000000000002</v>
      </c>
      <c r="Q375">
        <v>1612.3530000000001</v>
      </c>
      <c r="R375" s="28">
        <v>810.96446623922509</v>
      </c>
      <c r="S375">
        <f t="shared" si="69"/>
        <v>22.654533760774981</v>
      </c>
      <c r="T375" s="29">
        <f t="shared" si="70"/>
        <v>40.154115604754637</v>
      </c>
      <c r="U375">
        <v>274.53500000000003</v>
      </c>
      <c r="V375" s="29">
        <v>0.26900000000000002</v>
      </c>
      <c r="W375" s="30">
        <f>1/3.133</f>
        <v>0.31918289179699966</v>
      </c>
      <c r="X375">
        <f t="shared" si="71"/>
        <v>3.1330000000000005</v>
      </c>
      <c r="Y375" s="3">
        <v>0.31900000000000001</v>
      </c>
      <c r="Z375" s="3">
        <v>0.67600000000000005</v>
      </c>
      <c r="AA375">
        <v>89.876999999999995</v>
      </c>
      <c r="AB375">
        <v>33.424999999999997</v>
      </c>
      <c r="AC375">
        <v>90.057000000000002</v>
      </c>
      <c r="AD375">
        <v>34.088999999999999</v>
      </c>
      <c r="AE375">
        <v>2359.4870000000001</v>
      </c>
      <c r="AF375" s="30">
        <f t="shared" si="72"/>
        <v>48.574550950060257</v>
      </c>
      <c r="AG375">
        <v>212.78800000000001</v>
      </c>
      <c r="AH375">
        <v>0.65500000000000003</v>
      </c>
      <c r="AI375">
        <f>1/2.689</f>
        <v>0.37188545927854222</v>
      </c>
      <c r="AJ375">
        <f t="shared" si="73"/>
        <v>2.6890000000000001</v>
      </c>
      <c r="AK375">
        <v>0.372</v>
      </c>
      <c r="AL375">
        <v>1</v>
      </c>
      <c r="AM375">
        <v>0.5</v>
      </c>
      <c r="AN375">
        <v>0.51262289962669627</v>
      </c>
      <c r="AO375">
        <v>54.935000000000002</v>
      </c>
      <c r="AQ375">
        <v>84.39</v>
      </c>
      <c r="AR375">
        <f t="shared" si="74"/>
        <v>0.65096575423628389</v>
      </c>
    </row>
    <row r="376" spans="1:51" x14ac:dyDescent="0.25">
      <c r="B376" t="s">
        <v>498</v>
      </c>
      <c r="C376">
        <v>1162</v>
      </c>
      <c r="D376">
        <v>700</v>
      </c>
      <c r="H376" s="24">
        <v>85809</v>
      </c>
      <c r="I376" s="55">
        <v>171618</v>
      </c>
      <c r="J376" t="b">
        <v>0</v>
      </c>
      <c r="K376" t="s">
        <v>64</v>
      </c>
      <c r="M376" s="3">
        <v>32.134</v>
      </c>
      <c r="N376">
        <v>29.794</v>
      </c>
      <c r="O376">
        <v>33.393000000000001</v>
      </c>
      <c r="P376">
        <v>29.378</v>
      </c>
      <c r="Q376">
        <v>751.92899999999997</v>
      </c>
      <c r="R376" s="28">
        <v>363.97617473409088</v>
      </c>
      <c r="S376">
        <f t="shared" si="69"/>
        <v>15.470825265909106</v>
      </c>
      <c r="T376" s="29">
        <f t="shared" si="70"/>
        <v>27.421323819246947</v>
      </c>
      <c r="U376">
        <v>99.128</v>
      </c>
      <c r="V376" s="29">
        <v>0.96199999999999997</v>
      </c>
      <c r="W376" s="30">
        <f>1/1.079</f>
        <v>0.92678405931417984</v>
      </c>
      <c r="X376">
        <f t="shared" si="71"/>
        <v>1.079</v>
      </c>
      <c r="Y376" s="3">
        <v>0.92700000000000005</v>
      </c>
      <c r="Z376" s="3">
        <v>0.999</v>
      </c>
      <c r="AA376">
        <f>M376</f>
        <v>32.134</v>
      </c>
      <c r="AB376">
        <f>N376</f>
        <v>29.794</v>
      </c>
      <c r="AC376">
        <f>O376</f>
        <v>33.393000000000001</v>
      </c>
      <c r="AD376">
        <f>P376</f>
        <v>29.378</v>
      </c>
      <c r="AE376">
        <f>Q376</f>
        <v>751.92899999999997</v>
      </c>
      <c r="AF376" s="30">
        <f t="shared" si="72"/>
        <v>27.421323819246947</v>
      </c>
      <c r="AG376">
        <f t="shared" ref="AG376:AL376" si="76">U376</f>
        <v>99.128</v>
      </c>
      <c r="AH376">
        <f t="shared" si="76"/>
        <v>0.96199999999999997</v>
      </c>
      <c r="AI376">
        <f t="shared" si="76"/>
        <v>0.92678405931417984</v>
      </c>
      <c r="AJ376">
        <f t="shared" si="76"/>
        <v>1.079</v>
      </c>
      <c r="AK376">
        <f t="shared" si="76"/>
        <v>0.92700000000000005</v>
      </c>
      <c r="AL376">
        <f t="shared" si="76"/>
        <v>0.999</v>
      </c>
      <c r="AM376">
        <v>0.5</v>
      </c>
      <c r="AN376">
        <v>0.94156586361277361</v>
      </c>
      <c r="AO376">
        <v>33.823</v>
      </c>
      <c r="AQ376">
        <v>31.911000000000001</v>
      </c>
      <c r="AR376">
        <f t="shared" si="74"/>
        <v>1.0599166431637992</v>
      </c>
    </row>
    <row r="377" spans="1:51" x14ac:dyDescent="0.25">
      <c r="B377" t="s">
        <v>499</v>
      </c>
      <c r="C377">
        <v>1162</v>
      </c>
      <c r="D377">
        <v>600</v>
      </c>
      <c r="H377" s="24">
        <v>368647</v>
      </c>
      <c r="I377" s="55">
        <v>737294</v>
      </c>
      <c r="J377" t="s">
        <v>55</v>
      </c>
      <c r="K377" t="s">
        <v>43</v>
      </c>
      <c r="M377" s="3">
        <v>84.849000000000004</v>
      </c>
      <c r="N377">
        <v>34.012999999999998</v>
      </c>
      <c r="O377">
        <v>106.54</v>
      </c>
      <c r="P377">
        <v>42.32</v>
      </c>
      <c r="Q377">
        <v>2266.6190000000001</v>
      </c>
      <c r="R377" s="28">
        <v>15.554</v>
      </c>
      <c r="S377">
        <f t="shared" si="69"/>
        <v>26.860514438707565</v>
      </c>
      <c r="T377" s="29">
        <f t="shared" si="70"/>
        <v>47.609022254190435</v>
      </c>
      <c r="U377">
        <v>283.71800000000002</v>
      </c>
      <c r="V377" s="29">
        <v>0.35399999999999998</v>
      </c>
      <c r="W377" s="30">
        <f>1/2.495</f>
        <v>0.40080160320641278</v>
      </c>
      <c r="X377">
        <f t="shared" si="71"/>
        <v>2.4950000000000001</v>
      </c>
      <c r="Y377" s="3">
        <v>0.40100000000000002</v>
      </c>
      <c r="Z377" s="3">
        <v>0.71599999999999997</v>
      </c>
      <c r="AA377">
        <v>103.047</v>
      </c>
      <c r="AB377">
        <v>55.854999999999997</v>
      </c>
      <c r="AC377">
        <v>114.527</v>
      </c>
      <c r="AD377">
        <v>62.89</v>
      </c>
      <c r="AE377">
        <v>4520.5060000000003</v>
      </c>
      <c r="AF377" s="30">
        <f t="shared" si="72"/>
        <v>67.234708298616127</v>
      </c>
      <c r="AG377">
        <v>286.54399999999998</v>
      </c>
      <c r="AH377">
        <v>0.69199999999999995</v>
      </c>
      <c r="AI377">
        <f>1/1.845</f>
        <v>0.5420054200542006</v>
      </c>
      <c r="AJ377">
        <f t="shared" si="73"/>
        <v>1.8449999999999998</v>
      </c>
      <c r="AK377">
        <v>0.54200000000000004</v>
      </c>
      <c r="AL377">
        <v>0.98899999999999999</v>
      </c>
      <c r="AM377">
        <v>0.65</v>
      </c>
      <c r="AN377">
        <v>0.67222533286114639</v>
      </c>
      <c r="AO377">
        <v>89.447000000000003</v>
      </c>
      <c r="AQ377">
        <v>51.384999999999998</v>
      </c>
      <c r="AR377">
        <f t="shared" si="74"/>
        <v>1.740722000583828</v>
      </c>
    </row>
    <row r="378" spans="1:51" x14ac:dyDescent="0.25">
      <c r="B378" t="s">
        <v>500</v>
      </c>
      <c r="C378">
        <v>1162</v>
      </c>
      <c r="D378">
        <v>600</v>
      </c>
      <c r="H378" s="24">
        <v>164291</v>
      </c>
      <c r="I378" s="55">
        <v>328582</v>
      </c>
      <c r="J378" t="s">
        <v>55</v>
      </c>
      <c r="K378" t="s">
        <v>43</v>
      </c>
      <c r="M378" s="3">
        <v>47.640999999999998</v>
      </c>
      <c r="N378">
        <v>18.533999999999999</v>
      </c>
      <c r="O378">
        <v>58.414999999999999</v>
      </c>
      <c r="P378">
        <v>20.29</v>
      </c>
      <c r="Q378">
        <v>693.48</v>
      </c>
      <c r="R378" s="28">
        <v>8.0296267506421195</v>
      </c>
      <c r="S378">
        <f t="shared" si="69"/>
        <v>14.857373249357881</v>
      </c>
      <c r="T378" s="29">
        <f t="shared" si="70"/>
        <v>26.334008430164975</v>
      </c>
      <c r="U378">
        <v>132.31899999999999</v>
      </c>
      <c r="V378" s="29">
        <v>0.498</v>
      </c>
      <c r="W378" s="30">
        <f>1/2.571</f>
        <v>0.3889537145079735</v>
      </c>
      <c r="X378">
        <f t="shared" si="71"/>
        <v>2.5710000000000002</v>
      </c>
      <c r="Y378" s="3">
        <v>0.38900000000000001</v>
      </c>
      <c r="Z378" s="3">
        <v>0.93799999999999994</v>
      </c>
      <c r="AA378">
        <v>50.908999999999999</v>
      </c>
      <c r="AB378">
        <v>25.396999999999998</v>
      </c>
      <c r="AC378">
        <v>60.305999999999997</v>
      </c>
      <c r="AD378">
        <v>27.556999999999999</v>
      </c>
      <c r="AE378">
        <v>1015.473</v>
      </c>
      <c r="AF378" s="30">
        <f t="shared" si="72"/>
        <v>31.866487098517776</v>
      </c>
      <c r="AG378">
        <v>143.95699999999999</v>
      </c>
      <c r="AH378">
        <v>0.61599999999999999</v>
      </c>
      <c r="AI378">
        <f>1/2.005</f>
        <v>0.49875311720698257</v>
      </c>
      <c r="AJ378">
        <f t="shared" si="73"/>
        <v>2.0049999999999999</v>
      </c>
      <c r="AK378">
        <v>0.499</v>
      </c>
      <c r="AL378">
        <v>1</v>
      </c>
      <c r="AM378">
        <v>0.65</v>
      </c>
      <c r="AN378">
        <v>0.65703915453386796</v>
      </c>
      <c r="AO378">
        <v>35.078000000000003</v>
      </c>
      <c r="AQ378">
        <v>47.384999999999998</v>
      </c>
      <c r="AR378">
        <f t="shared" si="74"/>
        <v>0.74027645879497739</v>
      </c>
    </row>
    <row r="379" spans="1:51" x14ac:dyDescent="0.25">
      <c r="B379" t="s">
        <v>501</v>
      </c>
      <c r="C379">
        <v>1162</v>
      </c>
      <c r="D379">
        <v>600</v>
      </c>
      <c r="H379" s="24">
        <v>217484</v>
      </c>
      <c r="I379" s="28">
        <v>434968</v>
      </c>
      <c r="J379" t="s">
        <v>55</v>
      </c>
      <c r="K379" t="s">
        <v>43</v>
      </c>
      <c r="M379" s="3">
        <v>62.795999999999999</v>
      </c>
      <c r="N379">
        <v>14.948</v>
      </c>
      <c r="O379">
        <v>64.405000000000001</v>
      </c>
      <c r="P379">
        <v>19.661999999999999</v>
      </c>
      <c r="Q379">
        <v>737.25</v>
      </c>
      <c r="R379" s="28">
        <v>0</v>
      </c>
      <c r="S379">
        <f t="shared" si="69"/>
        <v>15.319071890587878</v>
      </c>
      <c r="T379" s="29">
        <f t="shared" si="70"/>
        <v>27.152347964770929</v>
      </c>
      <c r="U379">
        <v>149.72800000000001</v>
      </c>
      <c r="V379" s="29">
        <v>0.41299999999999998</v>
      </c>
      <c r="W379" s="30">
        <f>1/4.201</f>
        <v>0.23803856224708406</v>
      </c>
      <c r="X379">
        <f t="shared" si="71"/>
        <v>4.2009999999999996</v>
      </c>
      <c r="Y379" s="3">
        <v>0.23799999999999999</v>
      </c>
      <c r="Z379" s="3">
        <v>0.82499999999999996</v>
      </c>
      <c r="AA379">
        <v>60.442</v>
      </c>
      <c r="AB379">
        <v>27.036999999999999</v>
      </c>
      <c r="AC379">
        <v>65.739999999999995</v>
      </c>
      <c r="AD379">
        <v>31.718</v>
      </c>
      <c r="AE379">
        <v>1283.5</v>
      </c>
      <c r="AF379" s="30">
        <f t="shared" si="72"/>
        <v>35.825968235345712</v>
      </c>
      <c r="AG379">
        <v>160.541</v>
      </c>
      <c r="AH379">
        <v>0.626</v>
      </c>
      <c r="AI379">
        <f>1/2.235</f>
        <v>0.447427293064877</v>
      </c>
      <c r="AJ379">
        <f t="shared" si="73"/>
        <v>2.2349999999999999</v>
      </c>
      <c r="AK379">
        <v>0.44700000000000001</v>
      </c>
      <c r="AL379">
        <v>1</v>
      </c>
      <c r="AM379">
        <v>0.65</v>
      </c>
      <c r="AN379">
        <v>0.54608768004605135</v>
      </c>
      <c r="AO379">
        <v>27.6</v>
      </c>
      <c r="AQ379">
        <v>57.823</v>
      </c>
      <c r="AR379">
        <f t="shared" si="74"/>
        <v>0.47731871400653719</v>
      </c>
    </row>
    <row r="380" spans="1:51" s="6" customFormat="1" x14ac:dyDescent="0.25">
      <c r="A380" s="6" t="s">
        <v>502</v>
      </c>
      <c r="B380" s="6" t="s">
        <v>503</v>
      </c>
      <c r="C380" s="6">
        <v>1174</v>
      </c>
      <c r="D380" s="6">
        <v>600</v>
      </c>
      <c r="H380" s="25">
        <v>60400</v>
      </c>
      <c r="I380" s="54">
        <v>120800</v>
      </c>
      <c r="J380" s="6" t="s">
        <v>55</v>
      </c>
      <c r="K380" s="6" t="s">
        <v>43</v>
      </c>
      <c r="M380" s="15">
        <v>132.62100000000001</v>
      </c>
      <c r="N380" s="6">
        <v>103.321</v>
      </c>
      <c r="O380" s="6">
        <v>167.04</v>
      </c>
      <c r="P380" s="6">
        <v>114.809</v>
      </c>
      <c r="Q380" s="56">
        <v>10761.898999999999</v>
      </c>
      <c r="R380" s="57">
        <v>121.381</v>
      </c>
      <c r="S380" s="6">
        <f t="shared" si="69"/>
        <v>58.528786471371937</v>
      </c>
      <c r="T380" s="40">
        <f t="shared" si="70"/>
        <v>103.73957297000986</v>
      </c>
      <c r="U380" s="6">
        <v>607.38</v>
      </c>
      <c r="V380" s="40">
        <v>0.33300000000000002</v>
      </c>
      <c r="W380" s="41">
        <f>1/1.383</f>
        <v>0.72306579898770784</v>
      </c>
      <c r="X380" s="6">
        <f>1/W380</f>
        <v>1.383</v>
      </c>
      <c r="Y380" s="15">
        <v>0.72299999999999998</v>
      </c>
      <c r="Z380" s="15">
        <v>0.69799999999999995</v>
      </c>
      <c r="AA380" s="6">
        <v>149.072</v>
      </c>
      <c r="AB380" s="6">
        <v>110.386</v>
      </c>
      <c r="AC380" s="6">
        <v>169.101</v>
      </c>
      <c r="AD380" s="6">
        <v>113.633</v>
      </c>
      <c r="AE380" s="6">
        <v>12924.074000000001</v>
      </c>
      <c r="AF380" s="41">
        <f>SQRT(AE380)</f>
        <v>113.68409739273123</v>
      </c>
      <c r="AG380" s="6">
        <v>445.77300000000002</v>
      </c>
      <c r="AH380" s="6">
        <v>0.81699999999999995</v>
      </c>
      <c r="AI380" s="6">
        <f>1/1.35</f>
        <v>0.7407407407407407</v>
      </c>
      <c r="AJ380" s="6">
        <f>1/AI380</f>
        <v>1.35</v>
      </c>
      <c r="AK380" s="6">
        <v>0.74</v>
      </c>
      <c r="AL380" s="6">
        <v>1</v>
      </c>
      <c r="AN380" s="6">
        <v>0.80149770745594995</v>
      </c>
      <c r="AO380" s="6">
        <v>145.50700000000001</v>
      </c>
      <c r="AP380" s="6">
        <v>0</v>
      </c>
      <c r="AQ380" s="6">
        <v>168.53899999999999</v>
      </c>
      <c r="AR380" s="6">
        <f>AO380/AQ380</f>
        <v>0.86334320246352481</v>
      </c>
      <c r="AY380"/>
    </row>
    <row r="381" spans="1:51" x14ac:dyDescent="0.25">
      <c r="B381" t="s">
        <v>504</v>
      </c>
      <c r="C381">
        <v>1174</v>
      </c>
      <c r="D381">
        <v>500</v>
      </c>
      <c r="H381" s="24">
        <v>5500000</v>
      </c>
      <c r="J381" t="b">
        <v>0</v>
      </c>
      <c r="R381" s="28">
        <v>0</v>
      </c>
      <c r="S381">
        <f t="shared" si="69"/>
        <v>0</v>
      </c>
      <c r="X381" t="e">
        <f t="shared" ref="X381:X403" si="77">1/W381</f>
        <v>#DIV/0!</v>
      </c>
      <c r="AJ381" t="e">
        <f t="shared" ref="AJ381:AJ403" si="78">1/AI381</f>
        <v>#DIV/0!</v>
      </c>
      <c r="AN381" t="e">
        <v>#DIV/0!</v>
      </c>
      <c r="AR381" s="6"/>
    </row>
    <row r="382" spans="1:51" x14ac:dyDescent="0.25">
      <c r="B382" t="s">
        <v>505</v>
      </c>
      <c r="C382">
        <v>1174</v>
      </c>
      <c r="D382">
        <v>500</v>
      </c>
      <c r="H382" s="24">
        <v>149571</v>
      </c>
      <c r="I382" s="55">
        <v>299142</v>
      </c>
      <c r="J382" t="b">
        <v>0</v>
      </c>
      <c r="K382" t="s">
        <v>43</v>
      </c>
      <c r="M382" s="3">
        <v>186.709</v>
      </c>
      <c r="N382">
        <v>132.15700000000001</v>
      </c>
      <c r="O382">
        <v>240.982</v>
      </c>
      <c r="P382">
        <v>156.92599999999999</v>
      </c>
      <c r="Q382">
        <v>19379.678</v>
      </c>
      <c r="R382" s="28">
        <v>1257.0586535736843</v>
      </c>
      <c r="S382">
        <f t="shared" si="69"/>
        <v>78.54134642631557</v>
      </c>
      <c r="T382" s="29">
        <f>SQRT(Q382)</f>
        <v>139.21091192862721</v>
      </c>
      <c r="U382">
        <v>1374.329</v>
      </c>
      <c r="V382" s="29">
        <v>0.129</v>
      </c>
      <c r="W382" s="30">
        <f>1/1.413</f>
        <v>0.70771408351026188</v>
      </c>
      <c r="X382">
        <f t="shared" si="77"/>
        <v>1.413</v>
      </c>
      <c r="Y382" s="3">
        <v>0.70799999999999996</v>
      </c>
      <c r="Z382" s="3">
        <v>0.65200000000000002</v>
      </c>
      <c r="AA382">
        <v>227.24700000000001</v>
      </c>
      <c r="AB382">
        <v>165.57300000000001</v>
      </c>
      <c r="AC382">
        <v>242.09899999999999</v>
      </c>
      <c r="AD382">
        <v>155.43</v>
      </c>
      <c r="AE382">
        <v>29551.324000000001</v>
      </c>
      <c r="AF382" s="30">
        <f t="shared" ref="AF382:AF403" si="79">SQRT(AE382)</f>
        <v>171.90498538436864</v>
      </c>
      <c r="AG382">
        <v>662.62099999999998</v>
      </c>
      <c r="AH382">
        <v>0.84599999999999997</v>
      </c>
      <c r="AI382">
        <f>1/1.372</f>
        <v>0.7288629737609329</v>
      </c>
      <c r="AJ382">
        <f t="shared" si="78"/>
        <v>1.3720000000000001</v>
      </c>
      <c r="AK382">
        <v>0.72899999999999998</v>
      </c>
      <c r="AL382">
        <v>1</v>
      </c>
      <c r="AN382">
        <v>0.73732147962059924</v>
      </c>
      <c r="AO382">
        <v>227.73699999999999</v>
      </c>
      <c r="AP382">
        <v>0</v>
      </c>
      <c r="AQ382">
        <v>195.226</v>
      </c>
      <c r="AR382" s="6">
        <f t="shared" ref="AR382:AR424" si="80">AO382/AQ382</f>
        <v>1.1665300728386587</v>
      </c>
    </row>
    <row r="383" spans="1:51" x14ac:dyDescent="0.25">
      <c r="B383" t="s">
        <v>506</v>
      </c>
      <c r="C383">
        <v>1174</v>
      </c>
      <c r="D383">
        <v>400</v>
      </c>
      <c r="H383" s="24">
        <v>5000000</v>
      </c>
      <c r="I383" s="55"/>
      <c r="J383" t="b">
        <v>0</v>
      </c>
      <c r="R383" s="28">
        <v>0</v>
      </c>
      <c r="S383">
        <f t="shared" si="69"/>
        <v>0</v>
      </c>
      <c r="X383" t="e">
        <f t="shared" si="77"/>
        <v>#DIV/0!</v>
      </c>
      <c r="AJ383" t="e">
        <f t="shared" si="78"/>
        <v>#DIV/0!</v>
      </c>
      <c r="AN383" t="e">
        <v>#DIV/0!</v>
      </c>
      <c r="AR383" s="6"/>
    </row>
    <row r="384" spans="1:51" x14ac:dyDescent="0.25">
      <c r="B384" t="s">
        <v>507</v>
      </c>
      <c r="C384">
        <v>1174</v>
      </c>
      <c r="D384">
        <v>600</v>
      </c>
      <c r="H384" s="24">
        <v>171842</v>
      </c>
      <c r="I384" s="55">
        <v>343684</v>
      </c>
      <c r="J384" t="b">
        <v>0</v>
      </c>
      <c r="K384" t="s">
        <v>43</v>
      </c>
      <c r="M384" s="3">
        <v>106.774</v>
      </c>
      <c r="N384">
        <v>72.923000000000002</v>
      </c>
      <c r="O384">
        <v>190.917</v>
      </c>
      <c r="P384">
        <v>121.49299999999999</v>
      </c>
      <c r="Q384">
        <v>6115.3490000000002</v>
      </c>
      <c r="R384" s="28">
        <v>316.29998136713726</v>
      </c>
      <c r="S384">
        <f t="shared" si="69"/>
        <v>44.120018632862774</v>
      </c>
      <c r="T384" s="29">
        <f>SQRT(Q384)</f>
        <v>78.200696927840738</v>
      </c>
      <c r="U384">
        <v>793.10799999999995</v>
      </c>
      <c r="V384" s="29">
        <v>0.122</v>
      </c>
      <c r="W384" s="30">
        <f>1/1.464</f>
        <v>0.68306010928961747</v>
      </c>
      <c r="X384">
        <f t="shared" si="77"/>
        <v>1.464</v>
      </c>
      <c r="Y384" s="3">
        <v>0.68300000000000005</v>
      </c>
      <c r="Z384" s="3">
        <v>0.49299999999999999</v>
      </c>
      <c r="AA384">
        <v>143.71700000000001</v>
      </c>
      <c r="AB384">
        <v>101.711</v>
      </c>
      <c r="AC384">
        <v>184.56800000000001</v>
      </c>
      <c r="AD384">
        <v>122.355</v>
      </c>
      <c r="AE384">
        <v>11480.623</v>
      </c>
      <c r="AF384" s="30">
        <f t="shared" si="79"/>
        <v>107.14766913003754</v>
      </c>
      <c r="AG384">
        <v>485.78399999999999</v>
      </c>
      <c r="AH384">
        <v>0.61099999999999999</v>
      </c>
      <c r="AI384">
        <f>1/1.413</f>
        <v>0.70771408351026188</v>
      </c>
      <c r="AJ384">
        <f t="shared" si="78"/>
        <v>1.413</v>
      </c>
      <c r="AK384">
        <v>0.70799999999999996</v>
      </c>
      <c r="AL384">
        <v>0.95</v>
      </c>
      <c r="AN384">
        <v>0.69855521572756074</v>
      </c>
      <c r="AO384">
        <v>189.29900000000001</v>
      </c>
      <c r="AP384">
        <v>0</v>
      </c>
      <c r="AQ384">
        <v>125.398</v>
      </c>
      <c r="AR384" s="6">
        <f t="shared" si="80"/>
        <v>1.5095854798322144</v>
      </c>
    </row>
    <row r="385" spans="2:44" x14ac:dyDescent="0.25">
      <c r="B385" t="s">
        <v>508</v>
      </c>
      <c r="C385">
        <v>1174</v>
      </c>
      <c r="D385">
        <v>500</v>
      </c>
      <c r="H385" s="24">
        <v>307902</v>
      </c>
      <c r="I385" s="55"/>
      <c r="J385" t="b">
        <v>0</v>
      </c>
      <c r="R385" s="28">
        <v>0</v>
      </c>
      <c r="S385">
        <f t="shared" si="69"/>
        <v>0</v>
      </c>
      <c r="X385" t="e">
        <f t="shared" si="77"/>
        <v>#DIV/0!</v>
      </c>
      <c r="AJ385" t="e">
        <f t="shared" si="78"/>
        <v>#DIV/0!</v>
      </c>
      <c r="AN385" t="e">
        <v>#DIV/0!</v>
      </c>
      <c r="AR385" s="6"/>
    </row>
    <row r="386" spans="2:44" x14ac:dyDescent="0.25">
      <c r="B386" t="s">
        <v>509</v>
      </c>
      <c r="C386">
        <v>1174</v>
      </c>
      <c r="D386">
        <v>700</v>
      </c>
      <c r="H386" s="24">
        <v>57889</v>
      </c>
      <c r="I386" s="55">
        <v>115778</v>
      </c>
      <c r="J386" t="b">
        <v>0</v>
      </c>
      <c r="K386" t="s">
        <v>43</v>
      </c>
      <c r="M386" s="3">
        <v>161.03299999999999</v>
      </c>
      <c r="N386">
        <v>48.478999999999999</v>
      </c>
      <c r="O386">
        <v>231.101</v>
      </c>
      <c r="P386">
        <v>96.927999999999997</v>
      </c>
      <c r="Q386">
        <v>6131.4269999999997</v>
      </c>
      <c r="R386" s="28">
        <v>1675.9380209774799</v>
      </c>
      <c r="S386">
        <f t="shared" si="69"/>
        <v>44.177979022520041</v>
      </c>
      <c r="T386" s="29">
        <f>SQRT(Q386)</f>
        <v>78.303429043688752</v>
      </c>
      <c r="U386">
        <v>897.96699999999998</v>
      </c>
      <c r="V386" s="29">
        <v>9.6000000000000002E-2</v>
      </c>
      <c r="W386" s="30">
        <f>1/3.322</f>
        <v>0.30102347983142685</v>
      </c>
      <c r="X386">
        <f t="shared" si="77"/>
        <v>3.3220000000000001</v>
      </c>
      <c r="Y386" s="3">
        <v>0.30099999999999999</v>
      </c>
      <c r="Z386" s="3">
        <v>0.40600000000000003</v>
      </c>
      <c r="AA386">
        <v>211.15600000000001</v>
      </c>
      <c r="AB386">
        <v>87.498999999999995</v>
      </c>
      <c r="AC386">
        <v>231.11600000000001</v>
      </c>
      <c r="AD386">
        <v>97.113</v>
      </c>
      <c r="AE386">
        <v>14510.914000000001</v>
      </c>
      <c r="AF386" s="30">
        <f t="shared" si="79"/>
        <v>120.46125518190486</v>
      </c>
      <c r="AG386">
        <v>532.96699999999998</v>
      </c>
      <c r="AH386">
        <v>0.64200000000000002</v>
      </c>
      <c r="AI386">
        <f>1/2.413</f>
        <v>0.41442188147534192</v>
      </c>
      <c r="AJ386">
        <f t="shared" si="78"/>
        <v>2.4129999999999998</v>
      </c>
      <c r="AK386">
        <v>0.41399999999999998</v>
      </c>
      <c r="AL386">
        <v>0.98799999999999999</v>
      </c>
      <c r="AN386">
        <v>0.46240118268325897</v>
      </c>
      <c r="AO386">
        <v>200.376</v>
      </c>
      <c r="AP386">
        <v>0</v>
      </c>
      <c r="AQ386">
        <v>163.334</v>
      </c>
      <c r="AR386" s="6">
        <f t="shared" si="80"/>
        <v>1.2267868294415125</v>
      </c>
    </row>
    <row r="387" spans="2:44" x14ac:dyDescent="0.25">
      <c r="B387" t="s">
        <v>510</v>
      </c>
      <c r="C387">
        <v>1174</v>
      </c>
      <c r="D387">
        <v>500</v>
      </c>
      <c r="H387" s="24">
        <v>5500000</v>
      </c>
      <c r="I387" s="55"/>
      <c r="J387" t="b">
        <v>0</v>
      </c>
      <c r="R387" s="28">
        <v>0</v>
      </c>
      <c r="S387">
        <f t="shared" si="69"/>
        <v>0</v>
      </c>
      <c r="X387" t="e">
        <f t="shared" si="77"/>
        <v>#DIV/0!</v>
      </c>
      <c r="AJ387" t="e">
        <f t="shared" si="78"/>
        <v>#DIV/0!</v>
      </c>
      <c r="AN387" t="e">
        <v>#DIV/0!</v>
      </c>
      <c r="AR387" s="6"/>
    </row>
    <row r="388" spans="2:44" x14ac:dyDescent="0.25">
      <c r="B388" t="s">
        <v>511</v>
      </c>
      <c r="C388">
        <v>1174</v>
      </c>
      <c r="D388">
        <v>600</v>
      </c>
      <c r="H388" s="24">
        <v>92592</v>
      </c>
      <c r="I388" s="55">
        <v>185184</v>
      </c>
      <c r="J388" t="b">
        <v>0</v>
      </c>
      <c r="K388" t="s">
        <v>43</v>
      </c>
      <c r="M388" s="3">
        <v>114.256</v>
      </c>
      <c r="N388">
        <v>59.017000000000003</v>
      </c>
      <c r="O388">
        <v>163.042</v>
      </c>
      <c r="P388">
        <v>96.927000000000007</v>
      </c>
      <c r="Q388">
        <v>5296.0209999999997</v>
      </c>
      <c r="R388" s="28">
        <v>192.79179933634492</v>
      </c>
      <c r="S388">
        <f t="shared" ref="S388:S424" si="81">SQRT(Q388/PI())</f>
        <v>41.058200663655064</v>
      </c>
      <c r="T388" s="29">
        <f t="shared" ref="T388:T424" si="82">SQRT(Q388)</f>
        <v>72.773765877546836</v>
      </c>
      <c r="U388">
        <v>504.03500000000003</v>
      </c>
      <c r="V388" s="29">
        <v>0.26200000000000001</v>
      </c>
      <c r="W388" s="30">
        <f>1/1.936</f>
        <v>0.51652892561983477</v>
      </c>
      <c r="X388">
        <f t="shared" si="77"/>
        <v>1.9359999999999997</v>
      </c>
      <c r="Y388" s="3">
        <v>0.51700000000000002</v>
      </c>
      <c r="Z388" s="3">
        <v>0.53900000000000003</v>
      </c>
      <c r="AA388">
        <v>136.05099999999999</v>
      </c>
      <c r="AB388">
        <v>93.625</v>
      </c>
      <c r="AC388">
        <v>157.44999999999999</v>
      </c>
      <c r="AD388">
        <v>104.07899999999999</v>
      </c>
      <c r="AE388">
        <v>10004.272000000001</v>
      </c>
      <c r="AF388" s="30">
        <f t="shared" si="79"/>
        <v>100.02135771923915</v>
      </c>
      <c r="AG388">
        <v>408.91800000000001</v>
      </c>
      <c r="AH388">
        <v>0.752</v>
      </c>
      <c r="AI388">
        <f>1/1.453</f>
        <v>0.68823124569855465</v>
      </c>
      <c r="AJ388">
        <f t="shared" si="78"/>
        <v>1.4530000000000001</v>
      </c>
      <c r="AK388">
        <v>0.68799999999999994</v>
      </c>
      <c r="AL388">
        <v>0.99399999999999999</v>
      </c>
      <c r="AN388">
        <v>0.60496995158441769</v>
      </c>
      <c r="AO388">
        <v>144.261</v>
      </c>
      <c r="AP388">
        <v>0</v>
      </c>
      <c r="AQ388">
        <v>130.93100000000001</v>
      </c>
      <c r="AR388" s="6">
        <f t="shared" si="80"/>
        <v>1.1018093499629575</v>
      </c>
    </row>
    <row r="389" spans="2:44" x14ac:dyDescent="0.25">
      <c r="B389" t="s">
        <v>512</v>
      </c>
      <c r="C389">
        <v>1174</v>
      </c>
      <c r="D389">
        <v>600</v>
      </c>
      <c r="H389" s="24">
        <v>169169</v>
      </c>
      <c r="I389" s="55">
        <v>338338</v>
      </c>
      <c r="J389" t="b">
        <v>0</v>
      </c>
      <c r="K389" t="s">
        <v>43</v>
      </c>
      <c r="L389" t="s">
        <v>44</v>
      </c>
      <c r="M389" s="3">
        <v>106.437</v>
      </c>
      <c r="N389">
        <v>71.137</v>
      </c>
      <c r="O389">
        <v>151.583</v>
      </c>
      <c r="P389">
        <v>94.881</v>
      </c>
      <c r="Q389">
        <v>5946.78</v>
      </c>
      <c r="R389" s="28">
        <v>107.51331257628092</v>
      </c>
      <c r="S389">
        <f t="shared" si="81"/>
        <v>43.507687423719069</v>
      </c>
      <c r="T389" s="29">
        <f t="shared" si="82"/>
        <v>77.115368118164355</v>
      </c>
      <c r="U389">
        <v>429.935</v>
      </c>
      <c r="V389" s="29">
        <v>0.40400000000000003</v>
      </c>
      <c r="W389" s="30">
        <f>1/1.496</f>
        <v>0.66844919786096257</v>
      </c>
      <c r="X389">
        <f t="shared" si="77"/>
        <v>1.496</v>
      </c>
      <c r="Y389" s="3">
        <v>0.66800000000000004</v>
      </c>
      <c r="Z389" s="3">
        <v>0.66800000000000004</v>
      </c>
      <c r="AA389">
        <v>127.807</v>
      </c>
      <c r="AB389">
        <v>86.304000000000002</v>
      </c>
      <c r="AC389">
        <v>153.27600000000001</v>
      </c>
      <c r="AD389">
        <v>94.956000000000003</v>
      </c>
      <c r="AE389">
        <v>8663.1039999999994</v>
      </c>
      <c r="AF389" s="30">
        <f t="shared" si="79"/>
        <v>93.075797068840615</v>
      </c>
      <c r="AG389">
        <v>393.47800000000001</v>
      </c>
      <c r="AH389">
        <v>0.70299999999999996</v>
      </c>
      <c r="AI389">
        <f>1/1.481</f>
        <v>0.67521944632005393</v>
      </c>
      <c r="AJ389">
        <f t="shared" si="78"/>
        <v>1.4810000000000001</v>
      </c>
      <c r="AK389">
        <v>0.67500000000000004</v>
      </c>
      <c r="AL389">
        <v>1</v>
      </c>
      <c r="AN389">
        <v>0</v>
      </c>
      <c r="AO389">
        <v>148.334</v>
      </c>
      <c r="AP389">
        <v>0</v>
      </c>
      <c r="AQ389">
        <v>97.501999999999995</v>
      </c>
      <c r="AR389" s="6">
        <f t="shared" si="80"/>
        <v>1.5213431519353451</v>
      </c>
    </row>
    <row r="390" spans="2:44" x14ac:dyDescent="0.25">
      <c r="B390" t="s">
        <v>513</v>
      </c>
      <c r="C390">
        <v>1174</v>
      </c>
      <c r="D390">
        <v>700</v>
      </c>
      <c r="H390" s="24">
        <v>171785</v>
      </c>
      <c r="I390" s="55">
        <v>343570</v>
      </c>
      <c r="J390" t="b">
        <v>0</v>
      </c>
      <c r="K390" t="s">
        <v>43</v>
      </c>
      <c r="M390" s="3">
        <v>79.491</v>
      </c>
      <c r="N390">
        <v>27.314</v>
      </c>
      <c r="O390">
        <v>93.372</v>
      </c>
      <c r="P390">
        <v>32.131999999999998</v>
      </c>
      <c r="Q390">
        <v>1705.2470000000001</v>
      </c>
      <c r="R390" s="28">
        <v>285.12399625536023</v>
      </c>
      <c r="S390">
        <f t="shared" si="81"/>
        <v>23.298003744639807</v>
      </c>
      <c r="T390" s="29">
        <f t="shared" si="82"/>
        <v>41.29463645559796</v>
      </c>
      <c r="U390">
        <v>224.67099999999999</v>
      </c>
      <c r="V390" s="29">
        <v>0.42499999999999999</v>
      </c>
      <c r="W390" s="30">
        <f>1/2.91</f>
        <v>0.3436426116838488</v>
      </c>
      <c r="X390">
        <f t="shared" si="77"/>
        <v>2.91</v>
      </c>
      <c r="Y390" s="3">
        <v>0.34399999999999997</v>
      </c>
      <c r="Z390" s="3">
        <v>0.77100000000000002</v>
      </c>
      <c r="AA390">
        <v>89.287000000000006</v>
      </c>
      <c r="AB390">
        <v>31.713000000000001</v>
      </c>
      <c r="AC390">
        <v>88.912999999999997</v>
      </c>
      <c r="AD390">
        <v>34.353999999999999</v>
      </c>
      <c r="AE390">
        <v>2223.9369999999999</v>
      </c>
      <c r="AF390" s="30">
        <f t="shared" si="79"/>
        <v>47.158636536693891</v>
      </c>
      <c r="AG390">
        <v>214.351</v>
      </c>
      <c r="AH390">
        <v>0.60799999999999998</v>
      </c>
      <c r="AI390">
        <f>1/2.815</f>
        <v>0.35523978685612789</v>
      </c>
      <c r="AJ390">
        <f t="shared" si="78"/>
        <v>2.8149999999999999</v>
      </c>
      <c r="AK390">
        <v>0.35499999999999998</v>
      </c>
      <c r="AL390">
        <v>1</v>
      </c>
      <c r="AN390">
        <v>0.60516118153713216</v>
      </c>
      <c r="AO390">
        <v>92.441999999999993</v>
      </c>
      <c r="AP390">
        <v>0</v>
      </c>
      <c r="AQ390">
        <v>34.231999999999999</v>
      </c>
      <c r="AR390" s="6">
        <f t="shared" si="80"/>
        <v>2.7004557139518579</v>
      </c>
    </row>
    <row r="391" spans="2:44" x14ac:dyDescent="0.25">
      <c r="B391" t="s">
        <v>514</v>
      </c>
      <c r="C391">
        <v>1174</v>
      </c>
      <c r="D391">
        <v>700</v>
      </c>
      <c r="H391" s="24">
        <v>169848</v>
      </c>
      <c r="I391" s="55">
        <v>339696</v>
      </c>
      <c r="J391" t="b">
        <v>0</v>
      </c>
      <c r="K391" t="s">
        <v>43</v>
      </c>
      <c r="L391" t="s">
        <v>515</v>
      </c>
      <c r="M391" s="3">
        <v>74.225999999999999</v>
      </c>
      <c r="N391">
        <v>17.474</v>
      </c>
      <c r="O391">
        <v>75.418000000000006</v>
      </c>
      <c r="P391">
        <v>20.254000000000001</v>
      </c>
      <c r="Q391">
        <v>1018.683</v>
      </c>
      <c r="R391" s="28">
        <v>95.588866141793631</v>
      </c>
      <c r="S391">
        <f t="shared" si="81"/>
        <v>18.007133858206377</v>
      </c>
      <c r="T391" s="29">
        <f t="shared" si="82"/>
        <v>31.916813750748993</v>
      </c>
      <c r="U391">
        <v>171.60300000000001</v>
      </c>
      <c r="V391" s="29">
        <v>0.435</v>
      </c>
      <c r="W391" s="30">
        <f>1/4.248</f>
        <v>0.23540489642184556</v>
      </c>
      <c r="X391">
        <f t="shared" si="77"/>
        <v>4.2480000000000002</v>
      </c>
      <c r="Y391" s="3">
        <v>0.23499999999999999</v>
      </c>
      <c r="Z391" s="3">
        <v>0.80800000000000005</v>
      </c>
      <c r="AA391">
        <v>73.638999999999996</v>
      </c>
      <c r="AB391">
        <v>20.911999999999999</v>
      </c>
      <c r="AC391">
        <v>75.363</v>
      </c>
      <c r="AD391">
        <v>20.141999999999999</v>
      </c>
      <c r="AE391">
        <v>1209.47</v>
      </c>
      <c r="AF391" s="30">
        <f t="shared" si="79"/>
        <v>34.777435213080338</v>
      </c>
      <c r="AG391">
        <v>166.54400000000001</v>
      </c>
      <c r="AH391">
        <v>0.54800000000000004</v>
      </c>
      <c r="AI391">
        <f>1/3.521</f>
        <v>0.28401022436807727</v>
      </c>
      <c r="AJ391">
        <f t="shared" si="78"/>
        <v>3.5209999999999999</v>
      </c>
      <c r="AK391">
        <v>0.28399999999999997</v>
      </c>
      <c r="AL391">
        <v>1</v>
      </c>
      <c r="AN391">
        <v>0</v>
      </c>
      <c r="AO391">
        <v>64.143000000000001</v>
      </c>
      <c r="AP391">
        <v>0</v>
      </c>
      <c r="AQ391">
        <v>34.518000000000001</v>
      </c>
      <c r="AR391" s="6">
        <f t="shared" si="80"/>
        <v>1.8582478706761689</v>
      </c>
    </row>
    <row r="392" spans="2:44" x14ac:dyDescent="0.25">
      <c r="B392" t="s">
        <v>516</v>
      </c>
      <c r="C392">
        <v>1174</v>
      </c>
      <c r="D392">
        <v>600</v>
      </c>
      <c r="H392" s="24">
        <v>850319</v>
      </c>
      <c r="I392" s="55">
        <v>1700638</v>
      </c>
      <c r="J392" t="s">
        <v>55</v>
      </c>
      <c r="K392" t="s">
        <v>43</v>
      </c>
      <c r="M392" s="3">
        <v>140.19300000000001</v>
      </c>
      <c r="N392">
        <v>80.27</v>
      </c>
      <c r="O392">
        <v>168.65</v>
      </c>
      <c r="P392">
        <v>86.981999999999999</v>
      </c>
      <c r="Q392">
        <v>8838.3240000000005</v>
      </c>
      <c r="R392" s="28">
        <v>15.305999999999999</v>
      </c>
      <c r="S392">
        <f t="shared" si="81"/>
        <v>53.040794738535602</v>
      </c>
      <c r="T392" s="29">
        <f t="shared" si="82"/>
        <v>94.012360889406452</v>
      </c>
      <c r="U392">
        <v>500.30799999999999</v>
      </c>
      <c r="V392" s="29">
        <v>0.44400000000000001</v>
      </c>
      <c r="W392" s="30">
        <f>1/1.747</f>
        <v>0.5724098454493417</v>
      </c>
      <c r="X392">
        <f t="shared" si="77"/>
        <v>1.7470000000000001</v>
      </c>
      <c r="Y392" s="3">
        <v>0.57299999999999995</v>
      </c>
      <c r="Z392" s="3">
        <v>0.76900000000000002</v>
      </c>
      <c r="AA392">
        <v>179.196</v>
      </c>
      <c r="AB392">
        <v>122.715</v>
      </c>
      <c r="AC392">
        <v>191.32900000000001</v>
      </c>
      <c r="AD392">
        <v>137.44399999999999</v>
      </c>
      <c r="AE392">
        <v>17271.073</v>
      </c>
      <c r="AF392" s="30">
        <f t="shared" si="79"/>
        <v>131.41945441980803</v>
      </c>
      <c r="AG392">
        <v>529.03</v>
      </c>
      <c r="AH392">
        <v>0.77500000000000002</v>
      </c>
      <c r="AI392">
        <f>1/1.46</f>
        <v>0.68493150684931503</v>
      </c>
      <c r="AJ392">
        <f t="shared" si="78"/>
        <v>1.4600000000000002</v>
      </c>
      <c r="AK392">
        <v>0.68500000000000005</v>
      </c>
      <c r="AL392">
        <v>0.999</v>
      </c>
      <c r="AN392">
        <v>0.71204244922605786</v>
      </c>
      <c r="AO392">
        <v>166.749</v>
      </c>
      <c r="AP392">
        <v>0</v>
      </c>
      <c r="AQ392">
        <v>121.7</v>
      </c>
      <c r="AR392" s="6">
        <f t="shared" si="80"/>
        <v>1.3701643385373869</v>
      </c>
    </row>
    <row r="393" spans="2:44" x14ac:dyDescent="0.25">
      <c r="B393" t="s">
        <v>517</v>
      </c>
      <c r="C393">
        <v>1174</v>
      </c>
      <c r="D393">
        <v>500</v>
      </c>
      <c r="H393" s="24">
        <v>5000000</v>
      </c>
      <c r="I393" s="55"/>
      <c r="J393" t="b">
        <v>0</v>
      </c>
      <c r="R393" s="28">
        <v>0</v>
      </c>
      <c r="S393">
        <f t="shared" si="81"/>
        <v>0</v>
      </c>
      <c r="T393" s="29">
        <f t="shared" si="82"/>
        <v>0</v>
      </c>
      <c r="X393" t="e">
        <f t="shared" si="77"/>
        <v>#DIV/0!</v>
      </c>
      <c r="AF393" s="30">
        <f t="shared" si="79"/>
        <v>0</v>
      </c>
      <c r="AJ393" t="e">
        <f t="shared" si="78"/>
        <v>#DIV/0!</v>
      </c>
      <c r="AN393" t="e">
        <v>#DIV/0!</v>
      </c>
      <c r="AR393" s="6"/>
    </row>
    <row r="394" spans="2:44" x14ac:dyDescent="0.25">
      <c r="B394" t="s">
        <v>518</v>
      </c>
      <c r="C394">
        <v>1174</v>
      </c>
      <c r="D394">
        <v>700</v>
      </c>
      <c r="H394" s="24">
        <v>41820</v>
      </c>
      <c r="I394" s="28">
        <v>83640</v>
      </c>
      <c r="J394" t="b">
        <v>0</v>
      </c>
      <c r="K394" t="s">
        <v>64</v>
      </c>
      <c r="M394" s="3">
        <v>44.680999999999997</v>
      </c>
      <c r="N394">
        <v>36.036000000000001</v>
      </c>
      <c r="O394">
        <v>44.284999999999997</v>
      </c>
      <c r="P394">
        <v>35.423999999999999</v>
      </c>
      <c r="Q394">
        <v>1264.5999999999999</v>
      </c>
      <c r="R394" s="28">
        <v>123.001</v>
      </c>
      <c r="S394">
        <f t="shared" si="81"/>
        <v>20.063266983919185</v>
      </c>
      <c r="T394" s="29">
        <f t="shared" si="82"/>
        <v>35.561214827393059</v>
      </c>
      <c r="U394">
        <v>132.22800000000001</v>
      </c>
      <c r="V394" s="29">
        <v>0.90900000000000003</v>
      </c>
      <c r="W394" s="30">
        <f>1/1.24</f>
        <v>0.80645161290322587</v>
      </c>
      <c r="X394">
        <f t="shared" si="77"/>
        <v>1.24</v>
      </c>
      <c r="Y394" s="3">
        <v>0.80700000000000005</v>
      </c>
      <c r="Z394" s="3">
        <v>0.98199999999999998</v>
      </c>
      <c r="AA394">
        <v>44.680999999999997</v>
      </c>
      <c r="AB394">
        <v>36.036000000000001</v>
      </c>
      <c r="AC394">
        <v>44.284999999999997</v>
      </c>
      <c r="AD394">
        <v>35.423999999999999</v>
      </c>
      <c r="AE394">
        <v>1264.5999999999999</v>
      </c>
      <c r="AF394" s="30">
        <f t="shared" si="79"/>
        <v>35.561214827393059</v>
      </c>
      <c r="AG394">
        <v>132.22800000000001</v>
      </c>
      <c r="AH394">
        <v>0.90900000000000003</v>
      </c>
      <c r="AI394">
        <f>1/1.24</f>
        <v>0.80645161290322587</v>
      </c>
      <c r="AJ394">
        <f t="shared" si="78"/>
        <v>1.24</v>
      </c>
      <c r="AK394">
        <v>0.80700000000000005</v>
      </c>
      <c r="AL394">
        <v>0.98199999999999998</v>
      </c>
      <c r="AN394">
        <v>0.8779098316687316</v>
      </c>
      <c r="AO394">
        <v>41.889000000000003</v>
      </c>
      <c r="AP394">
        <v>0</v>
      </c>
      <c r="AQ394">
        <v>41.332999999999998</v>
      </c>
      <c r="AR394" s="6">
        <f t="shared" si="80"/>
        <v>1.01345172138485</v>
      </c>
    </row>
    <row r="395" spans="2:44" x14ac:dyDescent="0.25">
      <c r="B395" t="s">
        <v>519</v>
      </c>
      <c r="C395">
        <v>1174</v>
      </c>
      <c r="D395">
        <v>500</v>
      </c>
      <c r="H395" s="24">
        <v>4032138</v>
      </c>
      <c r="I395" s="55">
        <v>8064276</v>
      </c>
      <c r="J395" t="b">
        <v>0</v>
      </c>
      <c r="K395" t="s">
        <v>43</v>
      </c>
      <c r="M395" s="3">
        <v>55.765999999999998</v>
      </c>
      <c r="N395">
        <v>38.832000000000001</v>
      </c>
      <c r="O395">
        <v>77.816000000000003</v>
      </c>
      <c r="P395">
        <v>56.381</v>
      </c>
      <c r="Q395">
        <v>1700.787</v>
      </c>
      <c r="R395" s="28">
        <v>279.09899999999999</v>
      </c>
      <c r="S395">
        <f t="shared" si="81"/>
        <v>23.267516334857721</v>
      </c>
      <c r="T395" s="29">
        <f t="shared" si="82"/>
        <v>41.240598928725561</v>
      </c>
      <c r="U395">
        <v>261.80399999999997</v>
      </c>
      <c r="V395" s="29">
        <v>0.312</v>
      </c>
      <c r="W395" s="30">
        <f>1/1.436</f>
        <v>0.69637883008356549</v>
      </c>
      <c r="X395">
        <f t="shared" si="77"/>
        <v>1.4359999999999999</v>
      </c>
      <c r="Y395" s="3">
        <v>0.69599999999999995</v>
      </c>
      <c r="Z395" s="3">
        <v>0.60499999999999998</v>
      </c>
      <c r="AA395">
        <v>67.95</v>
      </c>
      <c r="AB395">
        <v>50.722000000000001</v>
      </c>
      <c r="AC395">
        <v>78.323999999999998</v>
      </c>
      <c r="AD395">
        <v>54.829000000000001</v>
      </c>
      <c r="AE395">
        <v>2706.9389999999999</v>
      </c>
      <c r="AF395" s="30">
        <f t="shared" si="79"/>
        <v>52.028251940652396</v>
      </c>
      <c r="AG395">
        <v>204.34</v>
      </c>
      <c r="AH395">
        <v>0.81499999999999995</v>
      </c>
      <c r="AI395">
        <f>1/1.34</f>
        <v>0.74626865671641784</v>
      </c>
      <c r="AJ395">
        <f t="shared" si="78"/>
        <v>1.34</v>
      </c>
      <c r="AK395">
        <v>0.746</v>
      </c>
      <c r="AL395">
        <v>1</v>
      </c>
      <c r="AN395">
        <v>0.68946965960503914</v>
      </c>
      <c r="AO395">
        <v>52.427</v>
      </c>
      <c r="AP395">
        <v>0</v>
      </c>
      <c r="AQ395">
        <v>67.471000000000004</v>
      </c>
      <c r="AR395" s="6">
        <f t="shared" si="80"/>
        <v>0.77703013146388811</v>
      </c>
    </row>
    <row r="396" spans="2:44" x14ac:dyDescent="0.25">
      <c r="B396" t="s">
        <v>520</v>
      </c>
      <c r="C396">
        <v>1174</v>
      </c>
      <c r="D396">
        <v>600</v>
      </c>
      <c r="H396" s="24">
        <v>1439677</v>
      </c>
      <c r="I396" s="55">
        <v>2879354</v>
      </c>
      <c r="J396" t="b">
        <v>0</v>
      </c>
      <c r="K396" t="s">
        <v>43</v>
      </c>
      <c r="M396" s="3">
        <v>70.899000000000001</v>
      </c>
      <c r="N396">
        <v>19.387</v>
      </c>
      <c r="O396">
        <v>72.692999999999998</v>
      </c>
      <c r="P396">
        <v>24.036999999999999</v>
      </c>
      <c r="Q396">
        <v>1079.556</v>
      </c>
      <c r="R396" s="28">
        <v>398.32</v>
      </c>
      <c r="S396">
        <f t="shared" si="81"/>
        <v>18.53735006652861</v>
      </c>
      <c r="T396" s="29">
        <f t="shared" si="82"/>
        <v>32.856597511002263</v>
      </c>
      <c r="U396">
        <v>174.86699999999999</v>
      </c>
      <c r="V396" s="29">
        <v>0.44400000000000001</v>
      </c>
      <c r="W396" s="30">
        <f>1/3.657</f>
        <v>0.27344818156959255</v>
      </c>
      <c r="X396">
        <f t="shared" si="77"/>
        <v>3.657</v>
      </c>
      <c r="Y396" s="3">
        <v>0.27300000000000002</v>
      </c>
      <c r="Z396" s="3">
        <v>0.73</v>
      </c>
      <c r="AA396">
        <v>74.087000000000003</v>
      </c>
      <c r="AB396">
        <v>25.561</v>
      </c>
      <c r="AC396">
        <v>72.268000000000001</v>
      </c>
      <c r="AD396">
        <v>23.939</v>
      </c>
      <c r="AE396">
        <v>1487.32</v>
      </c>
      <c r="AF396" s="30">
        <f t="shared" si="79"/>
        <v>38.565787947350437</v>
      </c>
      <c r="AG396">
        <v>170.77500000000001</v>
      </c>
      <c r="AH396">
        <v>0.64100000000000001</v>
      </c>
      <c r="AI396">
        <f>1/2.898</f>
        <v>0.34506556245686681</v>
      </c>
      <c r="AJ396">
        <f t="shared" si="78"/>
        <v>2.8980000000000001</v>
      </c>
      <c r="AK396">
        <v>0.34499999999999997</v>
      </c>
      <c r="AL396">
        <v>1</v>
      </c>
      <c r="AN396">
        <v>0.5015324796095465</v>
      </c>
      <c r="AO396">
        <v>28.791</v>
      </c>
      <c r="AP396">
        <v>0</v>
      </c>
      <c r="AQ396">
        <v>71.102000000000004</v>
      </c>
      <c r="AR396" s="6">
        <f t="shared" si="80"/>
        <v>0.40492531855644004</v>
      </c>
    </row>
    <row r="397" spans="2:44" x14ac:dyDescent="0.25">
      <c r="B397" t="s">
        <v>521</v>
      </c>
      <c r="C397">
        <v>1174</v>
      </c>
      <c r="D397">
        <v>700</v>
      </c>
      <c r="H397" s="24">
        <v>160788</v>
      </c>
      <c r="I397" s="55">
        <v>321576</v>
      </c>
      <c r="J397" t="b">
        <v>0</v>
      </c>
      <c r="K397" t="s">
        <v>522</v>
      </c>
      <c r="M397" s="3">
        <v>25.777000000000001</v>
      </c>
      <c r="N397">
        <v>25.3</v>
      </c>
      <c r="O397">
        <v>25.774000000000001</v>
      </c>
      <c r="P397">
        <v>25.297999999999998</v>
      </c>
      <c r="Q397">
        <v>512.19200000000001</v>
      </c>
      <c r="R397" s="28">
        <v>568.57899999999995</v>
      </c>
      <c r="S397">
        <f t="shared" si="81"/>
        <v>12.768546402165288</v>
      </c>
      <c r="T397" s="29">
        <f t="shared" si="82"/>
        <v>22.631659240983637</v>
      </c>
      <c r="U397">
        <v>80.224999999999994</v>
      </c>
      <c r="V397" s="29">
        <v>1</v>
      </c>
      <c r="W397" s="30">
        <f>1/1.019</f>
        <v>0.9813542688910698</v>
      </c>
      <c r="X397">
        <f t="shared" si="77"/>
        <v>1.0189999999999999</v>
      </c>
      <c r="Y397" s="3">
        <v>0.98199999999999998</v>
      </c>
      <c r="Z397" s="3">
        <v>0.999</v>
      </c>
      <c r="AA397">
        <v>25.777000000000001</v>
      </c>
      <c r="AB397">
        <v>25.3</v>
      </c>
      <c r="AC397">
        <v>25.774000000000001</v>
      </c>
      <c r="AD397">
        <v>25.297999999999998</v>
      </c>
      <c r="AE397">
        <v>512.19200000000001</v>
      </c>
      <c r="AF397" s="30">
        <f t="shared" si="79"/>
        <v>22.631659240983637</v>
      </c>
      <c r="AG397">
        <v>80.224999999999994</v>
      </c>
      <c r="AH397">
        <v>1</v>
      </c>
      <c r="AI397">
        <f>1/1.019</f>
        <v>0.9813542688910698</v>
      </c>
      <c r="AJ397">
        <f t="shared" si="78"/>
        <v>1.0189999999999999</v>
      </c>
      <c r="AK397">
        <v>0.98199999999999998</v>
      </c>
      <c r="AL397">
        <v>0.999</v>
      </c>
      <c r="AN397">
        <v>0.96856778060784599</v>
      </c>
      <c r="AO397">
        <v>25.363</v>
      </c>
      <c r="AP397">
        <v>0</v>
      </c>
      <c r="AQ397">
        <v>24.431000000000001</v>
      </c>
      <c r="AR397" s="6">
        <f t="shared" si="80"/>
        <v>1.0381482542671197</v>
      </c>
    </row>
    <row r="398" spans="2:44" x14ac:dyDescent="0.25">
      <c r="B398" t="s">
        <v>523</v>
      </c>
      <c r="C398">
        <v>1174</v>
      </c>
      <c r="D398">
        <v>500</v>
      </c>
      <c r="H398" s="24">
        <v>5000000</v>
      </c>
      <c r="I398" s="55"/>
      <c r="J398" t="b">
        <v>0</v>
      </c>
      <c r="R398" s="28">
        <v>0</v>
      </c>
      <c r="S398">
        <f t="shared" si="81"/>
        <v>0</v>
      </c>
      <c r="T398" s="29">
        <f t="shared" si="82"/>
        <v>0</v>
      </c>
      <c r="X398" t="e">
        <f t="shared" si="77"/>
        <v>#DIV/0!</v>
      </c>
      <c r="AF398" s="30">
        <f t="shared" si="79"/>
        <v>0</v>
      </c>
      <c r="AJ398" t="e">
        <f t="shared" si="78"/>
        <v>#DIV/0!</v>
      </c>
      <c r="AN398" t="e">
        <v>#DIV/0!</v>
      </c>
      <c r="AR398" s="6"/>
    </row>
    <row r="399" spans="2:44" x14ac:dyDescent="0.25">
      <c r="B399" t="s">
        <v>524</v>
      </c>
      <c r="C399">
        <v>1174</v>
      </c>
      <c r="D399">
        <v>600</v>
      </c>
      <c r="H399" s="24">
        <v>472076</v>
      </c>
      <c r="I399" s="55">
        <v>944152</v>
      </c>
      <c r="J399" t="b">
        <v>0</v>
      </c>
      <c r="K399" t="s">
        <v>522</v>
      </c>
      <c r="M399" s="3">
        <v>24.283999999999999</v>
      </c>
      <c r="N399">
        <v>21.209</v>
      </c>
      <c r="O399">
        <v>25.645</v>
      </c>
      <c r="P399">
        <v>21.538</v>
      </c>
      <c r="Q399">
        <v>404.512</v>
      </c>
      <c r="R399" s="28">
        <v>909.96199999999999</v>
      </c>
      <c r="S399">
        <f t="shared" si="81"/>
        <v>11.347253794640249</v>
      </c>
      <c r="T399" s="29">
        <f t="shared" si="82"/>
        <v>20.112483685512338</v>
      </c>
      <c r="U399">
        <v>74.941999999999993</v>
      </c>
      <c r="V399" s="29">
        <v>0.90500000000000003</v>
      </c>
      <c r="W399" s="30">
        <f>1/1.145</f>
        <v>0.8733624454148472</v>
      </c>
      <c r="X399">
        <f t="shared" si="77"/>
        <v>1.145</v>
      </c>
      <c r="Y399" s="3">
        <v>0.873</v>
      </c>
      <c r="Z399" s="3">
        <v>0.96799999999999997</v>
      </c>
      <c r="AA399">
        <v>24.736999999999998</v>
      </c>
      <c r="AB399">
        <v>21.882999999999999</v>
      </c>
      <c r="AC399">
        <v>25.75</v>
      </c>
      <c r="AD399">
        <v>22.06</v>
      </c>
      <c r="AE399">
        <v>425.142</v>
      </c>
      <c r="AF399" s="30">
        <f t="shared" si="79"/>
        <v>20.618971846336084</v>
      </c>
      <c r="AG399">
        <v>74.828999999999994</v>
      </c>
      <c r="AH399">
        <v>0.95399999999999996</v>
      </c>
      <c r="AI399">
        <f>1/1.13</f>
        <v>0.88495575221238942</v>
      </c>
      <c r="AJ399">
        <f t="shared" si="78"/>
        <v>1.1299999999999999</v>
      </c>
      <c r="AK399">
        <v>0.88500000000000001</v>
      </c>
      <c r="AL399">
        <v>1</v>
      </c>
      <c r="AN399">
        <v>0.95500989269485914</v>
      </c>
      <c r="AO399">
        <v>22.39</v>
      </c>
      <c r="AP399">
        <v>0</v>
      </c>
      <c r="AQ399">
        <v>25.341999999999999</v>
      </c>
      <c r="AR399" s="6">
        <f t="shared" si="80"/>
        <v>0.88351353484334316</v>
      </c>
    </row>
    <row r="400" spans="2:44" x14ac:dyDescent="0.25">
      <c r="B400" t="s">
        <v>525</v>
      </c>
      <c r="C400">
        <v>1174</v>
      </c>
      <c r="D400">
        <v>700</v>
      </c>
      <c r="H400" s="24">
        <v>130336</v>
      </c>
      <c r="I400" s="55">
        <v>260672</v>
      </c>
      <c r="J400" t="b">
        <v>0</v>
      </c>
      <c r="K400" t="s">
        <v>522</v>
      </c>
      <c r="M400" s="3">
        <v>29.51</v>
      </c>
      <c r="N400">
        <v>22.704999999999998</v>
      </c>
      <c r="O400">
        <v>30.161000000000001</v>
      </c>
      <c r="P400">
        <v>22.977</v>
      </c>
      <c r="Q400">
        <v>526.23</v>
      </c>
      <c r="R400" s="28">
        <v>1293.2270000000001</v>
      </c>
      <c r="S400">
        <f t="shared" si="81"/>
        <v>12.942341805349455</v>
      </c>
      <c r="T400" s="29">
        <f t="shared" si="82"/>
        <v>22.939703572627089</v>
      </c>
      <c r="U400">
        <v>83.177999999999997</v>
      </c>
      <c r="V400" s="29">
        <v>0.95599999999999996</v>
      </c>
      <c r="W400" s="30">
        <f>1/1.3</f>
        <v>0.76923076923076916</v>
      </c>
      <c r="X400">
        <f t="shared" si="77"/>
        <v>1.3</v>
      </c>
      <c r="Y400" s="3">
        <v>0.76900000000000002</v>
      </c>
      <c r="Z400" s="3">
        <v>0.999</v>
      </c>
      <c r="AA400">
        <v>29.51</v>
      </c>
      <c r="AB400">
        <v>22.704999999999998</v>
      </c>
      <c r="AC400">
        <v>30.161000000000001</v>
      </c>
      <c r="AD400">
        <v>22.977</v>
      </c>
      <c r="AE400">
        <v>526.23</v>
      </c>
      <c r="AF400" s="30">
        <f t="shared" si="79"/>
        <v>22.939703572627089</v>
      </c>
      <c r="AG400">
        <v>83.177999999999997</v>
      </c>
      <c r="AH400">
        <v>0.95599999999999996</v>
      </c>
      <c r="AI400">
        <f>1/1.3</f>
        <v>0.76923076923076916</v>
      </c>
      <c r="AJ400">
        <f t="shared" si="78"/>
        <v>1.3</v>
      </c>
      <c r="AK400">
        <v>0.76900000000000002</v>
      </c>
      <c r="AL400">
        <v>0.999</v>
      </c>
      <c r="AN400">
        <v>0.87410021372234659</v>
      </c>
      <c r="AO400">
        <v>23.36</v>
      </c>
      <c r="AP400">
        <v>0</v>
      </c>
      <c r="AQ400">
        <v>30.469000000000001</v>
      </c>
      <c r="AR400" s="6">
        <f t="shared" si="80"/>
        <v>0.76668088877219465</v>
      </c>
    </row>
    <row r="401" spans="1:51" x14ac:dyDescent="0.25">
      <c r="B401" t="s">
        <v>526</v>
      </c>
      <c r="C401">
        <v>1174</v>
      </c>
      <c r="D401">
        <v>600</v>
      </c>
      <c r="H401">
        <v>952097</v>
      </c>
      <c r="I401" s="28">
        <v>1904194</v>
      </c>
      <c r="J401" t="s">
        <v>55</v>
      </c>
      <c r="K401" t="s">
        <v>43</v>
      </c>
      <c r="M401" s="3">
        <v>37.890999999999998</v>
      </c>
      <c r="N401">
        <v>34.012</v>
      </c>
      <c r="O401">
        <v>50.777999999999999</v>
      </c>
      <c r="P401">
        <v>39.360999999999997</v>
      </c>
      <c r="Q401">
        <v>1012.18</v>
      </c>
      <c r="R401" s="28">
        <v>30.007999999999999</v>
      </c>
      <c r="S401">
        <f t="shared" si="81"/>
        <v>17.949565470994255</v>
      </c>
      <c r="T401" s="29">
        <f t="shared" si="82"/>
        <v>31.814776441144449</v>
      </c>
      <c r="U401">
        <v>146.9</v>
      </c>
      <c r="V401" s="29">
        <v>0.58899999999999997</v>
      </c>
      <c r="W401" s="30">
        <f>1/1.114</f>
        <v>0.89766606822262107</v>
      </c>
      <c r="X401">
        <f t="shared" si="77"/>
        <v>1.1140000000000001</v>
      </c>
      <c r="Y401" s="3">
        <v>0.89800000000000002</v>
      </c>
      <c r="Z401" s="3">
        <v>0.86299999999999999</v>
      </c>
      <c r="AA401">
        <v>44.704999999999998</v>
      </c>
      <c r="AB401">
        <v>36.087000000000003</v>
      </c>
      <c r="AC401">
        <v>53.481999999999999</v>
      </c>
      <c r="AD401">
        <v>39.914999999999999</v>
      </c>
      <c r="AE401">
        <v>1267.05</v>
      </c>
      <c r="AF401" s="30">
        <f t="shared" si="79"/>
        <v>35.595645801136968</v>
      </c>
      <c r="AG401">
        <v>147.411</v>
      </c>
      <c r="AH401">
        <v>0.73299999999999998</v>
      </c>
      <c r="AI401">
        <f>1/1.239</f>
        <v>0.80710250201775624</v>
      </c>
      <c r="AJ401">
        <f t="shared" si="78"/>
        <v>1.2390000000000001</v>
      </c>
      <c r="AK401">
        <v>0.80700000000000005</v>
      </c>
      <c r="AL401">
        <v>0.98799999999999999</v>
      </c>
      <c r="AN401">
        <v>0.85874897085462021</v>
      </c>
      <c r="AO401">
        <v>44.241999999999997</v>
      </c>
      <c r="AP401">
        <v>0</v>
      </c>
      <c r="AQ401">
        <v>43.220999999999997</v>
      </c>
      <c r="AR401" s="6">
        <f t="shared" si="80"/>
        <v>1.0236227759653873</v>
      </c>
    </row>
    <row r="402" spans="1:51" x14ac:dyDescent="0.25">
      <c r="B402" t="s">
        <v>527</v>
      </c>
      <c r="C402">
        <v>1174</v>
      </c>
      <c r="D402">
        <v>500</v>
      </c>
      <c r="H402">
        <v>2058041</v>
      </c>
      <c r="I402" s="28">
        <v>4116082</v>
      </c>
      <c r="J402" t="b">
        <v>0</v>
      </c>
      <c r="K402" t="s">
        <v>43</v>
      </c>
      <c r="M402" s="3">
        <v>85.882999999999996</v>
      </c>
      <c r="N402">
        <v>40.098999999999997</v>
      </c>
      <c r="O402">
        <v>87.96</v>
      </c>
      <c r="P402">
        <v>48.314</v>
      </c>
      <c r="Q402">
        <v>2704.8020000000001</v>
      </c>
      <c r="R402" s="28">
        <v>347.25700000000001</v>
      </c>
      <c r="S402">
        <f t="shared" si="81"/>
        <v>29.342208791597294</v>
      </c>
      <c r="T402" s="29">
        <f t="shared" si="82"/>
        <v>52.007710966740305</v>
      </c>
      <c r="U402">
        <v>256.98099999999999</v>
      </c>
      <c r="V402" s="29">
        <v>0.51500000000000001</v>
      </c>
      <c r="W402" s="30">
        <f>1/2.142</f>
        <v>0.46685340802987862</v>
      </c>
      <c r="X402">
        <f t="shared" si="77"/>
        <v>2.1419999999999999</v>
      </c>
      <c r="Y402" s="3">
        <v>0.46700000000000003</v>
      </c>
      <c r="Z402" s="3">
        <v>0.83099999999999996</v>
      </c>
      <c r="AA402">
        <v>86.474999999999994</v>
      </c>
      <c r="AB402">
        <v>48.026000000000003</v>
      </c>
      <c r="AC402">
        <v>87.954999999999998</v>
      </c>
      <c r="AD402">
        <v>48.555</v>
      </c>
      <c r="AE402">
        <v>3261.8020000000001</v>
      </c>
      <c r="AF402" s="30">
        <f t="shared" si="79"/>
        <v>57.112187841125468</v>
      </c>
      <c r="AG402">
        <v>222.30799999999999</v>
      </c>
      <c r="AH402">
        <v>0.82899999999999996</v>
      </c>
      <c r="AI402">
        <f>1/1.801</f>
        <v>0.55524708495280406</v>
      </c>
      <c r="AJ402">
        <f t="shared" si="78"/>
        <v>1.8009999999999997</v>
      </c>
      <c r="AK402">
        <v>0.55500000000000005</v>
      </c>
      <c r="AL402">
        <v>1</v>
      </c>
      <c r="AN402">
        <v>0.66947299828227125</v>
      </c>
      <c r="AO402">
        <v>51.673000000000002</v>
      </c>
      <c r="AP402">
        <v>0</v>
      </c>
      <c r="AQ402">
        <v>90.224000000000004</v>
      </c>
      <c r="AR402" s="6">
        <f t="shared" si="80"/>
        <v>0.57271901046284801</v>
      </c>
    </row>
    <row r="403" spans="1:51" x14ac:dyDescent="0.25">
      <c r="B403" t="s">
        <v>528</v>
      </c>
      <c r="C403">
        <v>1174</v>
      </c>
      <c r="D403">
        <v>700</v>
      </c>
      <c r="H403">
        <v>31989</v>
      </c>
      <c r="I403" s="28">
        <v>63978</v>
      </c>
      <c r="J403" t="s">
        <v>55</v>
      </c>
      <c r="K403" t="s">
        <v>43</v>
      </c>
      <c r="L403" t="s">
        <v>135</v>
      </c>
      <c r="M403" s="3">
        <v>156.30500000000001</v>
      </c>
      <c r="N403">
        <v>47.72</v>
      </c>
      <c r="O403">
        <v>189.017</v>
      </c>
      <c r="P403">
        <v>60.860999999999997</v>
      </c>
      <c r="Q403">
        <v>5858.21</v>
      </c>
      <c r="R403" s="58">
        <v>19.600000000000001</v>
      </c>
      <c r="S403">
        <f t="shared" si="81"/>
        <v>43.182475129857302</v>
      </c>
      <c r="T403" s="29">
        <f t="shared" si="82"/>
        <v>76.538944335547242</v>
      </c>
      <c r="U403">
        <v>532.90700000000004</v>
      </c>
      <c r="V403" s="29">
        <v>0.25900000000000001</v>
      </c>
      <c r="W403" s="30">
        <f>1/3.275</f>
        <v>0.30534351145038169</v>
      </c>
      <c r="X403">
        <f t="shared" si="77"/>
        <v>3.2749999999999999</v>
      </c>
      <c r="Y403" s="3">
        <v>0.30499999999999999</v>
      </c>
      <c r="Z403" s="3">
        <v>0.69599999999999995</v>
      </c>
      <c r="AA403">
        <v>156.012</v>
      </c>
      <c r="AB403">
        <v>86.445999999999998</v>
      </c>
      <c r="AC403">
        <v>196.76900000000001</v>
      </c>
      <c r="AD403">
        <v>98.906000000000006</v>
      </c>
      <c r="AE403">
        <v>10592.344999999999</v>
      </c>
      <c r="AF403" s="30">
        <f t="shared" si="79"/>
        <v>102.91911872922348</v>
      </c>
      <c r="AG403">
        <v>462.839</v>
      </c>
      <c r="AH403">
        <v>0.621</v>
      </c>
      <c r="AI403">
        <f>1/1.805</f>
        <v>0.554016620498615</v>
      </c>
      <c r="AJ403">
        <f t="shared" si="78"/>
        <v>1.8049999999999999</v>
      </c>
      <c r="AK403">
        <v>0.55400000000000005</v>
      </c>
      <c r="AL403">
        <v>1</v>
      </c>
      <c r="AN403">
        <v>0</v>
      </c>
      <c r="AO403">
        <v>157.46899999999999</v>
      </c>
      <c r="AP403">
        <v>57.753</v>
      </c>
      <c r="AQ403">
        <v>134.369</v>
      </c>
      <c r="AR403" s="6">
        <f t="shared" si="80"/>
        <v>1.1719146529333402</v>
      </c>
    </row>
    <row r="404" spans="1:51" s="6" customFormat="1" x14ac:dyDescent="0.25">
      <c r="A404" s="6" t="s">
        <v>529</v>
      </c>
      <c r="B404" s="6" t="s">
        <v>530</v>
      </c>
      <c r="C404" s="6">
        <v>1184</v>
      </c>
      <c r="D404" s="6">
        <v>500</v>
      </c>
      <c r="H404" s="6">
        <v>121492</v>
      </c>
      <c r="I404" s="39"/>
      <c r="J404" s="6" t="b">
        <v>0</v>
      </c>
      <c r="K404" s="6" t="s">
        <v>43</v>
      </c>
      <c r="M404" s="15">
        <v>181.11600000000001</v>
      </c>
      <c r="N404" s="6">
        <v>135.803</v>
      </c>
      <c r="O404" s="6">
        <v>245.88399999999999</v>
      </c>
      <c r="P404" s="6">
        <v>169.066</v>
      </c>
      <c r="Q404" s="6">
        <v>19317.82</v>
      </c>
      <c r="R404" s="39">
        <v>319.53399999999999</v>
      </c>
      <c r="S404" s="6">
        <f t="shared" si="81"/>
        <v>78.415898168158193</v>
      </c>
      <c r="T404" s="40">
        <f t="shared" si="82"/>
        <v>138.98856068036679</v>
      </c>
      <c r="U404" s="6">
        <v>981.721</v>
      </c>
      <c r="V404" s="40">
        <v>0.252</v>
      </c>
      <c r="W404" s="41">
        <f>1/1.334</f>
        <v>0.7496251874062968</v>
      </c>
      <c r="X404" s="6">
        <f>1/W404</f>
        <v>1.3340000000000001</v>
      </c>
      <c r="Y404" s="15">
        <v>0.75</v>
      </c>
      <c r="Z404" s="15">
        <v>0.63500000000000001</v>
      </c>
      <c r="AA404" s="6">
        <v>239.01599999999999</v>
      </c>
      <c r="AB404" s="6">
        <v>169.28299999999999</v>
      </c>
      <c r="AC404" s="6">
        <v>254.51</v>
      </c>
      <c r="AD404" s="6">
        <v>173.97</v>
      </c>
      <c r="AE404" s="6">
        <v>31778.287</v>
      </c>
      <c r="AF404" s="41">
        <f>SQRT(AE404)</f>
        <v>178.26465437657572</v>
      </c>
      <c r="AG404" s="6">
        <v>695.971</v>
      </c>
      <c r="AH404" s="6">
        <v>0.82399999999999995</v>
      </c>
      <c r="AI404" s="6">
        <f>1/1.412</f>
        <v>0.708215297450425</v>
      </c>
      <c r="AJ404" s="6">
        <f>1/AI404</f>
        <v>1.4119999999999999</v>
      </c>
      <c r="AK404" s="6">
        <v>0.70799999999999996</v>
      </c>
      <c r="AL404" s="6">
        <v>0.98499999999999999</v>
      </c>
      <c r="AN404" s="6">
        <v>0</v>
      </c>
      <c r="AO404" s="6">
        <v>260.29399999999998</v>
      </c>
      <c r="AP404" s="6">
        <v>0</v>
      </c>
      <c r="AQ404" s="6">
        <v>201.006</v>
      </c>
      <c r="AR404" s="6">
        <f t="shared" si="80"/>
        <v>1.294956369461608</v>
      </c>
      <c r="AY404"/>
    </row>
    <row r="405" spans="1:51" x14ac:dyDescent="0.25">
      <c r="B405" t="s">
        <v>531</v>
      </c>
      <c r="C405">
        <v>1184</v>
      </c>
      <c r="D405">
        <v>600</v>
      </c>
      <c r="H405">
        <v>77903</v>
      </c>
      <c r="I405" s="28">
        <v>155806</v>
      </c>
      <c r="J405" t="s">
        <v>55</v>
      </c>
      <c r="K405" t="s">
        <v>43</v>
      </c>
      <c r="M405" s="3">
        <v>162.59100000000001</v>
      </c>
      <c r="N405">
        <v>107.244</v>
      </c>
      <c r="O405">
        <v>188.22200000000001</v>
      </c>
      <c r="P405">
        <v>122.649</v>
      </c>
      <c r="Q405">
        <v>13694.822</v>
      </c>
      <c r="R405" s="28">
        <v>167.61199999999999</v>
      </c>
      <c r="S405">
        <f t="shared" si="81"/>
        <v>66.024217012602833</v>
      </c>
      <c r="T405" s="29">
        <f t="shared" si="82"/>
        <v>117.02487769700937</v>
      </c>
      <c r="U405">
        <v>718.36</v>
      </c>
      <c r="V405" s="29">
        <v>0.33300000000000002</v>
      </c>
      <c r="W405" s="30">
        <f>1/1.516</f>
        <v>0.65963060686015829</v>
      </c>
      <c r="X405">
        <f t="shared" ref="X405:X424" si="83">1/W405</f>
        <v>1.516</v>
      </c>
      <c r="Y405" s="3">
        <v>0.66</v>
      </c>
      <c r="Z405" s="3">
        <v>0.74</v>
      </c>
      <c r="AA405">
        <v>178.85300000000001</v>
      </c>
      <c r="AB405">
        <v>131.53299999999999</v>
      </c>
      <c r="AC405">
        <v>189.934</v>
      </c>
      <c r="AD405">
        <v>125.345</v>
      </c>
      <c r="AE405">
        <v>18476.572</v>
      </c>
      <c r="AF405" s="30">
        <f t="shared" ref="AF405:AF424" si="84">SQRT(AE405)</f>
        <v>135.92855476315489</v>
      </c>
      <c r="AG405">
        <v>516.33900000000006</v>
      </c>
      <c r="AH405">
        <v>0.871</v>
      </c>
      <c r="AI405">
        <f>1/1.36</f>
        <v>0.73529411764705876</v>
      </c>
      <c r="AJ405">
        <f t="shared" ref="AJ405:AJ424" si="85">1/AI405</f>
        <v>1.36</v>
      </c>
      <c r="AK405">
        <v>0.73499999999999999</v>
      </c>
      <c r="AL405">
        <v>0.99199999999999999</v>
      </c>
      <c r="AN405">
        <v>0.70780208684086865</v>
      </c>
      <c r="AO405">
        <v>139.72300000000001</v>
      </c>
      <c r="AP405">
        <v>0</v>
      </c>
      <c r="AQ405">
        <v>185.35300000000001</v>
      </c>
      <c r="AR405" s="6">
        <f t="shared" si="80"/>
        <v>0.753821087330661</v>
      </c>
    </row>
    <row r="406" spans="1:51" ht="13.5" customHeight="1" x14ac:dyDescent="0.25">
      <c r="B406" t="s">
        <v>532</v>
      </c>
      <c r="C406">
        <v>1184</v>
      </c>
      <c r="D406">
        <v>500</v>
      </c>
      <c r="H406">
        <v>1968826</v>
      </c>
      <c r="I406" s="28">
        <v>3937652</v>
      </c>
      <c r="J406" t="b">
        <v>0</v>
      </c>
      <c r="K406" t="s">
        <v>43</v>
      </c>
      <c r="L406" t="s">
        <v>533</v>
      </c>
      <c r="M406" s="3">
        <v>118.514</v>
      </c>
      <c r="N406">
        <v>32.74</v>
      </c>
      <c r="O406">
        <v>130.27799999999999</v>
      </c>
      <c r="P406">
        <v>39.155000000000001</v>
      </c>
      <c r="Q406">
        <v>3047.4720000000002</v>
      </c>
      <c r="R406" s="28">
        <v>1639.17</v>
      </c>
      <c r="S406">
        <f t="shared" si="81"/>
        <v>31.145472631961923</v>
      </c>
      <c r="T406" s="29">
        <f t="shared" si="82"/>
        <v>55.203912904793263</v>
      </c>
      <c r="U406">
        <v>330.65100000000001</v>
      </c>
      <c r="V406" s="29">
        <v>0.35</v>
      </c>
      <c r="W406" s="30">
        <f>1/3.62</f>
        <v>0.27624309392265195</v>
      </c>
      <c r="X406">
        <f t="shared" si="83"/>
        <v>3.6199999999999997</v>
      </c>
      <c r="Y406" s="3">
        <v>0.27600000000000002</v>
      </c>
      <c r="Z406" s="3">
        <v>0.75700000000000001</v>
      </c>
      <c r="AA406">
        <v>130.29599999999999</v>
      </c>
      <c r="AB406">
        <v>39.332999999999998</v>
      </c>
      <c r="AC406">
        <v>130.483</v>
      </c>
      <c r="AD406">
        <v>39.253</v>
      </c>
      <c r="AE406">
        <v>4038.623</v>
      </c>
      <c r="AF406" s="30">
        <f t="shared" si="84"/>
        <v>63.550161290117906</v>
      </c>
      <c r="AG406">
        <v>302.83300000000003</v>
      </c>
      <c r="AH406">
        <v>0.55300000000000005</v>
      </c>
      <c r="AI406">
        <f>1/3.302</f>
        <v>0.30284675953967294</v>
      </c>
      <c r="AJ406">
        <f t="shared" si="85"/>
        <v>3.302</v>
      </c>
      <c r="AK406">
        <v>0.30299999999999999</v>
      </c>
      <c r="AL406">
        <v>0.98599999999999999</v>
      </c>
      <c r="AN406">
        <v>0</v>
      </c>
      <c r="AO406">
        <v>107.92700000000001</v>
      </c>
      <c r="AP406">
        <v>0</v>
      </c>
      <c r="AQ406">
        <v>104.657</v>
      </c>
      <c r="AR406" s="6">
        <f t="shared" si="80"/>
        <v>1.0312449238942452</v>
      </c>
    </row>
    <row r="407" spans="1:51" x14ac:dyDescent="0.25">
      <c r="B407" t="s">
        <v>534</v>
      </c>
      <c r="C407">
        <v>1184</v>
      </c>
      <c r="D407">
        <v>700</v>
      </c>
      <c r="H407">
        <v>29804</v>
      </c>
      <c r="J407" t="b">
        <v>0</v>
      </c>
      <c r="K407" t="s">
        <v>43</v>
      </c>
      <c r="M407" s="3">
        <v>191.476</v>
      </c>
      <c r="N407">
        <v>147.85</v>
      </c>
      <c r="O407">
        <v>252.01499999999999</v>
      </c>
      <c r="P407">
        <v>173.49600000000001</v>
      </c>
      <c r="Q407">
        <v>22234.323</v>
      </c>
      <c r="R407" s="28">
        <v>302.01400000000001</v>
      </c>
      <c r="S407">
        <f t="shared" si="81"/>
        <v>84.127313183672044</v>
      </c>
      <c r="T407" s="29">
        <f t="shared" si="82"/>
        <v>149.11178021873388</v>
      </c>
      <c r="U407">
        <v>838.59799999999996</v>
      </c>
      <c r="V407" s="29">
        <v>0.39700000000000002</v>
      </c>
      <c r="W407" s="30">
        <f>1/1.295</f>
        <v>0.77220077220077221</v>
      </c>
      <c r="X407">
        <f t="shared" si="83"/>
        <v>1.2949999999999999</v>
      </c>
      <c r="Y407" s="3">
        <v>0.77200000000000002</v>
      </c>
      <c r="Z407" s="3">
        <v>0.71699999999999997</v>
      </c>
      <c r="AA407">
        <v>233.2</v>
      </c>
      <c r="AB407">
        <v>168.48</v>
      </c>
      <c r="AC407">
        <v>253.322</v>
      </c>
      <c r="AD407">
        <v>170.947</v>
      </c>
      <c r="AE407">
        <v>30858.006000000001</v>
      </c>
      <c r="AF407" s="30">
        <f t="shared" si="84"/>
        <v>175.66446994198913</v>
      </c>
      <c r="AG407">
        <v>682.154</v>
      </c>
      <c r="AH407">
        <v>0.83299999999999996</v>
      </c>
      <c r="AI407">
        <f>1/1.384</f>
        <v>0.7225433526011561</v>
      </c>
      <c r="AJ407">
        <f t="shared" si="85"/>
        <v>1.3839999999999999</v>
      </c>
      <c r="AK407">
        <v>0.72199999999999998</v>
      </c>
      <c r="AL407">
        <v>0.998</v>
      </c>
      <c r="AN407">
        <v>0</v>
      </c>
      <c r="AO407">
        <v>252.61600000000001</v>
      </c>
      <c r="AP407">
        <v>0</v>
      </c>
      <c r="AQ407">
        <v>200.48400000000001</v>
      </c>
      <c r="AR407" s="6">
        <f t="shared" si="80"/>
        <v>1.2600307256439416</v>
      </c>
    </row>
    <row r="408" spans="1:51" x14ac:dyDescent="0.25">
      <c r="B408" t="s">
        <v>535</v>
      </c>
      <c r="C408">
        <v>1184</v>
      </c>
      <c r="D408">
        <v>600</v>
      </c>
      <c r="H408">
        <v>75645</v>
      </c>
      <c r="I408" s="28">
        <v>151290</v>
      </c>
      <c r="J408" t="b">
        <v>0</v>
      </c>
      <c r="K408" t="s">
        <v>43</v>
      </c>
      <c r="M408" s="3">
        <v>156.40700000000001</v>
      </c>
      <c r="N408">
        <v>100.405</v>
      </c>
      <c r="O408">
        <v>199.185</v>
      </c>
      <c r="P408">
        <v>118.27800000000001</v>
      </c>
      <c r="Q408">
        <v>12333.941000000001</v>
      </c>
      <c r="R408" s="28">
        <v>1066.258</v>
      </c>
      <c r="S408">
        <f t="shared" si="81"/>
        <v>62.657923329037885</v>
      </c>
      <c r="T408" s="29">
        <f t="shared" si="82"/>
        <v>111.05827749429577</v>
      </c>
      <c r="U408">
        <v>580.11699999999996</v>
      </c>
      <c r="V408" s="29">
        <v>0.46100000000000002</v>
      </c>
      <c r="W408" s="30">
        <f>1/1.558</f>
        <v>0.64184852374839541</v>
      </c>
      <c r="X408">
        <f t="shared" si="83"/>
        <v>1.5579999999999998</v>
      </c>
      <c r="Y408" s="3">
        <v>0.64200000000000002</v>
      </c>
      <c r="Z408" s="3">
        <v>0.73399999999999999</v>
      </c>
      <c r="AA408">
        <v>191.392</v>
      </c>
      <c r="AB408">
        <v>108.325</v>
      </c>
      <c r="AC408">
        <v>199.321</v>
      </c>
      <c r="AD408">
        <v>118.30200000000001</v>
      </c>
      <c r="AE408">
        <v>16283.314</v>
      </c>
      <c r="AF408" s="30">
        <f t="shared" si="84"/>
        <v>127.6060891964016</v>
      </c>
      <c r="AG408">
        <v>537.21299999999997</v>
      </c>
      <c r="AH408">
        <v>0.70899999999999996</v>
      </c>
      <c r="AI408">
        <f>1/1.767</f>
        <v>0.56593095642331637</v>
      </c>
      <c r="AJ408">
        <f t="shared" si="85"/>
        <v>1.7669999999999999</v>
      </c>
      <c r="AK408">
        <v>0.56599999999999995</v>
      </c>
      <c r="AL408">
        <v>0.97</v>
      </c>
      <c r="AN408">
        <v>0.72546417564521493</v>
      </c>
      <c r="AO408">
        <v>182.07</v>
      </c>
      <c r="AP408">
        <v>0</v>
      </c>
      <c r="AQ408">
        <v>124.619</v>
      </c>
      <c r="AR408" s="6">
        <f t="shared" si="80"/>
        <v>1.46101316813648</v>
      </c>
    </row>
    <row r="409" spans="1:51" x14ac:dyDescent="0.25">
      <c r="B409" t="s">
        <v>536</v>
      </c>
      <c r="C409">
        <v>1184</v>
      </c>
      <c r="D409">
        <v>500</v>
      </c>
      <c r="H409">
        <v>148753</v>
      </c>
      <c r="I409" s="28">
        <v>297506</v>
      </c>
      <c r="J409" t="b">
        <v>0</v>
      </c>
      <c r="K409" t="s">
        <v>43</v>
      </c>
      <c r="M409" s="3">
        <v>198.673</v>
      </c>
      <c r="N409">
        <v>117.892</v>
      </c>
      <c r="O409">
        <v>250.208</v>
      </c>
      <c r="P409">
        <v>127.60299999999999</v>
      </c>
      <c r="Q409">
        <v>18395.534</v>
      </c>
      <c r="R409" s="28">
        <v>1050.7819999999999</v>
      </c>
      <c r="S409">
        <f t="shared" si="81"/>
        <v>76.521110380273839</v>
      </c>
      <c r="T409" s="29">
        <f t="shared" si="82"/>
        <v>135.63013676908241</v>
      </c>
      <c r="U409">
        <v>775.20100000000002</v>
      </c>
      <c r="V409" s="29">
        <v>0.38500000000000001</v>
      </c>
      <c r="W409" s="30">
        <f>1/1.685</f>
        <v>0.59347181008902072</v>
      </c>
      <c r="X409">
        <f t="shared" si="83"/>
        <v>1.6850000000000001</v>
      </c>
      <c r="Y409" s="3">
        <v>0.59299999999999997</v>
      </c>
      <c r="Z409" s="3">
        <v>0.74099999999999999</v>
      </c>
      <c r="AA409">
        <v>255.124</v>
      </c>
      <c r="AB409">
        <v>136.08500000000001</v>
      </c>
      <c r="AC409">
        <v>263.11900000000003</v>
      </c>
      <c r="AD409">
        <v>127.075</v>
      </c>
      <c r="AE409">
        <v>27267.855</v>
      </c>
      <c r="AF409" s="30">
        <f t="shared" si="84"/>
        <v>165.12981257180667</v>
      </c>
      <c r="AG409">
        <v>684.18299999999999</v>
      </c>
      <c r="AH409">
        <v>0.73199999999999998</v>
      </c>
      <c r="AI409">
        <f>1/1.875</f>
        <v>0.53333333333333333</v>
      </c>
      <c r="AJ409">
        <f t="shared" si="85"/>
        <v>1.875</v>
      </c>
      <c r="AK409">
        <v>0.53300000000000003</v>
      </c>
      <c r="AL409">
        <v>0.98599999999999999</v>
      </c>
      <c r="AN409">
        <v>0.71379322283169655</v>
      </c>
      <c r="AO409">
        <v>194.39400000000001</v>
      </c>
      <c r="AP409">
        <v>0</v>
      </c>
      <c r="AQ409">
        <v>236.31</v>
      </c>
      <c r="AR409" s="6">
        <f t="shared" si="80"/>
        <v>0.82262282594896541</v>
      </c>
    </row>
    <row r="410" spans="1:51" x14ac:dyDescent="0.25">
      <c r="B410" t="s">
        <v>537</v>
      </c>
      <c r="C410">
        <v>1184</v>
      </c>
      <c r="D410">
        <v>600</v>
      </c>
      <c r="H410">
        <v>132724</v>
      </c>
      <c r="I410" s="28">
        <v>265448</v>
      </c>
      <c r="J410" t="s">
        <v>55</v>
      </c>
      <c r="K410" t="s">
        <v>43</v>
      </c>
      <c r="M410" s="3">
        <v>133.77000000000001</v>
      </c>
      <c r="N410">
        <v>68.347999999999999</v>
      </c>
      <c r="O410">
        <v>185.15100000000001</v>
      </c>
      <c r="P410">
        <v>116.277</v>
      </c>
      <c r="Q410">
        <v>7180.9</v>
      </c>
      <c r="R410" s="28">
        <v>51.85</v>
      </c>
      <c r="S410">
        <f t="shared" si="81"/>
        <v>47.809533167530326</v>
      </c>
      <c r="T410" s="29">
        <f t="shared" si="82"/>
        <v>84.740191172784122</v>
      </c>
      <c r="U410">
        <v>629.59900000000005</v>
      </c>
      <c r="V410" s="29">
        <v>0.22800000000000001</v>
      </c>
      <c r="W410" s="30">
        <f>1/1.957</f>
        <v>0.51098620337250888</v>
      </c>
      <c r="X410">
        <f t="shared" si="83"/>
        <v>1.9570000000000003</v>
      </c>
      <c r="Y410" s="3">
        <v>0.51100000000000001</v>
      </c>
      <c r="Z410" s="3">
        <v>0.51600000000000001</v>
      </c>
      <c r="AA410">
        <v>207.083</v>
      </c>
      <c r="AB410">
        <v>199.70599999999999</v>
      </c>
      <c r="AC410">
        <v>247.86199999999999</v>
      </c>
      <c r="AD410">
        <v>186.24100000000001</v>
      </c>
      <c r="AE410">
        <v>32480.716</v>
      </c>
      <c r="AF410" s="30">
        <f t="shared" si="84"/>
        <v>180.22407164416191</v>
      </c>
      <c r="AG410">
        <v>701.05499999999995</v>
      </c>
      <c r="AH410">
        <v>0.83</v>
      </c>
      <c r="AI410">
        <f>1/1.037</f>
        <v>0.96432015429122475</v>
      </c>
      <c r="AJ410">
        <f t="shared" si="85"/>
        <v>1.0369999999999999</v>
      </c>
      <c r="AK410">
        <v>0.96399999999999997</v>
      </c>
      <c r="AL410">
        <v>0.999</v>
      </c>
      <c r="AN410">
        <v>0.56424869430475622</v>
      </c>
      <c r="AO410">
        <v>186.85</v>
      </c>
      <c r="AP410">
        <v>0</v>
      </c>
      <c r="AQ410">
        <v>126.092</v>
      </c>
      <c r="AR410" s="6">
        <f t="shared" si="80"/>
        <v>1.4818545189226913</v>
      </c>
    </row>
    <row r="411" spans="1:51" x14ac:dyDescent="0.25">
      <c r="B411" t="s">
        <v>538</v>
      </c>
      <c r="C411">
        <v>1184</v>
      </c>
      <c r="D411">
        <v>700</v>
      </c>
      <c r="H411">
        <v>63477</v>
      </c>
      <c r="I411" s="28">
        <v>126954</v>
      </c>
      <c r="J411" t="b">
        <v>0</v>
      </c>
      <c r="K411" t="s">
        <v>43</v>
      </c>
      <c r="M411" s="3">
        <v>89.695999999999998</v>
      </c>
      <c r="N411">
        <v>58.011000000000003</v>
      </c>
      <c r="O411">
        <v>100.947</v>
      </c>
      <c r="P411">
        <v>73.19</v>
      </c>
      <c r="Q411">
        <v>4086.67</v>
      </c>
      <c r="R411" s="28">
        <v>416.86</v>
      </c>
      <c r="S411">
        <f t="shared" si="81"/>
        <v>36.066985770517505</v>
      </c>
      <c r="T411" s="29">
        <f t="shared" si="82"/>
        <v>63.927067819508196</v>
      </c>
      <c r="U411">
        <v>341.98399999999998</v>
      </c>
      <c r="V411" s="29">
        <v>0.439</v>
      </c>
      <c r="W411" s="30">
        <f>1/1.546</f>
        <v>0.64683053040103489</v>
      </c>
      <c r="X411">
        <f t="shared" si="83"/>
        <v>1.546</v>
      </c>
      <c r="Y411" s="3">
        <v>0.64700000000000002</v>
      </c>
      <c r="Z411" s="3">
        <v>0.78600000000000003</v>
      </c>
      <c r="AA411">
        <v>96.956000000000003</v>
      </c>
      <c r="AB411">
        <v>68.941999999999993</v>
      </c>
      <c r="AC411">
        <v>102.43</v>
      </c>
      <c r="AD411">
        <v>72.956000000000003</v>
      </c>
      <c r="AE411">
        <v>5249.8540000000003</v>
      </c>
      <c r="AF411" s="30">
        <f t="shared" si="84"/>
        <v>72.455876228225961</v>
      </c>
      <c r="AG411">
        <v>288.77699999999999</v>
      </c>
      <c r="AH411">
        <v>0.79100000000000004</v>
      </c>
      <c r="AI411">
        <v>1.4059999999999999</v>
      </c>
      <c r="AJ411">
        <f t="shared" si="85"/>
        <v>0.71123755334281658</v>
      </c>
      <c r="AK411">
        <v>0.71099999999999997</v>
      </c>
      <c r="AL411">
        <v>1</v>
      </c>
      <c r="AN411">
        <v>0.74078384487744287</v>
      </c>
      <c r="AO411">
        <v>89.843999999999994</v>
      </c>
      <c r="AP411">
        <v>0</v>
      </c>
      <c r="AQ411">
        <v>98.799000000000007</v>
      </c>
      <c r="AR411" s="6">
        <f t="shared" si="80"/>
        <v>0.90936143078371223</v>
      </c>
    </row>
    <row r="412" spans="1:51" x14ac:dyDescent="0.25">
      <c r="B412" t="s">
        <v>539</v>
      </c>
      <c r="C412">
        <v>1184</v>
      </c>
      <c r="D412">
        <v>600</v>
      </c>
      <c r="H412">
        <v>40182</v>
      </c>
      <c r="I412" s="28">
        <v>80364</v>
      </c>
      <c r="J412" t="s">
        <v>55</v>
      </c>
      <c r="K412" t="s">
        <v>43</v>
      </c>
      <c r="L412" t="s">
        <v>135</v>
      </c>
      <c r="M412" s="3">
        <v>109.001</v>
      </c>
      <c r="N412">
        <v>64.739000000000004</v>
      </c>
      <c r="O412">
        <v>152.91399999999999</v>
      </c>
      <c r="P412">
        <v>95.457999999999998</v>
      </c>
      <c r="Q412">
        <v>5542.2719999999999</v>
      </c>
      <c r="R412" s="28">
        <v>8.5</v>
      </c>
      <c r="S412">
        <f t="shared" si="81"/>
        <v>42.001904355869506</v>
      </c>
      <c r="T412" s="29">
        <f t="shared" si="82"/>
        <v>74.446437120926078</v>
      </c>
      <c r="U412">
        <v>549.16800000000001</v>
      </c>
      <c r="V412" s="29">
        <v>0.23100000000000001</v>
      </c>
      <c r="W412" s="30">
        <f>1/1.684</f>
        <v>0.59382422802850354</v>
      </c>
      <c r="X412">
        <f t="shared" si="83"/>
        <v>1.6840000000000002</v>
      </c>
      <c r="Y412" s="3">
        <v>0.59399999999999997</v>
      </c>
      <c r="Z412" s="3">
        <v>0.61399999999999999</v>
      </c>
      <c r="AA412">
        <v>137.536</v>
      </c>
      <c r="AB412">
        <v>113.393</v>
      </c>
      <c r="AC412">
        <v>167.90600000000001</v>
      </c>
      <c r="AD412">
        <v>108.209</v>
      </c>
      <c r="AE412">
        <v>12248.741</v>
      </c>
      <c r="AF412" s="30">
        <f t="shared" si="84"/>
        <v>110.67403037750094</v>
      </c>
      <c r="AG412">
        <v>441.94600000000003</v>
      </c>
      <c r="AH412">
        <v>0.78800000000000003</v>
      </c>
      <c r="AI412">
        <f>1/1.213</f>
        <v>0.82440230832646322</v>
      </c>
      <c r="AJ412">
        <f t="shared" si="85"/>
        <v>1.2130000000000001</v>
      </c>
      <c r="AK412">
        <v>0.82399999999999995</v>
      </c>
      <c r="AL412">
        <v>1</v>
      </c>
      <c r="AN412">
        <v>0</v>
      </c>
      <c r="AO412">
        <v>110.223</v>
      </c>
      <c r="AP412">
        <v>34.003</v>
      </c>
      <c r="AQ412">
        <v>127.57899999999999</v>
      </c>
      <c r="AR412" s="6">
        <f t="shared" si="80"/>
        <v>0.86395880199719388</v>
      </c>
    </row>
    <row r="413" spans="1:51" x14ac:dyDescent="0.25">
      <c r="B413" t="s">
        <v>540</v>
      </c>
      <c r="C413">
        <v>1184</v>
      </c>
      <c r="D413">
        <v>500</v>
      </c>
      <c r="H413">
        <v>673318</v>
      </c>
      <c r="I413" s="28">
        <v>1346636</v>
      </c>
      <c r="J413" t="s">
        <v>55</v>
      </c>
      <c r="K413" t="s">
        <v>43</v>
      </c>
      <c r="M413" s="3">
        <v>139.09800000000001</v>
      </c>
      <c r="N413">
        <v>65.662000000000006</v>
      </c>
      <c r="O413">
        <v>169.22300000000001</v>
      </c>
      <c r="P413">
        <v>71.953000000000003</v>
      </c>
      <c r="Q413">
        <v>7173.4219999999996</v>
      </c>
      <c r="R413" s="28">
        <v>64.978999999999999</v>
      </c>
      <c r="S413">
        <f t="shared" si="81"/>
        <v>47.784632889332741</v>
      </c>
      <c r="T413" s="29">
        <f t="shared" si="82"/>
        <v>84.696056578804189</v>
      </c>
      <c r="U413">
        <v>398.50900000000001</v>
      </c>
      <c r="V413" s="29">
        <v>0.56799999999999995</v>
      </c>
      <c r="W413" s="30">
        <f>1/2.118</f>
        <v>0.47214353163361666</v>
      </c>
      <c r="X413">
        <f t="shared" si="83"/>
        <v>2.1179999999999999</v>
      </c>
      <c r="Y413" s="3">
        <v>0.47199999999999998</v>
      </c>
      <c r="Z413" s="3">
        <v>0.89700000000000002</v>
      </c>
      <c r="AA413">
        <v>231.29900000000001</v>
      </c>
      <c r="AB413">
        <v>94.581999999999994</v>
      </c>
      <c r="AC413">
        <v>239.429</v>
      </c>
      <c r="AD413">
        <v>87.123999999999995</v>
      </c>
      <c r="AE413">
        <v>17181.984</v>
      </c>
      <c r="AF413" s="30">
        <f t="shared" si="84"/>
        <v>131.08006713455711</v>
      </c>
      <c r="AG413">
        <v>577.18799999999999</v>
      </c>
      <c r="AH413">
        <v>0.64800000000000002</v>
      </c>
      <c r="AI413">
        <f>1/2.445</f>
        <v>0.40899795501022496</v>
      </c>
      <c r="AJ413">
        <f t="shared" si="85"/>
        <v>2.4449999999999998</v>
      </c>
      <c r="AK413">
        <v>0.40899999999999997</v>
      </c>
      <c r="AL413">
        <v>0.997</v>
      </c>
      <c r="AN413">
        <v>0.68441603529374373</v>
      </c>
      <c r="AO413">
        <v>68.674999999999997</v>
      </c>
      <c r="AP413">
        <v>0</v>
      </c>
      <c r="AQ413">
        <v>161.07499999999999</v>
      </c>
      <c r="AR413" s="6">
        <f t="shared" si="80"/>
        <v>0.42635418283408349</v>
      </c>
    </row>
    <row r="414" spans="1:51" x14ac:dyDescent="0.25">
      <c r="B414" t="s">
        <v>541</v>
      </c>
      <c r="C414">
        <v>1184</v>
      </c>
      <c r="D414">
        <v>700</v>
      </c>
      <c r="H414">
        <v>106802</v>
      </c>
      <c r="I414" s="28">
        <v>213604</v>
      </c>
      <c r="J414" t="b">
        <v>0</v>
      </c>
      <c r="K414" t="s">
        <v>43</v>
      </c>
      <c r="M414" s="3">
        <v>63.901000000000003</v>
      </c>
      <c r="N414">
        <v>40.402000000000001</v>
      </c>
      <c r="O414">
        <v>103.64</v>
      </c>
      <c r="P414">
        <v>61.218000000000004</v>
      </c>
      <c r="Q414">
        <v>2027.692</v>
      </c>
      <c r="R414" s="28">
        <v>448.279</v>
      </c>
      <c r="S414">
        <f t="shared" si="81"/>
        <v>25.405401192183188</v>
      </c>
      <c r="T414" s="29">
        <f t="shared" si="82"/>
        <v>45.029901176884678</v>
      </c>
      <c r="U414">
        <v>283.32100000000003</v>
      </c>
      <c r="V414" s="29">
        <v>0.317</v>
      </c>
      <c r="W414" s="30">
        <f>1/1.582</f>
        <v>0.63211125158027814</v>
      </c>
      <c r="X414">
        <f t="shared" si="83"/>
        <v>1.5820000000000001</v>
      </c>
      <c r="Y414" s="3">
        <v>0.63200000000000001</v>
      </c>
      <c r="Z414" s="3">
        <v>0.63300000000000001</v>
      </c>
      <c r="AA414">
        <v>81.037000000000006</v>
      </c>
      <c r="AB414">
        <v>50.24</v>
      </c>
      <c r="AC414">
        <v>104.304</v>
      </c>
      <c r="AD414">
        <v>60.853999999999999</v>
      </c>
      <c r="AE414">
        <v>3197.6089999999999</v>
      </c>
      <c r="AF414" s="30">
        <f t="shared" si="84"/>
        <v>56.547404891825053</v>
      </c>
      <c r="AG414">
        <v>265.77999999999997</v>
      </c>
      <c r="AH414">
        <v>0.56899999999999995</v>
      </c>
      <c r="AI414">
        <f>1/1.613</f>
        <v>0.61996280223186606</v>
      </c>
      <c r="AJ414">
        <f t="shared" si="85"/>
        <v>1.613</v>
      </c>
      <c r="AK414">
        <v>0.62</v>
      </c>
      <c r="AL414">
        <v>1</v>
      </c>
      <c r="AN414">
        <v>0.76209505197522753</v>
      </c>
      <c r="AO414">
        <v>102.21</v>
      </c>
      <c r="AP414">
        <v>0</v>
      </c>
      <c r="AQ414">
        <v>62.003</v>
      </c>
      <c r="AR414" s="6">
        <f t="shared" si="80"/>
        <v>1.6484686224860086</v>
      </c>
    </row>
    <row r="415" spans="1:51" x14ac:dyDescent="0.25">
      <c r="B415" t="s">
        <v>542</v>
      </c>
      <c r="C415">
        <v>1184</v>
      </c>
      <c r="D415">
        <v>500</v>
      </c>
      <c r="H415">
        <v>1883639</v>
      </c>
      <c r="I415" s="28">
        <v>3767278</v>
      </c>
      <c r="J415" t="b">
        <v>0</v>
      </c>
      <c r="K415" t="s">
        <v>43</v>
      </c>
      <c r="M415" s="3">
        <v>105.42100000000001</v>
      </c>
      <c r="N415">
        <v>48.298999999999999</v>
      </c>
      <c r="O415">
        <v>118.491</v>
      </c>
      <c r="P415">
        <v>57.02</v>
      </c>
      <c r="Q415">
        <v>3999.0129999999999</v>
      </c>
      <c r="R415" s="28">
        <v>773.26700000000005</v>
      </c>
      <c r="S415">
        <f t="shared" si="81"/>
        <v>35.678079725196802</v>
      </c>
      <c r="T415" s="29">
        <f t="shared" si="82"/>
        <v>63.237749801839094</v>
      </c>
      <c r="U415">
        <v>386.024</v>
      </c>
      <c r="V415" s="29">
        <v>0.33700000000000002</v>
      </c>
      <c r="W415" s="30">
        <f>1/2.183</f>
        <v>0.45808520384791573</v>
      </c>
      <c r="X415">
        <f t="shared" si="83"/>
        <v>2.1829999999999998</v>
      </c>
      <c r="Y415" s="3">
        <v>0.45800000000000002</v>
      </c>
      <c r="Z415" s="3">
        <v>0.68300000000000005</v>
      </c>
      <c r="AA415">
        <v>121.75700000000001</v>
      </c>
      <c r="AB415">
        <v>57.856999999999999</v>
      </c>
      <c r="AC415">
        <v>118.593</v>
      </c>
      <c r="AD415">
        <v>57.706000000000003</v>
      </c>
      <c r="AE415">
        <v>5532.7240000000002</v>
      </c>
      <c r="AF415" s="30">
        <f t="shared" si="84"/>
        <v>74.38228283670783</v>
      </c>
      <c r="AG415">
        <v>309.34300000000002</v>
      </c>
      <c r="AH415">
        <v>0.72699999999999998</v>
      </c>
      <c r="AI415">
        <f>1/2.104</f>
        <v>0.47528517110266155</v>
      </c>
      <c r="AJ415">
        <f t="shared" si="85"/>
        <v>2.1040000000000001</v>
      </c>
      <c r="AK415">
        <v>0.47499999999999998</v>
      </c>
      <c r="AL415">
        <v>0.94899999999999995</v>
      </c>
      <c r="AN415">
        <v>0.62222497382825082</v>
      </c>
      <c r="AO415">
        <v>114.5</v>
      </c>
      <c r="AP415">
        <v>0</v>
      </c>
      <c r="AQ415">
        <v>82.754999999999995</v>
      </c>
      <c r="AR415" s="6">
        <f t="shared" si="80"/>
        <v>1.3836021992628844</v>
      </c>
    </row>
    <row r="416" spans="1:51" x14ac:dyDescent="0.25">
      <c r="B416" t="s">
        <v>543</v>
      </c>
      <c r="C416">
        <v>1184</v>
      </c>
      <c r="D416">
        <v>600</v>
      </c>
      <c r="H416">
        <v>53451</v>
      </c>
      <c r="I416" s="28">
        <v>106902</v>
      </c>
      <c r="J416" t="b">
        <v>0</v>
      </c>
      <c r="K416" t="s">
        <v>64</v>
      </c>
      <c r="M416" s="3">
        <v>46.616</v>
      </c>
      <c r="N416">
        <v>33.802999999999997</v>
      </c>
      <c r="O416">
        <v>50.945</v>
      </c>
      <c r="P416">
        <v>35.826000000000001</v>
      </c>
      <c r="Q416">
        <v>1237.5889999999999</v>
      </c>
      <c r="R416" s="28">
        <v>847.822</v>
      </c>
      <c r="S416">
        <f t="shared" si="81"/>
        <v>19.847841538371654</v>
      </c>
      <c r="T416" s="29">
        <f t="shared" si="82"/>
        <v>35.179383166849298</v>
      </c>
      <c r="U416">
        <v>145.01300000000001</v>
      </c>
      <c r="V416" s="29">
        <v>0.74</v>
      </c>
      <c r="W416" s="30">
        <f>1/1.379</f>
        <v>0.72516316171138506</v>
      </c>
      <c r="X416">
        <f t="shared" si="83"/>
        <v>1.379</v>
      </c>
      <c r="Y416" s="3">
        <v>0.72499999999999998</v>
      </c>
      <c r="Z416" s="3">
        <v>0.94199999999999995</v>
      </c>
      <c r="AA416">
        <v>49.8</v>
      </c>
      <c r="AB416">
        <v>34.335000000000001</v>
      </c>
      <c r="AC416">
        <v>51.569000000000003</v>
      </c>
      <c r="AD416">
        <v>36.116</v>
      </c>
      <c r="AE416">
        <v>1342.9549999999999</v>
      </c>
      <c r="AF416" s="30">
        <f t="shared" si="84"/>
        <v>36.646350432205388</v>
      </c>
      <c r="AG416">
        <v>137.76499999999999</v>
      </c>
      <c r="AH416">
        <v>0.88900000000000001</v>
      </c>
      <c r="AI416">
        <f>1/1.45</f>
        <v>0.68965517241379315</v>
      </c>
      <c r="AJ416">
        <f t="shared" si="85"/>
        <v>1.45</v>
      </c>
      <c r="AK416">
        <v>0.68899999999999995</v>
      </c>
      <c r="AL416">
        <v>1</v>
      </c>
      <c r="AN416">
        <v>0.86191411476669744</v>
      </c>
      <c r="AO416">
        <v>40.268000000000001</v>
      </c>
      <c r="AP416">
        <v>0</v>
      </c>
      <c r="AQ416">
        <v>39.311999999999998</v>
      </c>
      <c r="AR416" s="6">
        <f t="shared" si="80"/>
        <v>1.0243182743182744</v>
      </c>
    </row>
    <row r="417" spans="2:44" x14ac:dyDescent="0.25">
      <c r="B417" t="s">
        <v>544</v>
      </c>
      <c r="C417">
        <v>1184</v>
      </c>
      <c r="D417">
        <v>700</v>
      </c>
      <c r="H417">
        <v>187756</v>
      </c>
      <c r="I417" s="28">
        <v>375512</v>
      </c>
      <c r="J417" t="b">
        <v>0</v>
      </c>
      <c r="K417" t="s">
        <v>64</v>
      </c>
      <c r="M417" s="3">
        <v>74.007000000000005</v>
      </c>
      <c r="N417">
        <v>23.785</v>
      </c>
      <c r="O417">
        <v>83.974000000000004</v>
      </c>
      <c r="P417">
        <v>26.117999999999999</v>
      </c>
      <c r="Q417">
        <v>1382.479</v>
      </c>
      <c r="R417" s="28">
        <v>498.06299999999999</v>
      </c>
      <c r="S417">
        <f t="shared" si="81"/>
        <v>20.977529243013361</v>
      </c>
      <c r="T417" s="29">
        <f t="shared" si="82"/>
        <v>37.181702489262108</v>
      </c>
      <c r="U417">
        <v>180.82599999999999</v>
      </c>
      <c r="V417" s="29">
        <v>0.53100000000000003</v>
      </c>
      <c r="W417" s="30">
        <f>1/3.112</f>
        <v>0.32133676092544988</v>
      </c>
      <c r="X417">
        <f t="shared" si="83"/>
        <v>3.1120000000000001</v>
      </c>
      <c r="Y417" s="3">
        <v>0.32100000000000001</v>
      </c>
      <c r="Z417" s="3">
        <v>0.95699999999999996</v>
      </c>
      <c r="AA417">
        <v>76.203999999999994</v>
      </c>
      <c r="AB417">
        <v>23.933</v>
      </c>
      <c r="AC417">
        <v>83.849000000000004</v>
      </c>
      <c r="AD417">
        <v>26.515999999999998</v>
      </c>
      <c r="AE417">
        <v>1432.393</v>
      </c>
      <c r="AF417" s="30">
        <f t="shared" si="84"/>
        <v>37.846968174478654</v>
      </c>
      <c r="AG417">
        <v>180.77500000000001</v>
      </c>
      <c r="AH417">
        <v>0.55100000000000005</v>
      </c>
      <c r="AI417">
        <f>1/3.184</f>
        <v>0.31407035175879394</v>
      </c>
      <c r="AJ417">
        <f t="shared" si="85"/>
        <v>3.1840000000000002</v>
      </c>
      <c r="AK417">
        <v>0.314</v>
      </c>
      <c r="AL417">
        <v>0.99399999999999999</v>
      </c>
      <c r="AN417">
        <v>0.57821665840675374</v>
      </c>
      <c r="AO417">
        <v>83.027000000000001</v>
      </c>
      <c r="AP417">
        <v>0</v>
      </c>
      <c r="AQ417">
        <v>27.632000000000001</v>
      </c>
      <c r="AR417" s="6">
        <f t="shared" si="80"/>
        <v>3.0047408801389692</v>
      </c>
    </row>
    <row r="418" spans="2:44" x14ac:dyDescent="0.25">
      <c r="B418" t="s">
        <v>545</v>
      </c>
      <c r="C418">
        <v>1184</v>
      </c>
      <c r="D418">
        <v>600</v>
      </c>
      <c r="H418">
        <v>653822</v>
      </c>
      <c r="I418" s="28">
        <v>1307644</v>
      </c>
      <c r="J418" t="b">
        <v>0</v>
      </c>
      <c r="K418" t="s">
        <v>64</v>
      </c>
      <c r="L418" t="s">
        <v>546</v>
      </c>
      <c r="M418" s="3">
        <v>38.21</v>
      </c>
      <c r="N418">
        <v>37.052</v>
      </c>
      <c r="O418">
        <v>38.204999999999998</v>
      </c>
      <c r="P418">
        <v>72.114999999999995</v>
      </c>
      <c r="Q418">
        <v>1111.933</v>
      </c>
      <c r="R418" s="28">
        <v>1395.84</v>
      </c>
      <c r="S418">
        <f t="shared" si="81"/>
        <v>18.813273683067521</v>
      </c>
      <c r="T418" s="29">
        <f t="shared" si="82"/>
        <v>33.345659387692429</v>
      </c>
      <c r="U418">
        <v>118.21899999999999</v>
      </c>
      <c r="V418" s="29">
        <v>1</v>
      </c>
      <c r="W418" s="30">
        <f>1/1.031</f>
        <v>0.96993210475266745</v>
      </c>
      <c r="X418">
        <f t="shared" si="83"/>
        <v>1.0309999999999999</v>
      </c>
      <c r="Y418" s="3">
        <v>0.97</v>
      </c>
      <c r="Z418" s="3">
        <v>1.002</v>
      </c>
      <c r="AA418">
        <v>88.283000000000001</v>
      </c>
      <c r="AB418">
        <v>38.951000000000001</v>
      </c>
      <c r="AC418">
        <v>84.338999999999999</v>
      </c>
      <c r="AD418">
        <v>37.811</v>
      </c>
      <c r="AE418">
        <v>2700.74</v>
      </c>
      <c r="AF418" s="30">
        <f t="shared" si="84"/>
        <v>51.968644392556556</v>
      </c>
      <c r="AG418">
        <v>208.703</v>
      </c>
      <c r="AH418">
        <v>0.77900000000000003</v>
      </c>
      <c r="AI418">
        <f>1/2.267</f>
        <v>0.4411116012351125</v>
      </c>
      <c r="AJ418">
        <f t="shared" si="85"/>
        <v>2.2669999999999999</v>
      </c>
      <c r="AK418">
        <v>0.441</v>
      </c>
      <c r="AL418">
        <v>1</v>
      </c>
      <c r="AN418">
        <v>0</v>
      </c>
      <c r="AO418">
        <v>37.582000000000001</v>
      </c>
      <c r="AP418">
        <v>0</v>
      </c>
      <c r="AQ418">
        <v>36.805999999999997</v>
      </c>
      <c r="AR418" s="6">
        <f t="shared" si="80"/>
        <v>1.0210835189914689</v>
      </c>
    </row>
    <row r="419" spans="2:44" x14ac:dyDescent="0.25">
      <c r="B419" t="s">
        <v>547</v>
      </c>
      <c r="C419">
        <v>1184</v>
      </c>
      <c r="D419">
        <v>700</v>
      </c>
      <c r="H419">
        <v>75325</v>
      </c>
      <c r="I419" s="28">
        <v>150650</v>
      </c>
      <c r="J419" t="s">
        <v>55</v>
      </c>
      <c r="K419" t="s">
        <v>43</v>
      </c>
      <c r="M419" s="3">
        <v>66.998000000000005</v>
      </c>
      <c r="N419">
        <v>15.863</v>
      </c>
      <c r="O419">
        <v>65.111000000000004</v>
      </c>
      <c r="P419">
        <v>18.867000000000001</v>
      </c>
      <c r="Q419">
        <v>834.71299999999997</v>
      </c>
      <c r="R419" s="28">
        <v>1.8</v>
      </c>
      <c r="S419">
        <f t="shared" si="81"/>
        <v>16.300226993086032</v>
      </c>
      <c r="T419" s="29">
        <f t="shared" si="82"/>
        <v>28.891400104529374</v>
      </c>
      <c r="U419">
        <v>152.89400000000001</v>
      </c>
      <c r="V419" s="29">
        <v>0.44900000000000001</v>
      </c>
      <c r="W419" s="30">
        <f>1/4.224</f>
        <v>0.23674242424242423</v>
      </c>
      <c r="X419">
        <f t="shared" si="83"/>
        <v>4.2240000000000002</v>
      </c>
      <c r="Y419" s="3">
        <v>0.23699999999999999</v>
      </c>
      <c r="Z419" s="3">
        <v>0.87</v>
      </c>
      <c r="AA419">
        <v>65.039000000000001</v>
      </c>
      <c r="AB419">
        <v>20.977</v>
      </c>
      <c r="AC419">
        <v>65.102000000000004</v>
      </c>
      <c r="AD419">
        <v>22.91</v>
      </c>
      <c r="AE419">
        <v>1071.52</v>
      </c>
      <c r="AF419" s="30">
        <f t="shared" si="84"/>
        <v>32.734080100103625</v>
      </c>
      <c r="AG419">
        <v>155.38800000000001</v>
      </c>
      <c r="AH419">
        <v>0.55800000000000005</v>
      </c>
      <c r="AI419">
        <f>1/3.101</f>
        <v>0.32247662044501774</v>
      </c>
      <c r="AJ419">
        <f t="shared" si="85"/>
        <v>3.101</v>
      </c>
      <c r="AK419">
        <v>0.32300000000000001</v>
      </c>
      <c r="AL419">
        <v>0.997</v>
      </c>
      <c r="AN419">
        <v>0.51776159967141955</v>
      </c>
      <c r="AO419">
        <v>16.053000000000001</v>
      </c>
      <c r="AP419">
        <v>10.263999999999999</v>
      </c>
      <c r="AQ419">
        <v>62.517000000000003</v>
      </c>
      <c r="AR419" s="6">
        <f t="shared" si="80"/>
        <v>0.25677815634147511</v>
      </c>
    </row>
    <row r="420" spans="2:44" x14ac:dyDescent="0.25">
      <c r="B420" t="s">
        <v>548</v>
      </c>
      <c r="C420">
        <v>1184</v>
      </c>
      <c r="D420">
        <v>500</v>
      </c>
      <c r="H420">
        <v>2900679</v>
      </c>
      <c r="I420" s="28">
        <v>5801358</v>
      </c>
      <c r="J420" t="b">
        <v>0</v>
      </c>
      <c r="K420" t="s">
        <v>43</v>
      </c>
      <c r="M420" s="3">
        <v>110.40900000000001</v>
      </c>
      <c r="N420">
        <v>28.088999999999999</v>
      </c>
      <c r="O420">
        <v>125.75700000000001</v>
      </c>
      <c r="P420">
        <v>32.524000000000001</v>
      </c>
      <c r="Q420">
        <v>2435.7829999999999</v>
      </c>
      <c r="R420" s="28">
        <v>648.87300000000005</v>
      </c>
      <c r="S420">
        <f t="shared" si="81"/>
        <v>27.844816564280183</v>
      </c>
      <c r="T420" s="29">
        <f t="shared" si="82"/>
        <v>49.353652347116117</v>
      </c>
      <c r="U420">
        <v>269.32499999999999</v>
      </c>
      <c r="V420" s="29">
        <v>0.42199999999999999</v>
      </c>
      <c r="W420" s="30">
        <f>1/3.931</f>
        <v>0.25438819638768762</v>
      </c>
      <c r="X420">
        <f t="shared" si="83"/>
        <v>3.931</v>
      </c>
      <c r="Y420" s="3">
        <v>0.254</v>
      </c>
      <c r="Z420" s="3">
        <v>0.89700000000000002</v>
      </c>
      <c r="AA420">
        <v>113.404</v>
      </c>
      <c r="AB420">
        <v>30.286000000000001</v>
      </c>
      <c r="AC420">
        <v>124.611</v>
      </c>
      <c r="AD420">
        <v>32.823</v>
      </c>
      <c r="AE420">
        <v>2697.473</v>
      </c>
      <c r="AF420" s="30">
        <f t="shared" si="84"/>
        <v>51.937202466055098</v>
      </c>
      <c r="AG420">
        <v>261.94</v>
      </c>
      <c r="AH420">
        <v>0.49399999999999999</v>
      </c>
      <c r="AI420">
        <f>1/3.744</f>
        <v>0.26709401709401709</v>
      </c>
      <c r="AJ420">
        <f t="shared" si="85"/>
        <v>3.7440000000000002</v>
      </c>
      <c r="AK420">
        <v>0.26700000000000002</v>
      </c>
      <c r="AL420">
        <v>0.997</v>
      </c>
      <c r="AN420">
        <v>0.52141620207925099</v>
      </c>
      <c r="AO420">
        <v>108.89100000000001</v>
      </c>
      <c r="AP420">
        <v>0</v>
      </c>
      <c r="AQ420">
        <v>67.805999999999997</v>
      </c>
      <c r="AR420" s="6">
        <f t="shared" si="80"/>
        <v>1.6059198301035309</v>
      </c>
    </row>
    <row r="421" spans="2:44" x14ac:dyDescent="0.25">
      <c r="B421" t="s">
        <v>549</v>
      </c>
      <c r="C421">
        <v>1184</v>
      </c>
      <c r="D421">
        <v>600</v>
      </c>
      <c r="H421">
        <v>75342</v>
      </c>
      <c r="J421" t="b">
        <v>0</v>
      </c>
      <c r="K421" t="s">
        <v>64</v>
      </c>
      <c r="M421" s="3">
        <v>53.226999999999997</v>
      </c>
      <c r="N421">
        <v>40.953000000000003</v>
      </c>
      <c r="O421">
        <v>54.720999999999997</v>
      </c>
      <c r="P421">
        <v>40.664000000000001</v>
      </c>
      <c r="Q421">
        <v>1712.02</v>
      </c>
      <c r="R421" s="28">
        <v>679.78899999999999</v>
      </c>
      <c r="S421">
        <f t="shared" si="81"/>
        <v>23.344226081504036</v>
      </c>
      <c r="T421" s="29">
        <f t="shared" si="82"/>
        <v>41.376563414570811</v>
      </c>
      <c r="U421">
        <v>150.06100000000001</v>
      </c>
      <c r="V421" s="29">
        <v>0.95499999999999996</v>
      </c>
      <c r="W421" s="30">
        <f>1/1.3</f>
        <v>0.76923076923076916</v>
      </c>
      <c r="X421">
        <f t="shared" si="83"/>
        <v>1.3</v>
      </c>
      <c r="Y421" s="3">
        <v>0.76900000000000002</v>
      </c>
      <c r="Z421" s="3">
        <v>1</v>
      </c>
      <c r="AA421">
        <v>53.226999999999997</v>
      </c>
      <c r="AB421">
        <v>40.953000000000003</v>
      </c>
      <c r="AC421">
        <v>54.720999999999997</v>
      </c>
      <c r="AD421">
        <v>40.664000000000001</v>
      </c>
      <c r="AE421">
        <v>1712.02</v>
      </c>
      <c r="AF421" s="30">
        <f t="shared" si="84"/>
        <v>41.376563414570811</v>
      </c>
      <c r="AG421">
        <v>150.06100000000001</v>
      </c>
      <c r="AH421">
        <v>0.95499999999999996</v>
      </c>
      <c r="AI421">
        <f>1/1.3</f>
        <v>0.76923076923076916</v>
      </c>
      <c r="AJ421">
        <f t="shared" si="85"/>
        <v>1.3</v>
      </c>
      <c r="AK421">
        <v>0.76900000000000002</v>
      </c>
      <c r="AL421">
        <v>1</v>
      </c>
      <c r="AN421">
        <v>0</v>
      </c>
      <c r="AO421">
        <v>48.582000000000001</v>
      </c>
      <c r="AP421">
        <v>0</v>
      </c>
      <c r="AQ421">
        <v>46.603000000000002</v>
      </c>
      <c r="AR421" s="6">
        <f t="shared" si="80"/>
        <v>1.0424650773555351</v>
      </c>
    </row>
    <row r="422" spans="2:44" x14ac:dyDescent="0.25">
      <c r="B422" t="s">
        <v>550</v>
      </c>
      <c r="C422">
        <v>1184</v>
      </c>
      <c r="D422">
        <v>700</v>
      </c>
      <c r="H422">
        <v>234308</v>
      </c>
      <c r="I422" s="28">
        <v>468616</v>
      </c>
      <c r="J422" t="b">
        <v>0</v>
      </c>
      <c r="K422" t="s">
        <v>64</v>
      </c>
      <c r="M422" s="3">
        <v>44.54</v>
      </c>
      <c r="N422">
        <v>33.926000000000002</v>
      </c>
      <c r="O422">
        <v>44.572000000000003</v>
      </c>
      <c r="P422">
        <v>33.792000000000002</v>
      </c>
      <c r="Q422">
        <v>1186.779</v>
      </c>
      <c r="R422" s="28">
        <v>966.13099999999997</v>
      </c>
      <c r="S422">
        <f t="shared" si="81"/>
        <v>19.436138721858129</v>
      </c>
      <c r="T422" s="29">
        <f t="shared" si="82"/>
        <v>34.449658924291256</v>
      </c>
      <c r="U422">
        <v>125.66800000000001</v>
      </c>
      <c r="V422" s="29">
        <v>0.94399999999999995</v>
      </c>
      <c r="W422" s="30">
        <f>1/1.313</f>
        <v>0.76161462300076166</v>
      </c>
      <c r="X422">
        <f t="shared" si="83"/>
        <v>1.3129999999999999</v>
      </c>
      <c r="Y422" s="3">
        <v>0.76200000000000001</v>
      </c>
      <c r="Z422" s="3">
        <v>0.998</v>
      </c>
      <c r="AA422">
        <v>44.54</v>
      </c>
      <c r="AB422">
        <v>33.926000000000002</v>
      </c>
      <c r="AC422">
        <v>44.572000000000003</v>
      </c>
      <c r="AD422">
        <v>33.792000000000002</v>
      </c>
      <c r="AE422">
        <v>1186.779</v>
      </c>
      <c r="AF422" s="30">
        <f t="shared" si="84"/>
        <v>34.449658924291256</v>
      </c>
      <c r="AG422">
        <v>125.66800000000001</v>
      </c>
      <c r="AH422">
        <v>0.94399999999999995</v>
      </c>
      <c r="AI422">
        <f>1/1.313</f>
        <v>0.76161462300076166</v>
      </c>
      <c r="AJ422">
        <f t="shared" si="85"/>
        <v>1.3129999999999999</v>
      </c>
      <c r="AK422">
        <v>0.76200000000000001</v>
      </c>
      <c r="AL422">
        <v>0.998</v>
      </c>
      <c r="AN422">
        <v>0.86734596258777164</v>
      </c>
      <c r="AO422">
        <v>43.829000000000001</v>
      </c>
      <c r="AP422">
        <v>0</v>
      </c>
      <c r="AQ422">
        <v>33.92</v>
      </c>
      <c r="AR422" s="6">
        <f t="shared" si="80"/>
        <v>1.2921285377358489</v>
      </c>
    </row>
    <row r="423" spans="2:44" x14ac:dyDescent="0.25">
      <c r="B423" t="s">
        <v>551</v>
      </c>
      <c r="C423">
        <v>1184</v>
      </c>
      <c r="D423">
        <v>600</v>
      </c>
      <c r="H423">
        <v>284141</v>
      </c>
      <c r="I423" s="28">
        <v>568282</v>
      </c>
      <c r="J423" t="b">
        <v>0</v>
      </c>
      <c r="K423" t="s">
        <v>43</v>
      </c>
      <c r="M423" s="3">
        <v>71.921999999999997</v>
      </c>
      <c r="N423">
        <v>59.408000000000001</v>
      </c>
      <c r="O423">
        <v>107.176</v>
      </c>
      <c r="P423">
        <v>77.284000000000006</v>
      </c>
      <c r="Q423">
        <v>3355.7759999999998</v>
      </c>
      <c r="R423" s="28">
        <v>291.75799999999998</v>
      </c>
      <c r="S423">
        <f t="shared" si="81"/>
        <v>32.682972273315293</v>
      </c>
      <c r="T423" s="29">
        <f t="shared" si="82"/>
        <v>57.929060064875898</v>
      </c>
      <c r="U423">
        <v>344.11</v>
      </c>
      <c r="V423" s="29">
        <v>0.35599999999999998</v>
      </c>
      <c r="W423" s="30">
        <f>1/1.211</f>
        <v>0.82576383154417832</v>
      </c>
      <c r="X423">
        <f t="shared" si="83"/>
        <v>1.2110000000000001</v>
      </c>
      <c r="Y423" s="3">
        <v>0.82599999999999996</v>
      </c>
      <c r="Z423" s="3">
        <v>0.58499999999999996</v>
      </c>
      <c r="AA423">
        <v>97.215999999999994</v>
      </c>
      <c r="AB423">
        <v>75.197999999999993</v>
      </c>
      <c r="AC423">
        <v>107.255</v>
      </c>
      <c r="AD423">
        <v>85.448999999999998</v>
      </c>
      <c r="AE423">
        <v>5741.6329999999998</v>
      </c>
      <c r="AF423" s="30">
        <f t="shared" si="84"/>
        <v>75.773563991671921</v>
      </c>
      <c r="AG423">
        <v>302.06</v>
      </c>
      <c r="AH423">
        <v>0.79100000000000004</v>
      </c>
      <c r="AI423">
        <f>1/1.293</f>
        <v>0.77339520494972935</v>
      </c>
      <c r="AJ423">
        <f t="shared" si="85"/>
        <v>1.2929999999999999</v>
      </c>
      <c r="AK423">
        <v>0.77400000000000002</v>
      </c>
      <c r="AL423">
        <v>0.96599999999999997</v>
      </c>
      <c r="AN423">
        <v>0.79322152880212782</v>
      </c>
      <c r="AO423">
        <v>101.429</v>
      </c>
      <c r="AP423">
        <v>0</v>
      </c>
      <c r="AQ423">
        <v>86.177000000000007</v>
      </c>
      <c r="AR423" s="6">
        <f t="shared" si="80"/>
        <v>1.1769845782517376</v>
      </c>
    </row>
    <row r="424" spans="2:44" x14ac:dyDescent="0.25">
      <c r="B424" t="s">
        <v>552</v>
      </c>
      <c r="C424">
        <v>1184</v>
      </c>
      <c r="D424">
        <v>700</v>
      </c>
      <c r="H424">
        <v>53159</v>
      </c>
      <c r="J424" t="b">
        <v>0</v>
      </c>
      <c r="K424" t="s">
        <v>64</v>
      </c>
      <c r="M424" s="3">
        <v>54.048000000000002</v>
      </c>
      <c r="N424">
        <v>41.12</v>
      </c>
      <c r="O424">
        <v>55.734999999999999</v>
      </c>
      <c r="P424">
        <v>40.75</v>
      </c>
      <c r="Q424">
        <v>1745.5250000000001</v>
      </c>
      <c r="R424" s="28">
        <v>659.41800000000001</v>
      </c>
      <c r="S424">
        <f t="shared" si="81"/>
        <v>23.571547765918158</v>
      </c>
      <c r="T424" s="29">
        <f t="shared" si="82"/>
        <v>41.779480609504951</v>
      </c>
      <c r="U424">
        <v>152.62700000000001</v>
      </c>
      <c r="V424" s="29">
        <v>0.94199999999999995</v>
      </c>
      <c r="W424" s="30">
        <f>1/1.314</f>
        <v>0.76103500761035003</v>
      </c>
      <c r="X424">
        <f t="shared" si="83"/>
        <v>1.3140000000000001</v>
      </c>
      <c r="Y424" s="3">
        <v>0.76100000000000001</v>
      </c>
      <c r="Z424" s="3">
        <v>0.997</v>
      </c>
      <c r="AA424">
        <v>54.048000000000002</v>
      </c>
      <c r="AB424">
        <v>41.12</v>
      </c>
      <c r="AC424">
        <v>55.734999999999999</v>
      </c>
      <c r="AD424">
        <v>40.75</v>
      </c>
      <c r="AE424">
        <v>1745.5250000000001</v>
      </c>
      <c r="AF424" s="30">
        <f t="shared" si="84"/>
        <v>41.779480609504951</v>
      </c>
      <c r="AG424">
        <v>152.62700000000001</v>
      </c>
      <c r="AH424">
        <v>0.94199999999999995</v>
      </c>
      <c r="AI424">
        <f>1/1.314</f>
        <v>0.76103500761035003</v>
      </c>
      <c r="AJ424">
        <f t="shared" si="85"/>
        <v>1.3140000000000001</v>
      </c>
      <c r="AK424">
        <v>0.76100000000000001</v>
      </c>
      <c r="AL424">
        <v>0.997</v>
      </c>
      <c r="AN424">
        <v>0</v>
      </c>
      <c r="AO424">
        <v>50.578000000000003</v>
      </c>
      <c r="AP424">
        <v>0</v>
      </c>
      <c r="AQ424">
        <v>48.078000000000003</v>
      </c>
      <c r="AR424" s="6">
        <f t="shared" si="80"/>
        <v>1.0519988352260909</v>
      </c>
    </row>
  </sheetData>
  <conditionalFormatting sqref="J244:J288">
    <cfRule type="containsText" dxfId="3" priority="2" operator="containsText" text="Surface">
      <formula>NOT(ISERROR(SEARCH("Surface",J244)))</formula>
    </cfRule>
  </conditionalFormatting>
  <conditionalFormatting sqref="J245:J288">
    <cfRule type="containsText" dxfId="2" priority="1" operator="containsText" text="Internal">
      <formula>NOT(ISERROR(SEARCH("Internal",J245)))</formula>
    </cfRule>
  </conditionalFormatting>
  <conditionalFormatting sqref="J289:J359">
    <cfRule type="containsText" dxfId="1" priority="3" operator="containsText" text="Surface">
      <formula>NOT(ISERROR(SEARCH("Surface",J289)))</formula>
    </cfRule>
    <cfRule type="containsText" dxfId="0" priority="4" operator="containsText" text="Internal">
      <formula>NOT(ISERROR(SEARCH("Internal",J289)))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FedData without XCT</vt:lpstr>
      <vt:lpstr>FedData with XCT</vt:lpstr>
      <vt:lpstr>XCT-nonXCT</vt:lpstr>
      <vt:lpstr>Data with XCT</vt:lpstr>
      <vt:lpstr>Data without XCT</vt:lpstr>
      <vt:lpstr>All 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Muztahid Muhammad</dc:creator>
  <cp:keywords/>
  <dc:description/>
  <cp:lastModifiedBy>Anyi Li</cp:lastModifiedBy>
  <cp:revision/>
  <dcterms:created xsi:type="dcterms:W3CDTF">2023-05-17T15:55:50Z</dcterms:created>
  <dcterms:modified xsi:type="dcterms:W3CDTF">2024-12-12T05:00:12Z</dcterms:modified>
  <cp:category/>
  <cp:contentStatus/>
</cp:coreProperties>
</file>