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leitung" sheetId="1" state="visible" r:id="rId2"/>
    <sheet name="Gebäude" sheetId="2" state="visible" r:id="rId3"/>
    <sheet name="Database" sheetId="3" state="visible" r:id="rId4"/>
    <sheet name="Options" sheetId="4" state="visible" r:id="rId5"/>
    <sheet name="Bodenplatte" sheetId="5" state="visible" r:id="rId6"/>
    <sheet name="Aussenwand unter &amp; über Terrain" sheetId="6" state="visible" r:id="rId7"/>
    <sheet name="Decke unter &amp; über Terrain" sheetId="7" state="visible" r:id="rId8"/>
    <sheet name="Dach unter &amp; über Terrain" sheetId="8" state="visible" r:id="rId9"/>
    <sheet name="Innenwand" sheetId="9" state="visible" r:id="rId10"/>
    <sheet name="Fenster-Balkon" sheetId="10" state="visible" r:id="rId11"/>
    <sheet name="Kombinationen" sheetId="11" state="visible" r:id="rId12"/>
    <sheet name="ID-SIA2032" sheetId="12" state="visible" r:id="rId13"/>
    <sheet name="Daten-Zusammensetzung Bauteil" sheetId="13" state="visible" r:id="rId14"/>
    <sheet name="Daten-Funktion" sheetId="14" state="visible" r:id="rId15"/>
    <sheet name="Daten-THGE" sheetId="15" state="visible" r:id="rId16"/>
    <sheet name="Daten-Dichte" sheetId="16" state="visible" r:id="rId17"/>
    <sheet name="Daten-Dicke" sheetId="17" state="visible" r:id="rId18"/>
  </sheets>
  <externalReferences>
    <externalReference r:id="rId1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4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rFont val="Tahoma"/>
            <family val="2"/>
            <charset val="1"/>
          </rPr>
          <t xml:space="preserve">Auteur:
Was ist eine Sickerplatte
Violettes angepasst wegen anderem Bewehrungsanteil</t>
        </r>
      </text>
    </comment>
    <comment ref="BU7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rFont val="Tahoma"/>
            <family val="2"/>
            <charset val="1"/>
          </rPr>
          <t xml:space="preserve">Auteur:
Noch nicht erfasst, weiss nicht wie am besten einzugeben.</t>
        </r>
      </text>
    </comment>
  </commentList>
</comments>
</file>

<file path=xl/sharedStrings.xml><?xml version="1.0" encoding="utf-8"?>
<sst xmlns="http://schemas.openxmlformats.org/spreadsheetml/2006/main" count="2932" uniqueCount="477">
  <si>
    <t xml:space="preserve">Generell</t>
  </si>
  <si>
    <t xml:space="preserve">Gebäude</t>
  </si>
  <si>
    <t xml:space="preserve">Parameter wählen</t>
  </si>
  <si>
    <t xml:space="preserve">Messungen eingeben</t>
  </si>
  <si>
    <t xml:space="preserve">Überblick/Zusammenfassung vom ganzen Gebäude</t>
  </si>
  <si>
    <t xml:space="preserve">Oben : übliche Varianten</t>
  </si>
  <si>
    <t xml:space="preserve">Unten : mögliche Varianten</t>
  </si>
  <si>
    <r>
      <rPr>
        <sz val="11"/>
        <color rgb="FF000000"/>
        <rFont val="Arial Narrow"/>
        <family val="2"/>
        <charset val="1"/>
      </rPr>
      <t xml:space="preserve">Bauweise gewählt steht für alle Bauteile sonst </t>
    </r>
    <r>
      <rPr>
        <b val="true"/>
        <sz val="11"/>
        <color rgb="FF4472C4"/>
        <rFont val="Arial Narrow"/>
        <family val="2"/>
        <charset val="1"/>
      </rPr>
      <t xml:space="preserve">individuell ändern</t>
    </r>
  </si>
  <si>
    <t xml:space="preserve">Bauteile</t>
  </si>
  <si>
    <t xml:space="preserve">Verschieden Bauschichten von den gewählten Varianten</t>
  </si>
  <si>
    <t xml:space="preserve">Individuell : händlich Parameter wählen pro Bauteil</t>
  </si>
  <si>
    <t xml:space="preserve">Bemerkungen</t>
  </si>
  <si>
    <t xml:space="preserve">Bauteile kommt aus der SIA2032-Liste</t>
  </si>
  <si>
    <t xml:space="preserve">SIA2032-Liste wurde korrigiert</t>
  </si>
  <si>
    <t xml:space="preserve">Varianten und Kombinationen sind im "Kombinationen"-Sheet explizit dargestellt</t>
  </si>
  <si>
    <t xml:space="preserve">"ID-SIA2032"-Sheet beschreibt die Varianten </t>
  </si>
  <si>
    <t xml:space="preserve">Bodenplatte ist gleich für alle Bauweisen</t>
  </si>
  <si>
    <t xml:space="preserve">Fenster ist gleich für alle Bauweisen</t>
  </si>
  <si>
    <t xml:space="preserve">Balkon ist gleich für alle Bauweisen</t>
  </si>
  <si>
    <t xml:space="preserve">Unter Terrain ist gleich für aller Bauweisen, kann beheizt oder unbeheizt sein (abhängig von Nutzung)</t>
  </si>
  <si>
    <t xml:space="preserve">Massivbauweise : verschiedene übliche Varianten mit Flachdach/Steildach und Betonwand/Backsteinwand</t>
  </si>
  <si>
    <t xml:space="preserve">Gebäude Standardkombination</t>
  </si>
  <si>
    <t xml:space="preserve">Übliche Varianten</t>
  </si>
  <si>
    <t xml:space="preserve">Breite im Grundriss</t>
  </si>
  <si>
    <t xml:space="preserve">m</t>
  </si>
  <si>
    <t xml:space="preserve">Bauweise</t>
  </si>
  <si>
    <t xml:space="preserve">Mischbauweise</t>
  </si>
  <si>
    <t xml:space="preserve">2. Schicht</t>
  </si>
  <si>
    <t xml:space="preserve">Tragende Innenwand</t>
  </si>
  <si>
    <t xml:space="preserve">nicht tragende Innenwand</t>
  </si>
  <si>
    <t xml:space="preserve">Übliche Gebäude</t>
  </si>
  <si>
    <t xml:space="preserve">[kg CO2 éq.]</t>
  </si>
  <si>
    <t xml:space="preserve">[kg CO2 éq./m2 EBF a]</t>
  </si>
  <si>
    <t xml:space="preserve"> C1</t>
  </si>
  <si>
    <t xml:space="preserve">C2</t>
  </si>
  <si>
    <t xml:space="preserve">C3</t>
  </si>
  <si>
    <t xml:space="preserve">C4</t>
  </si>
  <si>
    <t xml:space="preserve">E1.2</t>
  </si>
  <si>
    <t xml:space="preserve">E1.3</t>
  </si>
  <si>
    <t xml:space="preserve">E2.1</t>
  </si>
  <si>
    <t xml:space="preserve">E2.2</t>
  </si>
  <si>
    <t xml:space="preserve">E2.3</t>
  </si>
  <si>
    <t xml:space="preserve">E2.4</t>
  </si>
  <si>
    <t xml:space="preserve">E2.6</t>
  </si>
  <si>
    <t xml:space="preserve">E3.1</t>
  </si>
  <si>
    <t xml:space="preserve">E3.3</t>
  </si>
  <si>
    <t xml:space="preserve">F1.1</t>
  </si>
  <si>
    <t xml:space="preserve">F1.2</t>
  </si>
  <si>
    <t xml:space="preserve">F1.3</t>
  </si>
  <si>
    <t xml:space="preserve">G2.1</t>
  </si>
  <si>
    <t xml:space="preserve">G2.2</t>
  </si>
  <si>
    <t xml:space="preserve">G3.1</t>
  </si>
  <si>
    <t xml:space="preserve">G3.2</t>
  </si>
  <si>
    <t xml:space="preserve">G4.1</t>
  </si>
  <si>
    <t xml:space="preserve">G4.2</t>
  </si>
  <si>
    <t xml:space="preserve">Total</t>
  </si>
  <si>
    <t xml:space="preserve">Übliche Gebäude Individuell</t>
  </si>
  <si>
    <t xml:space="preserve">[kg CO2 éq./m2 EBF]</t>
  </si>
  <si>
    <t xml:space="preserve">Rohbau</t>
  </si>
  <si>
    <t xml:space="preserve">Ausbau</t>
  </si>
  <si>
    <t xml:space="preserve">Länge im Grundriss</t>
  </si>
  <si>
    <t xml:space="preserve">Weitere Decken im UG</t>
  </si>
  <si>
    <t xml:space="preserve">Ohne UG</t>
  </si>
  <si>
    <t xml:space="preserve">Bodenplatte</t>
  </si>
  <si>
    <t xml:space="preserve">Gebäudehüllzahl</t>
  </si>
  <si>
    <t xml:space="preserve">-</t>
  </si>
  <si>
    <t xml:space="preserve">Beheizung UG</t>
  </si>
  <si>
    <t xml:space="preserve">Unbeheizt</t>
  </si>
  <si>
    <t xml:space="preserve">Aussenwand unter Terrain</t>
  </si>
  <si>
    <t xml:space="preserve">Energiebezugsfläche EBF (totale Fläche)</t>
  </si>
  <si>
    <r>
      <rPr>
        <sz val="12"/>
        <color rgb="FF000000"/>
        <rFont val="Arial Narrow"/>
        <family val="2"/>
        <charset val="1"/>
      </rPr>
      <t xml:space="preserve">m</t>
    </r>
    <r>
      <rPr>
        <vertAlign val="superscript"/>
        <sz val="12"/>
        <color rgb="FF000000"/>
        <rFont val="Arial Narrow"/>
        <family val="2"/>
        <charset val="1"/>
      </rPr>
      <t xml:space="preserve">2</t>
    </r>
  </si>
  <si>
    <t xml:space="preserve">Abgehängte Installationsdecke (Innendecke)</t>
  </si>
  <si>
    <t xml:space="preserve">Mit abgehängte Installationsdecke-Mischbau</t>
  </si>
  <si>
    <t xml:space="preserve">Dach unter Terrain</t>
  </si>
  <si>
    <t xml:space="preserve">Bodenplatte (totale Fläche)</t>
  </si>
  <si>
    <t xml:space="preserve">Abgehängte Installationsdecke (Decke unter Terrain)</t>
  </si>
  <si>
    <t xml:space="preserve">Decke unter Terrain</t>
  </si>
  <si>
    <t xml:space="preserve">Anzahl Stockwerke unter Terrain</t>
  </si>
  <si>
    <t xml:space="preserve">Bodenbelag (Innendecke)</t>
  </si>
  <si>
    <t xml:space="preserve">Bodenbelag mit Keramik</t>
  </si>
  <si>
    <t xml:space="preserve">Aussenwand über Terrain</t>
  </si>
  <si>
    <t xml:space="preserve">Anzahl Stockwerke über Terrain</t>
  </si>
  <si>
    <t xml:space="preserve">Bodenbelag (Decke unter Terrain)</t>
  </si>
  <si>
    <t xml:space="preserve">Dach</t>
  </si>
  <si>
    <t xml:space="preserve">Stockwerkshöhe unter Terrain</t>
  </si>
  <si>
    <t xml:space="preserve">Wärmedämmung Decke über UG</t>
  </si>
  <si>
    <t xml:space="preserve">Mit Dämmung</t>
  </si>
  <si>
    <t xml:space="preserve">Decke über Terrain</t>
  </si>
  <si>
    <t xml:space="preserve">Stockwerkshöhe über Terrain</t>
  </si>
  <si>
    <t xml:space="preserve">Material Aussenwand (Massivbau)</t>
  </si>
  <si>
    <t xml:space="preserve">Backsteinwand</t>
  </si>
  <si>
    <t xml:space="preserve">Innenwand tragend</t>
  </si>
  <si>
    <t xml:space="preserve">Innenwand</t>
  </si>
  <si>
    <t xml:space="preserve">Untergeschoss UG (Fläche/Stockwerk)</t>
  </si>
  <si>
    <t xml:space="preserve">Dachform</t>
  </si>
  <si>
    <t xml:space="preserve">Geneigtes Dach</t>
  </si>
  <si>
    <t xml:space="preserve">Innenwand nicht tragend</t>
  </si>
  <si>
    <t xml:space="preserve">Fenster</t>
  </si>
  <si>
    <t xml:space="preserve">Innendecke (Fläche/Stockwerk)</t>
  </si>
  <si>
    <t xml:space="preserve">Balkon</t>
  </si>
  <si>
    <t xml:space="preserve">Nein</t>
  </si>
  <si>
    <t xml:space="preserve">Dach unter Terrain (totale Fläche)</t>
  </si>
  <si>
    <t xml:space="preserve">TOTAL</t>
  </si>
  <si>
    <t xml:space="preserve">Dach (totale Fläche im Grundriss)</t>
  </si>
  <si>
    <t xml:space="preserve">Leichtbauweise</t>
  </si>
  <si>
    <t xml:space="preserve">Aussenwand unter Terrain (totale Fläche)</t>
  </si>
  <si>
    <t xml:space="preserve">Aussenwand über Terrain (totale Fläche)</t>
  </si>
  <si>
    <t xml:space="preserve">Innenwand tragend (totale Fläche)</t>
  </si>
  <si>
    <t xml:space="preserve">  </t>
  </si>
  <si>
    <t xml:space="preserve">Innenwand nicht tragend (totale Fläche)</t>
  </si>
  <si>
    <t xml:space="preserve">Fenster (totale Fläche)</t>
  </si>
  <si>
    <t xml:space="preserve">Balkon (totale Fläche)</t>
  </si>
  <si>
    <t xml:space="preserve">Mögliche Varianten</t>
  </si>
  <si>
    <t xml:space="preserve">Massivbauweise</t>
  </si>
  <si>
    <t xml:space="preserve">Mögliche Gebäude</t>
  </si>
  <si>
    <t xml:space="preserve">Mögliche Gebäude Individuell</t>
  </si>
  <si>
    <t xml:space="preserve">Mit UG</t>
  </si>
  <si>
    <t xml:space="preserve">Dach unter Terrain 1</t>
  </si>
  <si>
    <t xml:space="preserve">Mit abgehängte Installationsdecke</t>
  </si>
  <si>
    <t xml:space="preserve">Ohne Installation</t>
  </si>
  <si>
    <t xml:space="preserve">Decke über Terrain Bodenbelag 2</t>
  </si>
  <si>
    <t xml:space="preserve">Decke unter Terrain Bodenbelag 2</t>
  </si>
  <si>
    <t xml:space="preserve">Aussenwand über Terrain 1</t>
  </si>
  <si>
    <t xml:space="preserve">Aussenwand über Terrain Bekleidung</t>
  </si>
  <si>
    <t xml:space="preserve">Aussenwand über Terrain Bekleidung 5</t>
  </si>
  <si>
    <t xml:space="preserve">Flachdach</t>
  </si>
  <si>
    <t xml:space="preserve">Dachtyp</t>
  </si>
  <si>
    <t xml:space="preserve">Dach 1</t>
  </si>
  <si>
    <t xml:space="preserve">Dach Eindeckung </t>
  </si>
  <si>
    <t xml:space="preserve">Dach Eindeckung 2</t>
  </si>
  <si>
    <t xml:space="preserve">Kombinationen Standardbauweisen</t>
  </si>
  <si>
    <t xml:space="preserve">ID</t>
  </si>
  <si>
    <t xml:space="preserve">Beheizt</t>
  </si>
  <si>
    <t xml:space="preserve">7a</t>
  </si>
  <si>
    <t xml:space="preserve">6b</t>
  </si>
  <si>
    <t xml:space="preserve">8a</t>
  </si>
  <si>
    <t xml:space="preserve">10a</t>
  </si>
  <si>
    <t xml:space="preserve">13a</t>
  </si>
  <si>
    <t xml:space="preserve">3a</t>
  </si>
  <si>
    <t xml:space="preserve">2c</t>
  </si>
  <si>
    <t xml:space="preserve">Decke</t>
  </si>
  <si>
    <t xml:space="preserve">7b</t>
  </si>
  <si>
    <t xml:space="preserve">10b</t>
  </si>
  <si>
    <t xml:space="preserve">4d</t>
  </si>
  <si>
    <t xml:space="preserve">5a</t>
  </si>
  <si>
    <t xml:space="preserve">1c</t>
  </si>
  <si>
    <t xml:space="preserve">2d</t>
  </si>
  <si>
    <t xml:space="preserve">9d</t>
  </si>
  <si>
    <t xml:space="preserve">11b</t>
  </si>
  <si>
    <t xml:space="preserve">10c</t>
  </si>
  <si>
    <t xml:space="preserve">4c</t>
  </si>
  <si>
    <t xml:space="preserve">1e</t>
  </si>
  <si>
    <t xml:space="preserve">2j</t>
  </si>
  <si>
    <t xml:space="preserve">Aussenwand</t>
  </si>
  <si>
    <t xml:space="preserve">11c</t>
  </si>
  <si>
    <t xml:space="preserve">11a</t>
  </si>
  <si>
    <t xml:space="preserve">Ohne Dämmung</t>
  </si>
  <si>
    <t xml:space="preserve">Fenster-Balkon</t>
  </si>
  <si>
    <t xml:space="preserve">Bodenbelag mit Parkett</t>
  </si>
  <si>
    <t xml:space="preserve">12c</t>
  </si>
  <si>
    <t xml:space="preserve">12d</t>
  </si>
  <si>
    <t xml:space="preserve">Ohne Bodenbelag</t>
  </si>
  <si>
    <t xml:space="preserve">Mit abgehängte Installationsdecke-Mischbau 1</t>
  </si>
  <si>
    <t xml:space="preserve">Mit abgehängte Installationsdecke-Mischbau 2</t>
  </si>
  <si>
    <t xml:space="preserve">Betonwand</t>
  </si>
  <si>
    <t xml:space="preserve">1a</t>
  </si>
  <si>
    <t xml:space="preserve">1b</t>
  </si>
  <si>
    <t xml:space="preserve">4a</t>
  </si>
  <si>
    <t xml:space="preserve">9a</t>
  </si>
  <si>
    <t xml:space="preserve">4e</t>
  </si>
  <si>
    <t xml:space="preserve">5f</t>
  </si>
  <si>
    <t xml:space="preserve">9b</t>
  </si>
  <si>
    <t xml:space="preserve">Ja</t>
  </si>
  <si>
    <t xml:space="preserve">Kombinationen mögliche Bauweisen</t>
  </si>
  <si>
    <t xml:space="preserve">Decken</t>
  </si>
  <si>
    <t xml:space="preserve">Decken mit UG</t>
  </si>
  <si>
    <t xml:space="preserve">Decken Installation</t>
  </si>
  <si>
    <t xml:space="preserve">Decken mit UG Installation</t>
  </si>
  <si>
    <t xml:space="preserve">6c</t>
  </si>
  <si>
    <t xml:space="preserve">7c</t>
  </si>
  <si>
    <t xml:space="preserve">9c</t>
  </si>
  <si>
    <t xml:space="preserve">9e</t>
  </si>
  <si>
    <t xml:space="preserve">8b</t>
  </si>
  <si>
    <t xml:space="preserve">8c</t>
  </si>
  <si>
    <t xml:space="preserve">Decke unter Terrain Installation</t>
  </si>
  <si>
    <t xml:space="preserve">Decke unter Terrain Bodenbelag</t>
  </si>
  <si>
    <t xml:space="preserve">12a</t>
  </si>
  <si>
    <t xml:space="preserve">12b</t>
  </si>
  <si>
    <t xml:space="preserve">2b</t>
  </si>
  <si>
    <t xml:space="preserve">2e</t>
  </si>
  <si>
    <t xml:space="preserve">2f</t>
  </si>
  <si>
    <t xml:space="preserve">2g</t>
  </si>
  <si>
    <t xml:space="preserve">2h</t>
  </si>
  <si>
    <t xml:space="preserve">2i</t>
  </si>
  <si>
    <t xml:space="preserve">Dach Eindeckung</t>
  </si>
  <si>
    <t xml:space="preserve">5b</t>
  </si>
  <si>
    <t xml:space="preserve">5e</t>
  </si>
  <si>
    <t xml:space="preserve">Decke über Terrain Installation</t>
  </si>
  <si>
    <t xml:space="preserve">Decke über Terrain Bodenbelag</t>
  </si>
  <si>
    <t xml:space="preserve">Dach 2</t>
  </si>
  <si>
    <t xml:space="preserve">4b</t>
  </si>
  <si>
    <t xml:space="preserve">Dach unter Terrain 2</t>
  </si>
  <si>
    <t xml:space="preserve">Dach Eindeckung 1</t>
  </si>
  <si>
    <t xml:space="preserve">5c</t>
  </si>
  <si>
    <t xml:space="preserve">Decke über Terrain 1</t>
  </si>
  <si>
    <t xml:space="preserve">Aussenwand über Terrain Bekleidung 1</t>
  </si>
  <si>
    <t xml:space="preserve">Decke über Terrain Installation 1</t>
  </si>
  <si>
    <t xml:space="preserve">Aussenwand über Terrain Bekleidung 2</t>
  </si>
  <si>
    <t xml:space="preserve">Decke über Terrain Bodenbelag 1</t>
  </si>
  <si>
    <t xml:space="preserve">Aussenwand über Terrain Bekleidung 3</t>
  </si>
  <si>
    <t xml:space="preserve">Aussenwand über Terrain Bekleidung 4</t>
  </si>
  <si>
    <t xml:space="preserve">Aussenwand über Terrain Bekleidung 6</t>
  </si>
  <si>
    <t xml:space="preserve">Aussenwand über Terrain Bekleidung 7</t>
  </si>
  <si>
    <t xml:space="preserve">Aussenwand über Terrain Bekleidung 8</t>
  </si>
  <si>
    <t xml:space="preserve">Decke unter Terrain 1</t>
  </si>
  <si>
    <t xml:space="preserve">Decke unter Terrain Installation 1</t>
  </si>
  <si>
    <t xml:space="preserve">Decke unter Terrain Bodenbelag 1</t>
  </si>
  <si>
    <t xml:space="preserve">1d</t>
  </si>
  <si>
    <t xml:space="preserve">1f</t>
  </si>
  <si>
    <t xml:space="preserve">2a</t>
  </si>
  <si>
    <t xml:space="preserve">Aussenwand über Terrain 2</t>
  </si>
  <si>
    <t xml:space="preserve">Aussenwand über Terrain 3</t>
  </si>
  <si>
    <t xml:space="preserve">Condition</t>
  </si>
  <si>
    <t xml:space="preserve">Cell</t>
  </si>
  <si>
    <t xml:space="preserve">OPT</t>
  </si>
  <si>
    <t xml:space="preserve">Options</t>
  </si>
  <si>
    <t xml:space="preserve">na</t>
  </si>
  <si>
    <t xml:space="preserve">G4</t>
  </si>
  <si>
    <t xml:space="preserve">G5</t>
  </si>
  <si>
    <t xml:space="preserve">ONLY IF G5 = Mit UG --&gt;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</si>
  <si>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</si>
  <si>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</si>
  <si>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</si>
  <si>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</si>
  <si>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</si>
  <si>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</si>
  <si>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</si>
  <si>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</si>
  <si>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</si>
  <si>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G25</t>
  </si>
  <si>
    <t xml:space="preserve">G26</t>
  </si>
  <si>
    <t xml:space="preserve">ONLY IF G26 = Mit UG --&gt;</t>
  </si>
  <si>
    <t xml:space="preserve">G27</t>
  </si>
  <si>
    <t xml:space="preserve">G28</t>
  </si>
  <si>
    <t xml:space="preserve">G29 </t>
  </si>
  <si>
    <t xml:space="preserve">G30</t>
  </si>
  <si>
    <t xml:space="preserve">G31</t>
  </si>
  <si>
    <t xml:space="preserve"> ONLY IF G25 = Massivbauweise --&gt;</t>
  </si>
  <si>
    <t xml:space="preserve">G32</t>
  </si>
  <si>
    <t xml:space="preserve">G33</t>
  </si>
  <si>
    <t xml:space="preserve">G34</t>
  </si>
  <si>
    <t xml:space="preserve">G35</t>
  </si>
  <si>
    <t xml:space="preserve">ONLY IF G35 = Flachdach --&gt;</t>
  </si>
  <si>
    <t xml:space="preserve">G36 </t>
  </si>
  <si>
    <t xml:space="preserve">G37</t>
  </si>
  <si>
    <t xml:space="preserve">G38</t>
  </si>
  <si>
    <t xml:space="preserve">Bauteil (übliche Variante)</t>
  </si>
  <si>
    <t xml:space="preserve">Zusammensetzung Bauteil</t>
  </si>
  <si>
    <t xml:space="preserve">Funktion</t>
  </si>
  <si>
    <t xml:space="preserve">THGE /kg KBOB</t>
  </si>
  <si>
    <t xml:space="preserve">Dichte [kg/m3]</t>
  </si>
  <si>
    <t xml:space="preserve">Dicke [cm]</t>
  </si>
  <si>
    <t xml:space="preserve">Dicke korrigiert [mm]</t>
  </si>
  <si>
    <t xml:space="preserve">THGE Baumaterial</t>
  </si>
  <si>
    <t xml:space="preserve">Bodenplatte C1</t>
  </si>
  <si>
    <t xml:space="preserve">Nur individuell!</t>
  </si>
  <si>
    <t xml:space="preserve">Bauteil (mögliche Variante)</t>
  </si>
  <si>
    <t xml:space="preserve">Wandkonstruktion C2</t>
  </si>
  <si>
    <t xml:space="preserve">Aussenwärmedämmung unter Terrain E1.2</t>
  </si>
  <si>
    <t xml:space="preserve">Schutzschicht unter Terrain E1.3</t>
  </si>
  <si>
    <t xml:space="preserve">Stützenkonstruktion C3</t>
  </si>
  <si>
    <t xml:space="preserve">Unterkonstruktion Wdbkl. G3.1</t>
  </si>
  <si>
    <t xml:space="preserve">Fertige Wdbkl. G3.2</t>
  </si>
  <si>
    <t xml:space="preserve">Äussere Beschichtung E2.1</t>
  </si>
  <si>
    <t xml:space="preserve">Aussenwärmedämmung E2.2</t>
  </si>
  <si>
    <t xml:space="preserve">Fassadenbekleidung E2.3</t>
  </si>
  <si>
    <t xml:space="preserve">Fassadensystem E2.4</t>
  </si>
  <si>
    <t xml:space="preserve">Fenster E3.1</t>
  </si>
  <si>
    <t xml:space="preserve">Tür,Tor E3.2</t>
  </si>
  <si>
    <t xml:space="preserve">Sonnenschutz E3.3</t>
  </si>
  <si>
    <t xml:space="preserve">Wandkonstruktion</t>
  </si>
  <si>
    <t xml:space="preserve">Wandbekleidung</t>
  </si>
  <si>
    <t xml:space="preserve">Unter Terrain beheizt</t>
  </si>
  <si>
    <t xml:space="preserve">Aussenwand unter Terrain (Fläche)</t>
  </si>
  <si>
    <t xml:space="preserve">Deckenkonstruktion C4</t>
  </si>
  <si>
    <t xml:space="preserve">Unterkonstruktion G4.1</t>
  </si>
  <si>
    <t xml:space="preserve">Deckenbekleidung G4.2</t>
  </si>
  <si>
    <t xml:space="preserve">Unterkonstruktion B G2.1</t>
  </si>
  <si>
    <t xml:space="preserve">Fertiger B G2.2</t>
  </si>
  <si>
    <t xml:space="preserve">Wandbekleidung G4.2</t>
  </si>
  <si>
    <t xml:space="preserve">Deckenkonstruktion</t>
  </si>
  <si>
    <t xml:space="preserve">Decke mit UG</t>
  </si>
  <si>
    <t xml:space="preserve">Installation </t>
  </si>
  <si>
    <t xml:space="preserve">Bodenbelag</t>
  </si>
  <si>
    <t xml:space="preserve">Untergeschoss UG (Fläche)</t>
  </si>
  <si>
    <t xml:space="preserve">Flachdach F1.2</t>
  </si>
  <si>
    <t xml:space="preserve">Geneigtes Dach F1.3</t>
  </si>
  <si>
    <t xml:space="preserve">Dachabdichtung F1.1</t>
  </si>
  <si>
    <t xml:space="preserve">Flachdach 1.2</t>
  </si>
  <si>
    <t xml:space="preserve">Dachkonstruktion</t>
  </si>
  <si>
    <t xml:space="preserve">Eindeckung</t>
  </si>
  <si>
    <t xml:space="preserve">Dach unter Terrain (Fläche)</t>
  </si>
  <si>
    <t xml:space="preserve">Unterkonstruktion Wbkl. G3.1</t>
  </si>
  <si>
    <t xml:space="preserve">Fertige Wbkl. G3.2</t>
  </si>
  <si>
    <t xml:space="preserve">Stadt</t>
  </si>
  <si>
    <t xml:space="preserve">Bekl. Untersicht E2.5</t>
  </si>
  <si>
    <t xml:space="preserve">Absturzsicherung E2.6</t>
  </si>
  <si>
    <t xml:space="preserve">Balkon (Fläche)</t>
  </si>
  <si>
    <t xml:space="preserve">Kombinationen Übliche</t>
  </si>
  <si>
    <t xml:space="preserve">Land</t>
  </si>
  <si>
    <t xml:space="preserve">Decke ohne Installation</t>
  </si>
  <si>
    <t xml:space="preserve">Decke ohne Installation + unter Terrain beheitz</t>
  </si>
  <si>
    <t xml:space="preserve">Kombinationen Mögliche</t>
  </si>
  <si>
    <t xml:space="preserve">Totale Kombinationen</t>
  </si>
  <si>
    <t xml:space="preserve">Übliche</t>
  </si>
  <si>
    <t xml:space="preserve">Kombinationen</t>
  </si>
  <si>
    <t xml:space="preserve">Deck über Terrain</t>
  </si>
  <si>
    <t xml:space="preserve">Mögliche</t>
  </si>
  <si>
    <t xml:space="preserve">Standardbauweise</t>
  </si>
  <si>
    <t xml:space="preserve">Möglich, aber nicht häufig</t>
  </si>
  <si>
    <t xml:space="preserve">Struktur Bodenplatte</t>
  </si>
  <si>
    <t xml:space="preserve">Sinnlose Kombination</t>
  </si>
  <si>
    <t xml:space="preserve">Struktur Aussenwand unter Terrain</t>
  </si>
  <si>
    <t xml:space="preserve">Struktur Dach unter Terrain</t>
  </si>
  <si>
    <t xml:space="preserve">Struktur Decke</t>
  </si>
  <si>
    <t xml:space="preserve">Struktur Dach</t>
  </si>
  <si>
    <t xml:space="preserve">Struktur Aussenwand über Terrain</t>
  </si>
  <si>
    <t xml:space="preserve">Bodenbelag + Installationen</t>
  </si>
  <si>
    <t xml:space="preserve">6a</t>
  </si>
  <si>
    <t xml:space="preserve">ungedämmt</t>
  </si>
  <si>
    <t xml:space="preserve">Betonplatte als Flachfundation, nicht wasserdicht, CEM II 300 kg/m3, Bewehrung 105 kg/m3, inkl. Sauberkeitsschicht</t>
  </si>
  <si>
    <t xml:space="preserve">Betonwand 25 cm, CEM II 300 kg/m3, Bewehrung 97.5 kg/m3 , Bitumenanstrich &amp; Noppenfolie</t>
  </si>
  <si>
    <t xml:space="preserve">Betondecke 30 cm, CEM II 300 kg/m3, Bewehrung 112.5 kg/m3, 1xPolymerbitumendichtungsbahn, Schutzmatte, Kies</t>
  </si>
  <si>
    <t xml:space="preserve">Dacheindeckung</t>
  </si>
  <si>
    <t xml:space="preserve">Struktur</t>
  </si>
  <si>
    <t xml:space="preserve">Struktur Innenwand</t>
  </si>
  <si>
    <t xml:space="preserve">Abgehängte Installationsdecke Gipswerkstoffe</t>
  </si>
  <si>
    <t xml:space="preserve">Abgehängte Installationsdecke Metall</t>
  </si>
  <si>
    <t xml:space="preserve">Fertiger Bodenbelag (ohne Unterkonstruktion) inkl. Befestigung</t>
  </si>
  <si>
    <t xml:space="preserve">Unterkonstruktion und Bodenbelag</t>
  </si>
  <si>
    <t xml:space="preserve">5d</t>
  </si>
  <si>
    <t xml:space="preserve">5g</t>
  </si>
  <si>
    <t xml:space="preserve">Verputz ohne Dämmung</t>
  </si>
  <si>
    <t xml:space="preserve">Verputzte Aussenwärmedämmung</t>
  </si>
  <si>
    <t xml:space="preserve">Bekleidung Holz</t>
  </si>
  <si>
    <t xml:space="preserve">Bekleidung Faserzement</t>
  </si>
  <si>
    <t xml:space="preserve">Bekleidung Naturstein</t>
  </si>
  <si>
    <t xml:space="preserve">Bekleidung Metall</t>
  </si>
  <si>
    <t xml:space="preserve">Bekleidung Glas</t>
  </si>
  <si>
    <t xml:space="preserve">Zweischalenwand, äussere Schale</t>
  </si>
  <si>
    <t xml:space="preserve">Fassadensystem</t>
  </si>
  <si>
    <t xml:space="preserve">Betonwand (mit Innenputz)</t>
  </si>
  <si>
    <t xml:space="preserve">Betonwand 20 cm, CEM II 300 kg/m3, Bewehrung 97.5 kg/m3</t>
  </si>
  <si>
    <t xml:space="preserve">x 
(innerstädtisch)</t>
  </si>
  <si>
    <t xml:space="preserve">Betonkragplatte 1.6 m Auskragung inkl. Metallgeländer</t>
  </si>
  <si>
    <t xml:space="preserve">Fenster inkl. Sonnenschutz</t>
  </si>
  <si>
    <t xml:space="preserve">Holz-Metallfenster über Brüstung, Ug=0.6 W/m2K, Rahmenanteil 22% (entspricht Normalfenster), Lamellenstoren (Aluminiumlamellen inkl. Storenkasten, Antrieb, Führungsschienen)</t>
  </si>
  <si>
    <t xml:space="preserve">Gipswerkstoffe heruntergehängt, 15-20 cm als Installationszone, Unterkonstruktion aus Metall, gespachtelt und gestrichen</t>
  </si>
  <si>
    <t xml:space="preserve">Metalldecke heruntergehängt, 15-20 cm als Installationszone, Unterkonstruktion aus Metall</t>
  </si>
  <si>
    <t xml:space="preserve">Linoleum inkl. Klebstoff</t>
  </si>
  <si>
    <t xml:space="preserve">Parkett inkl. Klebstoff</t>
  </si>
  <si>
    <t xml:space="preserve">Mehrschichtparkett, Zementunterlagsboden, Trennschicht, 2cm Trittschall</t>
  </si>
  <si>
    <t xml:space="preserve">Keramikplatten, Zementunterlagsboden, Trennschicht, 2cm Trittschall</t>
  </si>
  <si>
    <t xml:space="preserve">gedämmt (Flachdach) EPS</t>
  </si>
  <si>
    <t xml:space="preserve">gedämmt (Flachdach) PUR</t>
  </si>
  <si>
    <t xml:space="preserve">gedämmt (Flachdach) Steinwolle</t>
  </si>
  <si>
    <t xml:space="preserve">ungedämmt (Flachdach)</t>
  </si>
  <si>
    <t xml:space="preserve">gedämmt mit Steinwolle (geneigtes Dach)</t>
  </si>
  <si>
    <t xml:space="preserve">gedämmt mit Glaswolle (geneigtes Dach)</t>
  </si>
  <si>
    <t xml:space="preserve">ungedämmt (geneigtes Dach)</t>
  </si>
  <si>
    <t xml:space="preserve">Mineralisches Aussenputzsystem (Grundputz, Deckputz ) inkl. Farbanstrich</t>
  </si>
  <si>
    <t xml:space="preserve">Aussenwärmedämmung Steinwolle, mineralischer Verputz, inkl. Befestigung und Farbanstrich, U-Wert=0.15 W/m2K (gesamter Aufbau inkl. Wand 25 cm Beton)</t>
  </si>
  <si>
    <t xml:space="preserve">Aussenwärmedämmung EPS, mineralischer Verputz, inkl. Befestigung und Farbanstrich, U-Wert=0.15 W/m2K (gesamter Aufbau inkl. Wand 25 cm Beton)</t>
  </si>
  <si>
    <t xml:space="preserve">Holzschalung inkl. Unterkonstrukton (System Rogger für Dämmstärke 20 cm), 20 cm Glaswolle</t>
  </si>
  <si>
    <t xml:space="preserve">Faserzement inkl. Unterkonstrukton (System Wagner UKS für Dämmstärke 20 cm), 20 cm Glaswolle</t>
  </si>
  <si>
    <t xml:space="preserve">Naturstein, Leichtmetall Unterkonstruktion, 22 cm Steinwolle</t>
  </si>
  <si>
    <t xml:space="preserve">Alu-Verbundplatte (Sandwich 4mm Alu beidseitig mit Kunststoffker, Leichtmetall Unterkonstruktion), 22 cm Steinwolle</t>
  </si>
  <si>
    <t xml:space="preserve">ESG Bekleidung, Leichtmetall Unterkonstruktion, 20 cm Glaswolle</t>
  </si>
  <si>
    <t xml:space="preserve">Klinkervormauerung 11.5cm, 22 cm Steinwolle</t>
  </si>
  <si>
    <t xml:space="preserve">Alu/Glas und Sonnenschutz (Mittelwert Lamellenstoren/Knickarmmarkise inkl. Storenkasten, Führungsschienen und Antrieb)</t>
  </si>
  <si>
    <t xml:space="preserve">gedämmt</t>
  </si>
  <si>
    <t xml:space="preserve">Tragwerk</t>
  </si>
  <si>
    <t xml:space="preserve">Betondecke mit Innenputz</t>
  </si>
  <si>
    <t xml:space="preserve">Betondecke 25cm</t>
  </si>
  <si>
    <t xml:space="preserve">Falls Haustechnikzone über angehängter Decke vorhanden</t>
  </si>
  <si>
    <t xml:space="preserve">Dachaufbau: EPS, Bituminöse Dampfbremse, 2x Polymerbitumendichtungsbahn, Schutz-/Trennschicht, Extensivbegrünung.</t>
  </si>
  <si>
    <t xml:space="preserve">Dachaufbau: PUR, Bituminöse Dampfbremse, 2x Polymerbitumendichtungsbahn, Schutz-/Trennschicht, Mittelwert Platten/Extensivbegrünung</t>
  </si>
  <si>
    <t xml:space="preserve">Dachaufbau: Steinwolle, Bituminöse Dampfbremse, 2x Polymerbitumendichtungsbahn, Schutz-/Trennschicht, Mittelwert Platten/Extensivbegrünung</t>
  </si>
  <si>
    <t xml:space="preserve">Dachaufbau ohne Dämmung, bituminös (2x Polymerbitumendichtungsbahn, Trennschicht, Extensivbegrünung)</t>
  </si>
  <si>
    <t xml:space="preserve">Geneigtes Dach, gedämmt mit 22 cm Steinwolle, Ziegeleindeckung inkl. Unterdach und Verankerung (Standardeindeckung, Konter- und Ziegellattung, diffusionsoffene Unterdachfolie)</t>
  </si>
  <si>
    <t xml:space="preserve">Geneigtes Dach, gedämmt mit 22 cm Glaswolle, Ziegeleindeckung inkl. Unterdach und Verankerung (Standardeindeckung, Konter- und Ziegellattung, diffusionsoffene Unterdachfolie)</t>
  </si>
  <si>
    <t xml:space="preserve">Ziegeleindeckung inkl. Unterdach und Verankerung (Standardeindeckung, Konter- und Ziegellattung, diffusionsoffene Unterdachfolie)</t>
  </si>
  <si>
    <t xml:space="preserve">Ab mittleren Bauvolumen</t>
  </si>
  <si>
    <t xml:space="preserve">Betondecke (mit Innenputz)</t>
  </si>
  <si>
    <t xml:space="preserve">Innerstädtisch</t>
  </si>
  <si>
    <t xml:space="preserve">Beidseitiger Putzaufbau und Wanddispersion</t>
  </si>
  <si>
    <t xml:space="preserve">Dämmung XPS, U=0.15 W/m2K (inkl. Bodenplatte)</t>
  </si>
  <si>
    <t xml:space="preserve">Dämmung XPS U-Wert=0.15 W/m2K (inkl. Betonwand)</t>
  </si>
  <si>
    <t xml:space="preserve">Putzaufbau und Wanddispersion</t>
  </si>
  <si>
    <t xml:space="preserve">Betondecke 30 cm, CEM II 300 kg/m3, Bewehrung 112.5 kg/m3, Dämmung XPS 20 cm (U-Wert 0.15 W/m2K für gesamter Dachaufbau), 2xPolymerbitumendichtungsbahn, Schutzmatte, Kies</t>
  </si>
  <si>
    <t xml:space="preserve">Mauwerwerk Backstein (mit Innenputz)</t>
  </si>
  <si>
    <t xml:space="preserve">Backsteinwand 15 cm inkl. Mörtel</t>
  </si>
  <si>
    <t xml:space="preserve">x
(ländlich)</t>
  </si>
  <si>
    <t xml:space="preserve">Dämmung Schaumglas, U=0.15 W/m2K (inkl. Bodenplatte)</t>
  </si>
  <si>
    <r>
      <rPr>
        <sz val="11"/>
        <color rgb="FF7030A0"/>
        <rFont val="Arial"/>
        <family val="2"/>
        <charset val="1"/>
      </rPr>
      <t xml:space="preserve">Betonwand 25 cm, CEM II 300 kg/m3, Bewehrung 90 kg/m3 , Bitumenanstrich &amp; </t>
    </r>
    <r>
      <rPr>
        <sz val="11"/>
        <color rgb="FFFF0000"/>
        <rFont val="Arial"/>
        <family val="2"/>
        <charset val="1"/>
      </rPr>
      <t xml:space="preserve">Sickerplatte</t>
    </r>
  </si>
  <si>
    <t xml:space="preserve">Holzelementdecke (mit unterer Gipsbekleidung)</t>
  </si>
  <si>
    <t xml:space="preserve">Hohlkörperdecke (6m Spannweite, Elementhöhe 24cm, Breite 100cm), mit Schalldämmung (Schüttung), Massivholz verleimt</t>
  </si>
  <si>
    <t xml:space="preserve">Backsteinwand (mit Innenputz)</t>
  </si>
  <si>
    <t xml:space="preserve">Backsteinwand 17.5 cm</t>
  </si>
  <si>
    <t xml:space="preserve">Für kleinere Bauvolumen</t>
  </si>
  <si>
    <t xml:space="preserve">Betondecke (mit Inneputz)</t>
  </si>
  <si>
    <t xml:space="preserve">Betondecke 40cm</t>
  </si>
  <si>
    <t xml:space="preserve">Gipsbekleidung inkl. Spachtel, Anstrich und Unterkonstruktion</t>
  </si>
  <si>
    <t xml:space="preserve">Mauwerwerk Kalksandstein (mit Innenputz)</t>
  </si>
  <si>
    <t xml:space="preserve">Kalksandsteinwand 15cm inkl. Mörtel</t>
  </si>
  <si>
    <t xml:space="preserve">Dämmung Foamlgas U-Wert=0.15 W/m2K (inkl. Betonwand)</t>
  </si>
  <si>
    <t xml:space="preserve">Holzbetonverbund (mit unterer Gipsbekleidung)</t>
  </si>
  <si>
    <t xml:space="preserve">Holzbetonverbund 22cm, 9cm Beton, 13cm Brettstapel</t>
  </si>
  <si>
    <t xml:space="preserve">Holzwand (mit innerer Gipsbekleidung)</t>
  </si>
  <si>
    <t xml:space="preserve">Brettstapelwand 10 cm</t>
  </si>
  <si>
    <t xml:space="preserve">Profilblech Verbunddecke</t>
  </si>
  <si>
    <t xml:space="preserve">Profilblech Verbunddecke, Spannweite 5m inkl. IPE Träger, Überdeckung 11cm, Gesamtstärke 27cm</t>
  </si>
  <si>
    <t xml:space="preserve">Betondecke 30 cm, CEM II 300 kg/m3, Bewehrung 112.5 kg/m3, Dämmung Schaumglas 25 cm (U-Wert 0.15 W/m2K für gesamter Dachaufbau), 2xPolymerbitumendichtungsbahn, Schutzmatte, Kies</t>
  </si>
  <si>
    <t xml:space="preserve">Leichtbauwand (mit Spachtel)</t>
  </si>
  <si>
    <t xml:space="preserve">Leichtbauwand, 60dB, Beplankung mit Gipskarton</t>
  </si>
  <si>
    <t xml:space="preserve">Ortbetonstütze</t>
  </si>
  <si>
    <t xml:space="preserve">20x20 cm, K   48 (3G / 4 x 4 m), CEM II 300 kg/m3, Bewehrung 300 kg/m3 Vd = 600 kN, 1 Stütze alle 3 m Aussenwand</t>
  </si>
  <si>
    <t xml:space="preserve">Holzdecke (mit unterer Gipsbekleidung)</t>
  </si>
  <si>
    <t xml:space="preserve">Brettstapeldecke 5-6m Spannweite, 23cm Massivholz verdübelt</t>
  </si>
  <si>
    <t xml:space="preserve">Beidseitiger Spachtel und Wanddispersion</t>
  </si>
  <si>
    <t xml:space="preserve">Stütze vorfabriziert</t>
  </si>
  <si>
    <t xml:space="preserve">20 x 20 cm, K   48 (3G / 4 x 4 m), CEM I 400 kg/m3, Bewehrung 250 kg/m3 Vd = 800 kN, 1 Stütze alle 3 m Aussenwand</t>
  </si>
  <si>
    <t xml:space="preserve">Leichtbauwand, 60dB, Beplankung mit Gipsfaserplatten</t>
  </si>
  <si>
    <t xml:space="preserve">Struktur UG</t>
  </si>
  <si>
    <t xml:space="preserve">Einsteinmauerwerk dämmend (mit Innenputz)</t>
  </si>
  <si>
    <t xml:space="preserve">Porotherm T7 49 cm U-Wert ca. 0.14 W/m2K inkl. Dünnbettmörtel</t>
  </si>
  <si>
    <t xml:space="preserve">Holzkonstruktion (geneigtes Dach)</t>
  </si>
  <si>
    <t xml:space="preserve">Holzbalkendecke</t>
  </si>
  <si>
    <t xml:space="preserve">Ländlich</t>
  </si>
  <si>
    <t xml:space="preserve">Dämmung gegen unbeheizt</t>
  </si>
  <si>
    <t xml:space="preserve">Glaswolle 12 cm und Vlies</t>
  </si>
  <si>
    <t xml:space="preserve">Geschossdecke über UG</t>
  </si>
  <si>
    <t xml:space="preserve">Bodenplatte Standardbauweise</t>
  </si>
  <si>
    <t xml:space="preserve">Aussenwand unter Terrain Standardbauweise unbeheitz</t>
  </si>
  <si>
    <t xml:space="preserve">Aussenwand unter Terrain Standardbauweise beheitz</t>
  </si>
  <si>
    <t xml:space="preserve">Dach unter Terrain Standardbauweise</t>
  </si>
  <si>
    <t xml:space="preserve">Aussenwand über Terrain Standardbauweise</t>
  </si>
  <si>
    <t xml:space="preserve">Aussenwand über Terrain Standardbauweise klein Bauvolumen</t>
  </si>
  <si>
    <t xml:space="preserve">Aussenwand über Terrain Leichtbau</t>
  </si>
  <si>
    <t xml:space="preserve">Aussenwand über Terrain Mischbau</t>
  </si>
  <si>
    <t xml:space="preserve">Äussere Wandbekleidung über Terrain</t>
  </si>
  <si>
    <t xml:space="preserve">Äussere Wandbekleidung über Terrain Standardbauweise</t>
  </si>
  <si>
    <t xml:space="preserve">Äussere Wandbekleidung über Terrain Leichtbau</t>
  </si>
  <si>
    <t xml:space="preserve">Äussere Wandbekleidung über Terrain Mischbau</t>
  </si>
  <si>
    <t xml:space="preserve">Dach Standardbauweise Stadt 1</t>
  </si>
  <si>
    <t xml:space="preserve">Dach Standardbauweise Stadt 2</t>
  </si>
  <si>
    <t xml:space="preserve">Dach Misch-Leichtbau</t>
  </si>
  <si>
    <t xml:space="preserve">Dach Land</t>
  </si>
  <si>
    <t xml:space="preserve">Dachaufbau Standardbauweise Stadt</t>
  </si>
  <si>
    <t xml:space="preserve">Dachaufbau</t>
  </si>
  <si>
    <t xml:space="preserve">Dachaufbau Standardbauweise Land</t>
  </si>
  <si>
    <t xml:space="preserve">Innenwand Standardbauweise Stadt</t>
  </si>
  <si>
    <t xml:space="preserve">Innenwand Standardbauweise Land</t>
  </si>
  <si>
    <t xml:space="preserve">Innenwand Misch-Leichtbau</t>
  </si>
  <si>
    <t xml:space="preserve">Decke Standardbauweise</t>
  </si>
  <si>
    <t xml:space="preserve">Decke Leichtbau</t>
  </si>
  <si>
    <t xml:space="preserve">Decke Mischbau</t>
  </si>
  <si>
    <t xml:space="preserve">Installation Decke Standardbauweise UG</t>
  </si>
  <si>
    <t xml:space="preserve">Installation Decke Standardbauweise</t>
  </si>
  <si>
    <t xml:space="preserve">Installation Decke Mischbau</t>
  </si>
  <si>
    <t xml:space="preserve">Bodenbelag Standardbauweise 1</t>
  </si>
  <si>
    <t xml:space="preserve">Bodenbelag Standardbauweise 2</t>
  </si>
  <si>
    <t xml:space="preserve">Bodenplatte Sinnlos</t>
  </si>
  <si>
    <t xml:space="preserve">Amortisationszeit [Jahre]</t>
  </si>
  <si>
    <t xml:space="preserve">30-35</t>
  </si>
  <si>
    <t xml:space="preserve">100-165</t>
  </si>
  <si>
    <t xml:space="preserve">Dicke [mm]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</si>
</sst>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General"/>
    <numFmt numFmtId="167" formatCode="_-* #,##0.00\ _C_H_F_-;\-* #,##0.00\ _C_H_F_-;_-* \-??\ _C_H_F_-;_-@_-"/>
    <numFmt numFmtId="168" formatCode="_-* #,##0\ _C_H_F_-;\-* #,##0\ _C_H_F_-;_-* \-??\ _C_H_F_-;_-@_-"/>
    <numFmt numFmtId="169" formatCode="0%"/>
    <numFmt numFmtId="170" formatCode="0.0%"/>
    <numFmt numFmtId="171" formatCode="0"/>
    <numFmt numFmtId="172" formatCode="_-* #,##0.0\ _C_H_F_-;\-* #,##0.0\ _C_H_F_-;_-* \-??\ _C_H_F_-;_-@_-"/>
    <numFmt numFmtId="173" formatCode="0.000"/>
    <numFmt numFmtId="174" formatCode="#,##0.00"/>
    <numFmt numFmtId="175" formatCode="#,##0.00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color rgb="FF4472C4"/>
      <name val="Arial Narrow"/>
      <family val="2"/>
      <charset val="1"/>
    </font>
    <font>
      <b val="true"/>
      <sz val="16"/>
      <color rgb="FF000000"/>
      <name val="Arial Narrow"/>
      <family val="2"/>
      <charset val="1"/>
    </font>
    <font>
      <sz val="12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vertAlign val="superscript"/>
      <sz val="12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2"/>
      <color rgb="FF000000"/>
      <name val="Arial Narrow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6"/>
      <color rgb="FF000000"/>
      <name val="Arial Narrow"/>
      <family val="2"/>
      <charset val="1"/>
    </font>
    <font>
      <b val="true"/>
      <u val="single"/>
      <sz val="12"/>
      <color rgb="FF000000"/>
      <name val="Arial Narrow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8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1"/>
      <color rgb="FF843C0B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FF0000"/>
      <name val="Arial"/>
      <family val="2"/>
      <charset val="1"/>
    </font>
    <font>
      <sz val="9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D0CECE"/>
      </patternFill>
    </fill>
    <fill>
      <patternFill patternType="solid">
        <fgColor rgb="FF70AD47"/>
        <bgColor rgb="FF339966"/>
      </patternFill>
    </fill>
    <fill>
      <patternFill patternType="solid">
        <fgColor rgb="FFF2F2F2"/>
        <bgColor rgb="FFE2F0D9"/>
      </patternFill>
    </fill>
    <fill>
      <patternFill patternType="solid">
        <fgColor rgb="FFD9D9D9"/>
        <bgColor rgb="FFD0CECE"/>
      </patternFill>
    </fill>
    <fill>
      <patternFill patternType="solid">
        <fgColor rgb="FFE2F0D9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8FAADC"/>
      </patternFill>
    </fill>
    <fill>
      <patternFill patternType="solid">
        <fgColor rgb="FFDAE3F3"/>
        <bgColor rgb="FFD9D9D9"/>
      </patternFill>
    </fill>
    <fill>
      <patternFill patternType="solid">
        <fgColor rgb="FFFFD966"/>
        <bgColor rgb="FFFFCC00"/>
      </patternFill>
    </fill>
    <fill>
      <patternFill patternType="solid">
        <fgColor rgb="FF8FAADC"/>
        <bgColor rgb="FF9DC3E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8FAADC"/>
      <rgbColor rgb="FF7030A0"/>
      <rgbColor rgb="FFFFF2CC"/>
      <rgbColor rgb="FFDAE3F3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9DC3E6"/>
      <rgbColor rgb="FFC5E0B4"/>
      <rgbColor rgb="FFD9D9D9"/>
      <rgbColor rgb="FFFFD966"/>
      <rgbColor rgb="FF4472C4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EIFR/Gestion%20de%20projets/00%20projets/84379%20OptiBat_GWP%20-%20Zwicky/09_Analyse/Bauteil/VP_Bauteile_Lesosai/Anhang_D_Dokumentation_20190207_id_as_aktuell_90425_as_V2.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hang D"/>
      <sheetName val="Vorarbeiten"/>
      <sheetName val="Gebäudehülle u.T."/>
      <sheetName val="Gebäudehülle über Terrain"/>
      <sheetName val="Innenbauteile &amp; Aussenbauteile"/>
      <sheetName val="Gebäudetechnik"/>
      <sheetName val="Baumaterialien Matériaux"/>
      <sheetName val="Gebäudetechnik Technique du bât"/>
      <sheetName val="Transporte Transports"/>
      <sheetName val="Lesosai Ergebnisse"/>
      <sheetName val="Test_Exports"/>
      <sheetName val="Lesosai Ergebnisse alt"/>
      <sheetName val="Bewertung_Bauteilsysteme"/>
    </sheetNames>
    <sheetDataSet>
      <sheetData sheetId="0"/>
      <sheetData sheetId="1"/>
      <sheetData sheetId="2">
        <row r="4">
          <cell r="D4" t="str">
            <v>Magerbeton 7 cm [kg]</v>
          </cell>
        </row>
        <row r="4">
          <cell r="G4" t="str">
            <v>C1.5</v>
          </cell>
          <cell r="H4">
            <v>2150</v>
          </cell>
          <cell r="I4">
            <v>7</v>
          </cell>
        </row>
        <row r="4">
          <cell r="L4">
            <v>0.0591</v>
          </cell>
        </row>
        <row r="5">
          <cell r="D5" t="str">
            <v>Hochbaubeton, 30 cm [kg]</v>
          </cell>
        </row>
        <row r="5">
          <cell r="G5" t="str">
            <v>C1.5</v>
          </cell>
          <cell r="H5">
            <v>2300</v>
          </cell>
          <cell r="I5">
            <v>29.5987261146497</v>
          </cell>
        </row>
        <row r="5">
          <cell r="L5">
            <v>0.0992</v>
          </cell>
        </row>
        <row r="6">
          <cell r="D6" t="str">
            <v>Armierungsstahl [kg]</v>
          </cell>
        </row>
        <row r="6">
          <cell r="G6" t="str">
            <v>C1.5</v>
          </cell>
          <cell r="H6">
            <v>7850</v>
          </cell>
          <cell r="I6">
            <v>0.401273885350318</v>
          </cell>
        </row>
        <row r="6">
          <cell r="L6">
            <v>0.682</v>
          </cell>
        </row>
        <row r="9">
          <cell r="G9" t="str">
            <v>C1.5</v>
          </cell>
        </row>
        <row r="10">
          <cell r="G10" t="str">
            <v>C1.5</v>
          </cell>
        </row>
        <row r="11">
          <cell r="G11" t="str">
            <v>C1.5</v>
          </cell>
        </row>
        <row r="12">
          <cell r="D12" t="str">
            <v>Polystyrol extrudiert, 33 kg/m3, lamdaD 0.033 W/mK, 20 cm [kg]</v>
          </cell>
        </row>
        <row r="12">
          <cell r="G12" t="str">
            <v>C1.2</v>
          </cell>
          <cell r="H12">
            <v>33</v>
          </cell>
          <cell r="I12">
            <v>20</v>
          </cell>
        </row>
        <row r="12">
          <cell r="L12">
            <v>14.5</v>
          </cell>
        </row>
        <row r="16">
          <cell r="D16" t="str">
            <v>Foamglas T4+, 115 kg/m3, lambdaD 0.041 W/mK, 25 cm [kg]</v>
          </cell>
        </row>
        <row r="16">
          <cell r="H16">
            <v>115</v>
          </cell>
          <cell r="I16">
            <v>25</v>
          </cell>
        </row>
        <row r="16">
          <cell r="L16">
            <v>1.17</v>
          </cell>
        </row>
        <row r="23">
          <cell r="D23" t="str">
            <v>Hochbaubeton, 25 cm [kg]</v>
          </cell>
        </row>
        <row r="23">
          <cell r="G23" t="str">
            <v>C2.1</v>
          </cell>
          <cell r="H23">
            <v>2300</v>
          </cell>
          <cell r="I23">
            <v>24.6894904458599</v>
          </cell>
        </row>
        <row r="23">
          <cell r="L23">
            <v>0.0992</v>
          </cell>
        </row>
        <row r="24">
          <cell r="D24" t="str">
            <v>Armierungsstahl [kg]</v>
          </cell>
        </row>
        <row r="24">
          <cell r="G24" t="str">
            <v>C2.1</v>
          </cell>
          <cell r="H24">
            <v>7850</v>
          </cell>
          <cell r="I24">
            <v>0.310509554140127</v>
          </cell>
        </row>
        <row r="24">
          <cell r="L24">
            <v>0.682</v>
          </cell>
        </row>
        <row r="25">
          <cell r="D25" t="str">
            <v>3-SP Schalung 2.5cm (Annahme 5xverwendet) [kg]</v>
          </cell>
        </row>
        <row r="25">
          <cell r="G25" t="str">
            <v>C2.1</v>
          </cell>
          <cell r="H25">
            <v>470</v>
          </cell>
          <cell r="I25">
            <v>1</v>
          </cell>
        </row>
        <row r="25">
          <cell r="L25">
            <v>0.523</v>
          </cell>
        </row>
        <row r="26">
          <cell r="D26" t="str">
            <v>Bitumenanstrich [m2]</v>
          </cell>
        </row>
        <row r="26">
          <cell r="G26" t="str">
            <v>E1.3</v>
          </cell>
          <cell r="H26">
            <v>250</v>
          </cell>
          <cell r="I26">
            <v>0.1</v>
          </cell>
        </row>
        <row r="26">
          <cell r="L26">
            <v>2.824</v>
          </cell>
        </row>
        <row r="27">
          <cell r="D27" t="str">
            <v>Noppenfolie PE [kg]</v>
          </cell>
        </row>
        <row r="27">
          <cell r="G27" t="str">
            <v>E1.3</v>
          </cell>
          <cell r="H27">
            <v>960</v>
          </cell>
          <cell r="I27">
            <v>0.260416666666667</v>
          </cell>
        </row>
        <row r="27">
          <cell r="L27">
            <v>5.41</v>
          </cell>
        </row>
        <row r="31">
          <cell r="D31" t="str">
            <v>Polystyrol extrudiert, 33 kg/m3, lamdaD 0.033 W/mK, 20 cm [kg]</v>
          </cell>
        </row>
        <row r="31">
          <cell r="G31" t="str">
            <v>E1.2</v>
          </cell>
          <cell r="H31">
            <v>33</v>
          </cell>
          <cell r="I31">
            <v>20</v>
          </cell>
        </row>
        <row r="31">
          <cell r="L31">
            <v>14.5</v>
          </cell>
        </row>
        <row r="32">
          <cell r="D32" t="str">
            <v>Bitumenkleber [kg]</v>
          </cell>
        </row>
        <row r="32">
          <cell r="G32" t="str">
            <v>E1.2</v>
          </cell>
          <cell r="H32">
            <v>1000</v>
          </cell>
          <cell r="I32">
            <v>0.3</v>
          </cell>
        </row>
        <row r="32">
          <cell r="L32">
            <v>3.06</v>
          </cell>
        </row>
        <row r="35">
          <cell r="D35" t="str">
            <v>Hochbaubeton, 25 cm [kg]</v>
          </cell>
        </row>
        <row r="35">
          <cell r="G35" t="str">
            <v>C2.1</v>
          </cell>
          <cell r="H35">
            <v>2300</v>
          </cell>
          <cell r="I35">
            <v>24.7133757961783</v>
          </cell>
        </row>
        <row r="35">
          <cell r="L35">
            <v>0.0992</v>
          </cell>
        </row>
        <row r="36">
          <cell r="D36" t="str">
            <v>Armierungsstahl [kg]</v>
          </cell>
        </row>
        <row r="36">
          <cell r="G36" t="str">
            <v>C2.1</v>
          </cell>
          <cell r="H36">
            <v>7850</v>
          </cell>
          <cell r="I36">
            <v>0.286624203821656</v>
          </cell>
        </row>
        <row r="36">
          <cell r="L36">
            <v>0.682</v>
          </cell>
        </row>
        <row r="37">
          <cell r="D37" t="str">
            <v>3-SP Schalung 2.5cm (Annahme 5xverwendet) [kg]</v>
          </cell>
        </row>
        <row r="37">
          <cell r="G37" t="str">
            <v>C2.1</v>
          </cell>
          <cell r="H37">
            <v>470</v>
          </cell>
          <cell r="I37">
            <v>1</v>
          </cell>
        </row>
        <row r="37">
          <cell r="L37">
            <v>0.523</v>
          </cell>
        </row>
        <row r="38">
          <cell r="D38" t="str">
            <v>Bitumenanstrich [m2]</v>
          </cell>
        </row>
        <row r="38">
          <cell r="G38" t="str">
            <v>E1.3</v>
          </cell>
          <cell r="H38">
            <v>250</v>
          </cell>
          <cell r="I38">
            <v>0.1</v>
          </cell>
        </row>
        <row r="38">
          <cell r="L38">
            <v>2.824</v>
          </cell>
        </row>
        <row r="39">
          <cell r="D39" t="str">
            <v>Sickerplatte</v>
          </cell>
        </row>
        <row r="39">
          <cell r="G39" t="str">
            <v>E1.3</v>
          </cell>
          <cell r="H39">
            <v>960</v>
          </cell>
          <cell r="I39">
            <v>0.260416666666667</v>
          </cell>
        </row>
        <row r="39">
          <cell r="L39">
            <v>5.41</v>
          </cell>
        </row>
        <row r="40">
          <cell r="D40" t="str">
            <v>Foamglas T4+, 115 kg/m3, lambdaD 0.041 W/mK, 25 cm [kg]</v>
          </cell>
        </row>
        <row r="40">
          <cell r="G40" t="str">
            <v>E1.2</v>
          </cell>
          <cell r="H40">
            <v>115</v>
          </cell>
          <cell r="I40">
            <v>25</v>
          </cell>
        </row>
        <row r="40">
          <cell r="L40">
            <v>1.17</v>
          </cell>
        </row>
        <row r="41">
          <cell r="D41" t="str">
            <v>Bitumenkleber [kg]</v>
          </cell>
        </row>
        <row r="41">
          <cell r="G41" t="str">
            <v>E1.2</v>
          </cell>
          <cell r="H41">
            <v>1000</v>
          </cell>
          <cell r="I41">
            <v>0.3</v>
          </cell>
        </row>
        <row r="41">
          <cell r="L41">
            <v>3.06</v>
          </cell>
        </row>
        <row r="47">
          <cell r="D47" t="str">
            <v>Hochbaubeton 30 cm [kg]</v>
          </cell>
        </row>
        <row r="47">
          <cell r="G47" t="str">
            <v>C4.4</v>
          </cell>
          <cell r="H47">
            <v>2300</v>
          </cell>
          <cell r="I47">
            <v>29.5700636942675</v>
          </cell>
        </row>
        <row r="47">
          <cell r="L47">
            <v>0.0992</v>
          </cell>
        </row>
        <row r="48">
          <cell r="D48" t="str">
            <v>Armierungsstahl [kg]</v>
          </cell>
        </row>
        <row r="48">
          <cell r="G48" t="str">
            <v>C4.4</v>
          </cell>
          <cell r="H48">
            <v>7850</v>
          </cell>
          <cell r="I48">
            <v>0.429936305732484</v>
          </cell>
        </row>
        <row r="48">
          <cell r="L48">
            <v>0.682</v>
          </cell>
        </row>
        <row r="49">
          <cell r="D49" t="str">
            <v>3-SP Schalung 2.5 cm (Annahme 5xverwendet) [kg]</v>
          </cell>
        </row>
        <row r="49">
          <cell r="G49" t="str">
            <v>C4.4</v>
          </cell>
          <cell r="H49">
            <v>470</v>
          </cell>
          <cell r="I49">
            <v>1</v>
          </cell>
        </row>
        <row r="49">
          <cell r="L49">
            <v>0.523</v>
          </cell>
        </row>
        <row r="50">
          <cell r="D50" t="str">
            <v>Bitumenemulsion [m2]</v>
          </cell>
        </row>
        <row r="50">
          <cell r="G50" t="str">
            <v>F1.1</v>
          </cell>
          <cell r="H50">
            <v>250</v>
          </cell>
          <cell r="I50">
            <v>0.1</v>
          </cell>
        </row>
        <row r="50">
          <cell r="L50">
            <v>2.824</v>
          </cell>
        </row>
        <row r="51">
          <cell r="D51" t="str">
            <v>Polymerbitumenbahn EP5 [kg]</v>
          </cell>
        </row>
        <row r="51">
          <cell r="G51" t="str">
            <v>F1.1</v>
          </cell>
          <cell r="H51">
            <v>1180</v>
          </cell>
          <cell r="I51">
            <v>0.5</v>
          </cell>
        </row>
        <row r="51">
          <cell r="L51">
            <v>3.06</v>
          </cell>
        </row>
        <row r="52">
          <cell r="D52" t="str">
            <v>Trenn-/Schutzvlies [kg]</v>
          </cell>
        </row>
        <row r="52">
          <cell r="G52" t="str">
            <v>F1.1</v>
          </cell>
          <cell r="H52">
            <v>920</v>
          </cell>
          <cell r="I52">
            <v>0.0434782608695652</v>
          </cell>
        </row>
        <row r="52">
          <cell r="L52">
            <v>5.53</v>
          </cell>
        </row>
        <row r="53">
          <cell r="D53" t="str">
            <v>Kies 3 cm [kg]</v>
          </cell>
        </row>
        <row r="53">
          <cell r="G53" t="str">
            <v>F1.2</v>
          </cell>
          <cell r="H53">
            <v>2000</v>
          </cell>
          <cell r="I53">
            <v>3</v>
          </cell>
        </row>
        <row r="53">
          <cell r="L53">
            <v>0.0117</v>
          </cell>
        </row>
        <row r="56">
          <cell r="D56" t="str">
            <v>Hochbaubeton 30 cm [kg]</v>
          </cell>
        </row>
        <row r="56">
          <cell r="G56" t="str">
            <v>C4.4</v>
          </cell>
          <cell r="H56">
            <v>2300</v>
          </cell>
          <cell r="I56">
            <v>29.5700636942675</v>
          </cell>
        </row>
        <row r="56">
          <cell r="L56">
            <v>0.0992</v>
          </cell>
        </row>
        <row r="57">
          <cell r="D57" t="str">
            <v>Armierungsstahl [kg]</v>
          </cell>
        </row>
        <row r="57">
          <cell r="G57" t="str">
            <v>C4.4</v>
          </cell>
          <cell r="H57">
            <v>7850</v>
          </cell>
          <cell r="I57">
            <v>0.429936305732484</v>
          </cell>
        </row>
        <row r="57">
          <cell r="L57">
            <v>0.682</v>
          </cell>
        </row>
        <row r="58">
          <cell r="D58" t="str">
            <v>3-SP Schalung 2.5 cm (Annahme 5xverwendet) [kg]</v>
          </cell>
        </row>
        <row r="58">
          <cell r="G58" t="str">
            <v>C4.4</v>
          </cell>
          <cell r="H58">
            <v>470</v>
          </cell>
          <cell r="I58">
            <v>1</v>
          </cell>
        </row>
        <row r="58">
          <cell r="L58">
            <v>0.523</v>
          </cell>
        </row>
        <row r="59">
          <cell r="D59" t="str">
            <v>Bitumenemulsion [m2]</v>
          </cell>
        </row>
        <row r="59">
          <cell r="G59" t="str">
            <v>F1.1</v>
          </cell>
          <cell r="H59">
            <v>250</v>
          </cell>
          <cell r="I59">
            <v>0.1</v>
          </cell>
        </row>
        <row r="59">
          <cell r="L59">
            <v>2.824</v>
          </cell>
        </row>
        <row r="60">
          <cell r="D60" t="str">
            <v>Polymerbitumenbahn EP4 [kg]</v>
          </cell>
        </row>
        <row r="60">
          <cell r="G60" t="str">
            <v>F1.1</v>
          </cell>
          <cell r="H60">
            <v>1175</v>
          </cell>
          <cell r="I60">
            <v>0.4</v>
          </cell>
        </row>
        <row r="60">
          <cell r="L60">
            <v>3.07</v>
          </cell>
        </row>
        <row r="61">
          <cell r="D61" t="str">
            <v>Polystyrol extrudiert, 33 kg/m3, lamdaD 0.033 W/mK, 20 cm [kg]</v>
          </cell>
        </row>
        <row r="61">
          <cell r="G61" t="str">
            <v>F1.1</v>
          </cell>
          <cell r="H61">
            <v>33</v>
          </cell>
          <cell r="I61">
            <v>20</v>
          </cell>
        </row>
        <row r="61">
          <cell r="L61">
            <v>14.5</v>
          </cell>
        </row>
        <row r="62">
          <cell r="D62" t="str">
            <v>2xPolymerbitumenbahn EGV3 [kg]</v>
          </cell>
        </row>
        <row r="62">
          <cell r="G62" t="str">
            <v>F1.1</v>
          </cell>
          <cell r="H62">
            <v>1200</v>
          </cell>
          <cell r="I62">
            <v>0.6</v>
          </cell>
        </row>
        <row r="62">
          <cell r="L62">
            <v>2.98</v>
          </cell>
        </row>
        <row r="63">
          <cell r="D63" t="str">
            <v>Trenn-/Schutzvlies [kg]</v>
          </cell>
        </row>
        <row r="63">
          <cell r="G63" t="str">
            <v>F1.1</v>
          </cell>
          <cell r="H63">
            <v>920</v>
          </cell>
          <cell r="I63">
            <v>0.0434782608695652</v>
          </cell>
        </row>
        <row r="63">
          <cell r="L63">
            <v>5.53</v>
          </cell>
        </row>
        <row r="64">
          <cell r="D64" t="str">
            <v>Kies 3 cm [kg]</v>
          </cell>
        </row>
        <row r="64">
          <cell r="G64" t="str">
            <v>F1.2</v>
          </cell>
          <cell r="H64">
            <v>2000</v>
          </cell>
          <cell r="I64">
            <v>3</v>
          </cell>
        </row>
        <row r="64">
          <cell r="L64">
            <v>0.0117</v>
          </cell>
        </row>
        <row r="67">
          <cell r="D67" t="str">
            <v>Hochbaubeton 30 cm [kg]</v>
          </cell>
        </row>
        <row r="67">
          <cell r="G67" t="str">
            <v>C4.4</v>
          </cell>
          <cell r="H67">
            <v>2300</v>
          </cell>
          <cell r="I67">
            <v>29.5700636942675</v>
          </cell>
        </row>
        <row r="67">
          <cell r="L67">
            <v>0.0992</v>
          </cell>
        </row>
        <row r="68">
          <cell r="D68" t="str">
            <v>Armierungsstahl [kg]</v>
          </cell>
        </row>
        <row r="68">
          <cell r="G68" t="str">
            <v>C4.4</v>
          </cell>
          <cell r="H68">
            <v>7850</v>
          </cell>
          <cell r="I68">
            <v>0.429936305732484</v>
          </cell>
        </row>
        <row r="68">
          <cell r="L68">
            <v>0.682</v>
          </cell>
        </row>
        <row r="69">
          <cell r="D69" t="str">
            <v>3-SP Schalung 2.5cm (Annahme 5xverwendet) [kg]</v>
          </cell>
        </row>
        <row r="69">
          <cell r="G69" t="str">
            <v>C4.4</v>
          </cell>
          <cell r="H69">
            <v>470</v>
          </cell>
          <cell r="I69">
            <v>1</v>
          </cell>
        </row>
        <row r="69">
          <cell r="L69">
            <v>0.523</v>
          </cell>
        </row>
        <row r="70">
          <cell r="D70" t="str">
            <v>Bitumenemulsion [m2]</v>
          </cell>
        </row>
        <row r="70">
          <cell r="G70" t="str">
            <v>F1.1</v>
          </cell>
          <cell r="H70">
            <v>250</v>
          </cell>
          <cell r="I70">
            <v>0.1</v>
          </cell>
        </row>
        <row r="70">
          <cell r="L70">
            <v>2.824</v>
          </cell>
        </row>
        <row r="71">
          <cell r="D71" t="str">
            <v>Polymerbitumenbahn EP4 [kg]</v>
          </cell>
        </row>
        <row r="71">
          <cell r="G71" t="str">
            <v>F1.1</v>
          </cell>
          <cell r="H71">
            <v>1175</v>
          </cell>
          <cell r="I71">
            <v>0.4</v>
          </cell>
        </row>
        <row r="71">
          <cell r="L71">
            <v>3.07</v>
          </cell>
        </row>
        <row r="72">
          <cell r="D72" t="str">
            <v>Foamglas T4+, 115 kg/m3, lambdaD 0.041 W/mK, 25 cm [kg]</v>
          </cell>
        </row>
        <row r="72">
          <cell r="G72" t="str">
            <v>F1.1</v>
          </cell>
          <cell r="H72">
            <v>115</v>
          </cell>
          <cell r="I72">
            <v>25</v>
          </cell>
        </row>
        <row r="72">
          <cell r="L72">
            <v>1.17</v>
          </cell>
        </row>
        <row r="73">
          <cell r="D73" t="str">
            <v>Heissbitumen [kg]</v>
          </cell>
        </row>
        <row r="73">
          <cell r="G73" t="str">
            <v>F1.1</v>
          </cell>
          <cell r="H73">
            <v>1000</v>
          </cell>
          <cell r="I73">
            <v>1.3</v>
          </cell>
        </row>
        <row r="73">
          <cell r="L73">
            <v>3.06</v>
          </cell>
        </row>
        <row r="74">
          <cell r="D74" t="str">
            <v>2xPolymerbitumenbahn EGV3 [kg]</v>
          </cell>
        </row>
        <row r="74">
          <cell r="G74" t="str">
            <v>F1.1</v>
          </cell>
          <cell r="H74">
            <v>1200</v>
          </cell>
          <cell r="I74">
            <v>0.6</v>
          </cell>
        </row>
        <row r="74">
          <cell r="L74">
            <v>2.98</v>
          </cell>
        </row>
        <row r="75">
          <cell r="D75" t="str">
            <v>Trenn-/Schutzvlies [kg]</v>
          </cell>
        </row>
        <row r="75">
          <cell r="G75" t="str">
            <v>F1.1</v>
          </cell>
          <cell r="H75">
            <v>920</v>
          </cell>
          <cell r="I75">
            <v>0.0434782608695652</v>
          </cell>
        </row>
        <row r="75">
          <cell r="L75">
            <v>5.53</v>
          </cell>
        </row>
        <row r="76">
          <cell r="D76" t="str">
            <v>Kies 3 cm [kg]</v>
          </cell>
        </row>
        <row r="76">
          <cell r="G76" t="str">
            <v>F1.2</v>
          </cell>
          <cell r="H76">
            <v>2000</v>
          </cell>
          <cell r="I76">
            <v>3</v>
          </cell>
        </row>
        <row r="76">
          <cell r="L76">
            <v>0.0117</v>
          </cell>
        </row>
      </sheetData>
      <sheetData sheetId="3">
        <row r="4">
          <cell r="D4" t="str">
            <v>Hochbaubeton, 20 cm [kg]</v>
          </cell>
        </row>
        <row r="4">
          <cell r="G4" t="str">
            <v>C2.1</v>
          </cell>
          <cell r="H4">
            <v>2300</v>
          </cell>
          <cell r="I4">
            <v>19.7515923566879</v>
          </cell>
        </row>
        <row r="4">
          <cell r="L4">
            <v>0.0992</v>
          </cell>
        </row>
        <row r="5">
          <cell r="D5" t="str">
            <v>Armierungsstahl [kg]</v>
          </cell>
        </row>
        <row r="5">
          <cell r="G5" t="str">
            <v>C2.1</v>
          </cell>
          <cell r="H5">
            <v>7850</v>
          </cell>
          <cell r="I5">
            <v>0.248407643312102</v>
          </cell>
        </row>
        <row r="5">
          <cell r="L5">
            <v>0.682</v>
          </cell>
        </row>
        <row r="6">
          <cell r="D6" t="str">
            <v>3-SP Schalung 2.5cm (Annahme 5xverwendet) [kg]</v>
          </cell>
        </row>
        <row r="6">
          <cell r="G6" t="str">
            <v>C2.1</v>
          </cell>
          <cell r="H6">
            <v>470</v>
          </cell>
          <cell r="I6">
            <v>1</v>
          </cell>
        </row>
        <row r="6">
          <cell r="L6">
            <v>0.523</v>
          </cell>
        </row>
        <row r="7">
          <cell r="D7" t="str">
            <v>Kalk-Zementgrundputz [kg]</v>
          </cell>
        </row>
        <row r="7">
          <cell r="G7" t="str">
            <v>G3.1</v>
          </cell>
          <cell r="H7">
            <v>1550</v>
          </cell>
          <cell r="I7">
            <v>1.16129032258065</v>
          </cell>
        </row>
        <row r="7">
          <cell r="L7">
            <v>0.247</v>
          </cell>
        </row>
        <row r="8">
          <cell r="D8" t="str">
            <v>Deckputz (Weissputz) [kg]</v>
          </cell>
        </row>
        <row r="8">
          <cell r="G8" t="str">
            <v>G3.2</v>
          </cell>
          <cell r="H8">
            <v>1100</v>
          </cell>
          <cell r="I8">
            <v>0.318181818181818</v>
          </cell>
        </row>
        <row r="8">
          <cell r="L8">
            <v>0.147</v>
          </cell>
        </row>
        <row r="9">
          <cell r="D9" t="str">
            <v>Wanddispersion [m2]</v>
          </cell>
        </row>
        <row r="9">
          <cell r="G9" t="str">
            <v>G3.2</v>
          </cell>
          <cell r="H9">
            <v>150</v>
          </cell>
          <cell r="I9">
            <v>0.2</v>
          </cell>
        </row>
        <row r="9">
          <cell r="L9">
            <v>4.53333333333333</v>
          </cell>
        </row>
        <row r="12">
          <cell r="D12" t="str">
            <v>Backstein [kg]</v>
          </cell>
        </row>
        <row r="12">
          <cell r="G12" t="str">
            <v>C2.1</v>
          </cell>
          <cell r="H12">
            <v>900</v>
          </cell>
          <cell r="I12">
            <v>17.5</v>
          </cell>
        </row>
        <row r="12">
          <cell r="L12">
            <v>0.258</v>
          </cell>
        </row>
        <row r="13">
          <cell r="D13" t="str">
            <v>Mörtel [kg]</v>
          </cell>
        </row>
        <row r="13">
          <cell r="G13" t="str">
            <v>C2.1</v>
          </cell>
          <cell r="H13">
            <v>1550</v>
          </cell>
          <cell r="I13">
            <v>3.32903225806452</v>
          </cell>
        </row>
        <row r="13">
          <cell r="L13">
            <v>0.269</v>
          </cell>
        </row>
        <row r="14">
          <cell r="D14" t="str">
            <v>Kalk-Zementgrundputz [kg]</v>
          </cell>
        </row>
        <row r="14">
          <cell r="G14" t="str">
            <v>G3.1</v>
          </cell>
          <cell r="H14">
            <v>1550</v>
          </cell>
          <cell r="I14">
            <v>1.16129032258065</v>
          </cell>
        </row>
        <row r="14">
          <cell r="L14">
            <v>0.247</v>
          </cell>
        </row>
        <row r="15">
          <cell r="D15" t="str">
            <v>Deckputz (Weissputz) [kg]</v>
          </cell>
        </row>
        <row r="15">
          <cell r="G15" t="str">
            <v>G3.2</v>
          </cell>
          <cell r="H15">
            <v>1100</v>
          </cell>
          <cell r="I15">
            <v>0.318181818181818</v>
          </cell>
        </row>
        <row r="15">
          <cell r="L15">
            <v>0.147</v>
          </cell>
        </row>
        <row r="16">
          <cell r="D16" t="str">
            <v>Wanddispersion [m2]</v>
          </cell>
        </row>
        <row r="16">
          <cell r="G16" t="str">
            <v>G3.2</v>
          </cell>
          <cell r="H16">
            <v>150</v>
          </cell>
          <cell r="I16">
            <v>0.2</v>
          </cell>
        </row>
        <row r="16">
          <cell r="L16">
            <v>4.53333333333333</v>
          </cell>
        </row>
        <row r="19">
          <cell r="D19" t="str">
            <v>Nadelschnittholz [kg]</v>
          </cell>
        </row>
        <row r="19">
          <cell r="G19" t="str">
            <v>C2.1</v>
          </cell>
          <cell r="H19">
            <v>485</v>
          </cell>
          <cell r="I19">
            <v>10</v>
          </cell>
        </row>
        <row r="19">
          <cell r="L19">
            <v>0.101</v>
          </cell>
        </row>
        <row r="20">
          <cell r="D20" t="str">
            <v>Nadelschnittholz [kg]</v>
          </cell>
        </row>
        <row r="20">
          <cell r="G20" t="str">
            <v>G3.1</v>
          </cell>
          <cell r="H20">
            <v>485</v>
          </cell>
          <cell r="I20">
            <v>0.4</v>
          </cell>
        </row>
        <row r="20">
          <cell r="L20">
            <v>0.101</v>
          </cell>
        </row>
        <row r="21">
          <cell r="D21" t="str">
            <v>Gipskartonplatte [kg]</v>
          </cell>
        </row>
        <row r="21">
          <cell r="G21" t="str">
            <v>G3.1</v>
          </cell>
          <cell r="H21">
            <v>850</v>
          </cell>
          <cell r="I21">
            <v>1.25</v>
          </cell>
        </row>
        <row r="21">
          <cell r="L21">
            <v>0.293</v>
          </cell>
        </row>
        <row r="22">
          <cell r="D22" t="str">
            <v>Spachtel [kg]</v>
          </cell>
        </row>
        <row r="22">
          <cell r="G22" t="str">
            <v>G3.2</v>
          </cell>
          <cell r="H22">
            <v>925</v>
          </cell>
          <cell r="I22">
            <v>0.605405405405405</v>
          </cell>
        </row>
        <row r="22">
          <cell r="L22">
            <v>0.155</v>
          </cell>
        </row>
        <row r="23">
          <cell r="D23" t="str">
            <v>Wanddispersion [m2]</v>
          </cell>
        </row>
        <row r="23">
          <cell r="G23" t="str">
            <v>G3.2</v>
          </cell>
          <cell r="H23">
            <v>150</v>
          </cell>
          <cell r="I23">
            <v>0.2</v>
          </cell>
        </row>
        <row r="23">
          <cell r="L23">
            <v>4.53333333333333</v>
          </cell>
        </row>
        <row r="27">
          <cell r="D27" t="str">
            <v>Hochbaubeton  [kg]</v>
          </cell>
        </row>
        <row r="27">
          <cell r="G27" t="str">
            <v>C3.1</v>
          </cell>
          <cell r="H27">
            <v>2300</v>
          </cell>
          <cell r="I27">
            <v>1.28237791932059</v>
          </cell>
        </row>
        <row r="27">
          <cell r="L27">
            <v>0.0992</v>
          </cell>
        </row>
        <row r="28">
          <cell r="D28" t="str">
            <v>Armierungsstahl [kg]</v>
          </cell>
        </row>
        <row r="28">
          <cell r="G28" t="str">
            <v>C3.1</v>
          </cell>
          <cell r="H28">
            <v>7850</v>
          </cell>
          <cell r="I28">
            <v>0.0509554140127389</v>
          </cell>
        </row>
        <row r="28">
          <cell r="L28">
            <v>0.682</v>
          </cell>
        </row>
        <row r="29">
          <cell r="D29" t="str">
            <v>3-SP Schalung 2.5 cm (Annahme 5xverwendet) [kg]</v>
          </cell>
        </row>
        <row r="29">
          <cell r="G29" t="str">
            <v>C3.1</v>
          </cell>
          <cell r="H29">
            <v>470</v>
          </cell>
          <cell r="I29">
            <v>0.133333333333333</v>
          </cell>
        </row>
        <row r="29">
          <cell r="L29">
            <v>0.523</v>
          </cell>
        </row>
        <row r="32">
          <cell r="D32" t="str">
            <v>Betonfertigteil, Normalbeton, ab Werk [kg]</v>
          </cell>
        </row>
        <row r="32">
          <cell r="G32" t="str">
            <v>C3.1</v>
          </cell>
          <cell r="H32">
            <v>2500</v>
          </cell>
          <cell r="I32">
            <v>1.29087048832272</v>
          </cell>
        </row>
        <row r="32">
          <cell r="L32">
            <v>0.172</v>
          </cell>
        </row>
        <row r="33">
          <cell r="D33" t="str">
            <v>Armierungsstahl [kg]</v>
          </cell>
        </row>
        <row r="33">
          <cell r="G33" t="str">
            <v>C3.1</v>
          </cell>
          <cell r="H33">
            <v>7850</v>
          </cell>
          <cell r="I33">
            <v>0.0955414012738854</v>
          </cell>
        </row>
        <row r="33">
          <cell r="L33">
            <v>0.682</v>
          </cell>
        </row>
        <row r="34">
          <cell r="D34" t="str">
            <v>3-SP Schalung 2.5 cm (Annahme 5xverwendet) [kg]</v>
          </cell>
        </row>
        <row r="34">
          <cell r="G34" t="str">
            <v>C3.1</v>
          </cell>
          <cell r="H34">
            <v>470</v>
          </cell>
          <cell r="I34">
            <v>0.133333333333333</v>
          </cell>
        </row>
        <row r="34">
          <cell r="L34">
            <v>0.523</v>
          </cell>
        </row>
        <row r="40">
          <cell r="D40" t="str">
            <v>Blähperlit [kg]</v>
          </cell>
        </row>
        <row r="40">
          <cell r="G40" t="str">
            <v>C2.1</v>
          </cell>
          <cell r="H40">
            <v>102.5</v>
          </cell>
          <cell r="I40">
            <v>37.2878048780488</v>
          </cell>
        </row>
        <row r="40">
          <cell r="L40">
            <v>1.01</v>
          </cell>
        </row>
        <row r="41">
          <cell r="D41" t="str">
            <v>Backstein [kg]</v>
          </cell>
        </row>
        <row r="41">
          <cell r="G41" t="str">
            <v>C2.1</v>
          </cell>
          <cell r="H41">
            <v>900</v>
          </cell>
          <cell r="I41">
            <v>28.4644444444444</v>
          </cell>
        </row>
        <row r="41">
          <cell r="L41">
            <v>0.258</v>
          </cell>
        </row>
        <row r="42">
          <cell r="D42" t="str">
            <v>Dünnbettmörtel [kg]</v>
          </cell>
        </row>
        <row r="42">
          <cell r="G42" t="str">
            <v>C2.1</v>
          </cell>
          <cell r="H42">
            <v>1400</v>
          </cell>
          <cell r="I42">
            <v>0.255</v>
          </cell>
        </row>
        <row r="42">
          <cell r="L42">
            <v>0.406</v>
          </cell>
        </row>
        <row r="43">
          <cell r="D43" t="str">
            <v>Kalk-Zementgrundputz [kg]</v>
          </cell>
        </row>
        <row r="43">
          <cell r="G43" t="str">
            <v>G3.1</v>
          </cell>
          <cell r="H43">
            <v>1550</v>
          </cell>
          <cell r="I43">
            <v>1.16129032258065</v>
          </cell>
        </row>
        <row r="43">
          <cell r="L43">
            <v>0.247</v>
          </cell>
        </row>
        <row r="44">
          <cell r="D44" t="str">
            <v>Deckputz (Weissputz) [kg]</v>
          </cell>
        </row>
        <row r="44">
          <cell r="G44" t="str">
            <v>G3.2</v>
          </cell>
          <cell r="H44">
            <v>1100</v>
          </cell>
          <cell r="I44">
            <v>0.318181818181818</v>
          </cell>
        </row>
        <row r="44">
          <cell r="L44">
            <v>0.147</v>
          </cell>
        </row>
        <row r="45">
          <cell r="D45" t="str">
            <v>Wanddispersion [m2]</v>
          </cell>
        </row>
        <row r="45">
          <cell r="G45" t="str">
            <v>G3.2</v>
          </cell>
          <cell r="H45">
            <v>150</v>
          </cell>
          <cell r="I45">
            <v>0.2</v>
          </cell>
        </row>
        <row r="45">
          <cell r="L45">
            <v>4.53333333333333</v>
          </cell>
        </row>
        <row r="50">
          <cell r="D50" t="str">
            <v>Zement Grundputz 1cm [kg]</v>
          </cell>
        </row>
        <row r="50">
          <cell r="G50" t="str">
            <v>E2.1</v>
          </cell>
          <cell r="H50">
            <v>1550</v>
          </cell>
          <cell r="I50">
            <v>1</v>
          </cell>
        </row>
        <row r="50">
          <cell r="L50">
            <v>0.269</v>
          </cell>
        </row>
        <row r="51">
          <cell r="D51" t="str">
            <v>Mineralischer Deckputz (Kalk-Zementputz) 1.5 mm [kg]</v>
          </cell>
        </row>
        <row r="51">
          <cell r="G51" t="str">
            <v>E2.1</v>
          </cell>
          <cell r="H51">
            <v>1550</v>
          </cell>
          <cell r="I51">
            <v>0.15</v>
          </cell>
        </row>
        <row r="51">
          <cell r="L51">
            <v>0.247</v>
          </cell>
        </row>
        <row r="52">
          <cell r="D52" t="str">
            <v>Anstrich [m2]</v>
          </cell>
        </row>
        <row r="52">
          <cell r="G52" t="str">
            <v>E2.1</v>
          </cell>
          <cell r="H52">
            <v>150</v>
          </cell>
          <cell r="I52">
            <v>0.2</v>
          </cell>
        </row>
        <row r="52">
          <cell r="L52">
            <v>4.53333333333333</v>
          </cell>
        </row>
        <row r="55">
          <cell r="D55" t="str">
            <v>Zementkleber [kg]</v>
          </cell>
        </row>
        <row r="55">
          <cell r="G55" t="str">
            <v>E2.1</v>
          </cell>
          <cell r="H55">
            <v>1400</v>
          </cell>
          <cell r="I55">
            <v>0.392857142857143</v>
          </cell>
        </row>
        <row r="55">
          <cell r="L55">
            <v>0.406</v>
          </cell>
        </row>
        <row r="56">
          <cell r="D56" t="str">
            <v>Steinwolle 22cm (80 kg/m3, 0.034 W/mK) [kg]</v>
          </cell>
        </row>
        <row r="56">
          <cell r="G56" t="str">
            <v>E2.2</v>
          </cell>
          <cell r="H56">
            <v>80</v>
          </cell>
          <cell r="I56">
            <v>22</v>
          </cell>
        </row>
        <row r="56">
          <cell r="L56">
            <v>1.13</v>
          </cell>
        </row>
        <row r="57">
          <cell r="D57" t="str">
            <v>Dämmstoffdübel (3 Stk. à 40g pro m2) [kg]</v>
          </cell>
        </row>
        <row r="57">
          <cell r="G57" t="str">
            <v>E2.2</v>
          </cell>
          <cell r="H57">
            <v>1450</v>
          </cell>
          <cell r="I57">
            <v>0.00827586206896552</v>
          </cell>
        </row>
        <row r="57">
          <cell r="L57">
            <v>9.6</v>
          </cell>
        </row>
        <row r="58">
          <cell r="D58" t="str">
            <v>Einbettmörtel [kg]</v>
          </cell>
        </row>
        <row r="58">
          <cell r="G58" t="str">
            <v>E2.1</v>
          </cell>
          <cell r="H58">
            <v>1100</v>
          </cell>
          <cell r="I58">
            <v>1.09090909090909</v>
          </cell>
        </row>
        <row r="58">
          <cell r="L58">
            <v>0.427</v>
          </cell>
        </row>
        <row r="59">
          <cell r="D59" t="str">
            <v>Armierungsgewebe [kg]</v>
          </cell>
        </row>
        <row r="59">
          <cell r="G59" t="str">
            <v>E2.1</v>
          </cell>
          <cell r="H59">
            <v>1450</v>
          </cell>
          <cell r="I59">
            <v>0.0110344827586207</v>
          </cell>
        </row>
        <row r="59">
          <cell r="L59">
            <v>9.6</v>
          </cell>
        </row>
        <row r="60">
          <cell r="D60" t="str">
            <v>Mineralischer Deckputz (Kalk-Zementputz) 1.5mm [kg]</v>
          </cell>
        </row>
        <row r="60">
          <cell r="G60" t="str">
            <v>E2.1</v>
          </cell>
          <cell r="H60">
            <v>1550</v>
          </cell>
          <cell r="I60">
            <v>0.15</v>
          </cell>
        </row>
        <row r="60">
          <cell r="L60">
            <v>0.247</v>
          </cell>
        </row>
        <row r="61">
          <cell r="D61" t="str">
            <v>Anstrich [m2]</v>
          </cell>
        </row>
        <row r="61">
          <cell r="G61" t="str">
            <v>E2.1</v>
          </cell>
          <cell r="H61">
            <v>150</v>
          </cell>
          <cell r="I61">
            <v>0.2</v>
          </cell>
        </row>
        <row r="61">
          <cell r="L61">
            <v>4.53333333333333</v>
          </cell>
        </row>
        <row r="64">
          <cell r="D64" t="str">
            <v>Zementkleber [kg]</v>
          </cell>
        </row>
        <row r="64">
          <cell r="G64" t="str">
            <v>E2.1</v>
          </cell>
          <cell r="H64">
            <v>1400</v>
          </cell>
          <cell r="I64">
            <v>0.392857142857143</v>
          </cell>
        </row>
        <row r="64">
          <cell r="L64">
            <v>0.406</v>
          </cell>
        </row>
        <row r="65">
          <cell r="D65" t="str">
            <v>EPS 20cm (16 kg/m3, 0.031 W/mK) [kg]</v>
          </cell>
        </row>
        <row r="65">
          <cell r="G65" t="str">
            <v>E2.2</v>
          </cell>
          <cell r="H65">
            <v>16</v>
          </cell>
          <cell r="I65">
            <v>20</v>
          </cell>
        </row>
        <row r="65">
          <cell r="L65">
            <v>7.64</v>
          </cell>
        </row>
        <row r="66">
          <cell r="D66" t="str">
            <v>Dämmstoffdübel (3 Stk. à 40g pro m2) [kg]</v>
          </cell>
        </row>
        <row r="66">
          <cell r="G66" t="str">
            <v>E2.2</v>
          </cell>
          <cell r="H66">
            <v>1450</v>
          </cell>
          <cell r="I66">
            <v>0.00827586206896552</v>
          </cell>
        </row>
        <row r="66">
          <cell r="L66">
            <v>9.6</v>
          </cell>
        </row>
        <row r="67">
          <cell r="D67" t="str">
            <v>Einbettmörtel [kg]</v>
          </cell>
        </row>
        <row r="67">
          <cell r="G67" t="str">
            <v>E2.1</v>
          </cell>
          <cell r="H67">
            <v>1100</v>
          </cell>
          <cell r="I67">
            <v>1.09090909090909</v>
          </cell>
        </row>
        <row r="67">
          <cell r="L67">
            <v>0.427</v>
          </cell>
        </row>
        <row r="68">
          <cell r="D68" t="str">
            <v>Armierungsgewebe [kg]</v>
          </cell>
        </row>
        <row r="68">
          <cell r="G68" t="str">
            <v>E2.1</v>
          </cell>
          <cell r="H68">
            <v>1360</v>
          </cell>
          <cell r="I68">
            <v>0.0117647058823529</v>
          </cell>
        </row>
        <row r="68">
          <cell r="L68">
            <v>9.6</v>
          </cell>
        </row>
        <row r="69">
          <cell r="D69" t="str">
            <v>Mineralischer Deckputz (Kalk-Zementputz) 1.5mm [kg]</v>
          </cell>
        </row>
        <row r="69">
          <cell r="G69" t="str">
            <v>E2.1</v>
          </cell>
          <cell r="H69">
            <v>1550</v>
          </cell>
          <cell r="I69">
            <v>0.15</v>
          </cell>
        </row>
        <row r="69">
          <cell r="L69">
            <v>0.247</v>
          </cell>
        </row>
        <row r="70">
          <cell r="D70" t="str">
            <v>Anstrich [m2]</v>
          </cell>
        </row>
        <row r="70">
          <cell r="G70" t="str">
            <v>E2.1</v>
          </cell>
          <cell r="H70">
            <v>150</v>
          </cell>
          <cell r="I70">
            <v>0.2</v>
          </cell>
        </row>
        <row r="70">
          <cell r="L70">
            <v>4.53333333333333</v>
          </cell>
        </row>
        <row r="76">
          <cell r="D76" t="str">
            <v>Holzschalung mit Nut und Kamm [kg]</v>
          </cell>
        </row>
        <row r="76">
          <cell r="G76" t="str">
            <v>E2.3</v>
          </cell>
          <cell r="H76">
            <v>465</v>
          </cell>
          <cell r="I76">
            <v>2.85</v>
          </cell>
        </row>
        <row r="76">
          <cell r="L76">
            <v>0.143</v>
          </cell>
        </row>
        <row r="77">
          <cell r="D77" t="str">
            <v>Vergrauungslasur [m2]</v>
          </cell>
        </row>
        <row r="77">
          <cell r="G77" t="str">
            <v>E2.1</v>
          </cell>
          <cell r="H77">
            <v>150</v>
          </cell>
          <cell r="I77">
            <v>0.2</v>
          </cell>
        </row>
        <row r="77">
          <cell r="L77">
            <v>4.53333333333333</v>
          </cell>
        </row>
        <row r="78">
          <cell r="D78" t="str">
            <v>Chromstahl 18/8 (Rogger Dübel), 3.5 Stk./m2 [kg]</v>
          </cell>
        </row>
        <row r="78">
          <cell r="G78" t="str">
            <v>E2.4</v>
          </cell>
          <cell r="H78">
            <v>7900</v>
          </cell>
          <cell r="I78">
            <v>0.00469177215189873</v>
          </cell>
        </row>
        <row r="78">
          <cell r="L78">
            <v>3.76</v>
          </cell>
        </row>
        <row r="79">
          <cell r="D79" t="str">
            <v>Polyamid glasfaserverstärkt (Rogger Dübel) [kg]</v>
          </cell>
        </row>
        <row r="79">
          <cell r="G79" t="str">
            <v>E2.4</v>
          </cell>
          <cell r="H79">
            <v>1450</v>
          </cell>
          <cell r="I79">
            <v>0.00582068965517241</v>
          </cell>
        </row>
        <row r="79">
          <cell r="L79">
            <v>9.6</v>
          </cell>
        </row>
        <row r="80">
          <cell r="D80" t="str">
            <v>Stahlprofile verzinkt [kg]</v>
          </cell>
        </row>
        <row r="80">
          <cell r="G80" t="str">
            <v>E2.4</v>
          </cell>
          <cell r="H80">
            <v>7850</v>
          </cell>
          <cell r="I80">
            <v>0.00687898089171975</v>
          </cell>
        </row>
        <row r="80">
          <cell r="L80">
            <v>3.51</v>
          </cell>
        </row>
        <row r="81">
          <cell r="D81" t="str">
            <v>Dämmstoffdübel (3 Stk. à 40 g pro m2) [kg]</v>
          </cell>
        </row>
        <row r="81">
          <cell r="G81" t="str">
            <v>E2.2</v>
          </cell>
          <cell r="H81">
            <v>1450</v>
          </cell>
          <cell r="I81">
            <v>0.00827586206896552</v>
          </cell>
        </row>
        <row r="81">
          <cell r="L81">
            <v>9.6</v>
          </cell>
        </row>
        <row r="82">
          <cell r="D82" t="str">
            <v>20 cm Glaswolle (38 kg/m3, 0.032 W/mK) [kg]</v>
          </cell>
        </row>
        <row r="82">
          <cell r="G82" t="str">
            <v>E2.2</v>
          </cell>
          <cell r="H82">
            <v>38</v>
          </cell>
          <cell r="I82">
            <v>20</v>
          </cell>
        </row>
        <row r="82">
          <cell r="L82">
            <v>1.13</v>
          </cell>
        </row>
        <row r="83">
          <cell r="D83" t="str">
            <v>Winpapier (PE Spinnvlies) [kg]</v>
          </cell>
        </row>
        <row r="83">
          <cell r="G83" t="str">
            <v>E2.1</v>
          </cell>
          <cell r="H83">
            <v>920</v>
          </cell>
          <cell r="I83">
            <v>0.0239130434782609</v>
          </cell>
        </row>
        <row r="83">
          <cell r="L83">
            <v>5.53</v>
          </cell>
        </row>
        <row r="86">
          <cell r="D86" t="str">
            <v>Faserzement [kg]</v>
          </cell>
        </row>
        <row r="86">
          <cell r="G86" t="str">
            <v>E2.3</v>
          </cell>
          <cell r="H86">
            <v>1800</v>
          </cell>
          <cell r="I86">
            <v>0.872222222222222</v>
          </cell>
        </row>
        <row r="86">
          <cell r="L86">
            <v>1.09</v>
          </cell>
        </row>
        <row r="87">
          <cell r="D87" t="str">
            <v>Aluminiumprofile [kg]</v>
          </cell>
        </row>
        <row r="87">
          <cell r="G87" t="str">
            <v>E2.4</v>
          </cell>
          <cell r="H87">
            <v>2690</v>
          </cell>
          <cell r="I87">
            <v>0.0820703460108665</v>
          </cell>
        </row>
        <row r="87">
          <cell r="L87">
            <v>5.71</v>
          </cell>
        </row>
        <row r="88">
          <cell r="D88" t="str">
            <v>Chromstahl 18/8 [kg]</v>
          </cell>
        </row>
        <row r="88">
          <cell r="G88" t="str">
            <v>E2.4</v>
          </cell>
          <cell r="H88">
            <v>7900</v>
          </cell>
          <cell r="I88">
            <v>0.000620253164556962</v>
          </cell>
        </row>
        <row r="88">
          <cell r="L88">
            <v>3.76</v>
          </cell>
        </row>
        <row r="89">
          <cell r="D89" t="str">
            <v>PVC [kg]</v>
          </cell>
        </row>
        <row r="89">
          <cell r="G89" t="str">
            <v>E2.4</v>
          </cell>
          <cell r="H89">
            <v>1390</v>
          </cell>
          <cell r="I89">
            <v>0.000863309352517986</v>
          </cell>
        </row>
        <row r="89">
          <cell r="L89">
            <v>4.42</v>
          </cell>
        </row>
        <row r="90">
          <cell r="D90" t="str">
            <v>Dämmstoffdübel (3 Stk. à 40g pro m2) [kg]</v>
          </cell>
        </row>
        <row r="90">
          <cell r="G90" t="str">
            <v>E2.2</v>
          </cell>
          <cell r="H90">
            <v>1360</v>
          </cell>
          <cell r="I90">
            <v>0.00882352941176471</v>
          </cell>
        </row>
        <row r="90">
          <cell r="L90">
            <v>9.6</v>
          </cell>
        </row>
        <row r="91">
          <cell r="D91" t="str">
            <v>20 cm Glaswolle (38 kg/m3, 0.032 W/mK) [kg]</v>
          </cell>
        </row>
        <row r="91">
          <cell r="G91" t="str">
            <v>E2.2</v>
          </cell>
          <cell r="H91">
            <v>38</v>
          </cell>
          <cell r="I91">
            <v>20</v>
          </cell>
        </row>
        <row r="91">
          <cell r="L91">
            <v>1.13</v>
          </cell>
        </row>
        <row r="92">
          <cell r="D92" t="str">
            <v>Winpapier (PE Spinnvlies) [kg]</v>
          </cell>
        </row>
        <row r="92">
          <cell r="G92" t="str">
            <v>E2.1</v>
          </cell>
          <cell r="H92">
            <v>920</v>
          </cell>
          <cell r="I92">
            <v>0.0239130434782609</v>
          </cell>
        </row>
        <row r="92">
          <cell r="L92">
            <v>5.53</v>
          </cell>
        </row>
        <row r="95">
          <cell r="D95" t="str">
            <v>Naturstein</v>
          </cell>
        </row>
        <row r="95">
          <cell r="G95" t="str">
            <v>E2.3</v>
          </cell>
          <cell r="H95">
            <v>2500</v>
          </cell>
          <cell r="I95">
            <v>3</v>
          </cell>
        </row>
        <row r="95">
          <cell r="L95">
            <v>0.0336</v>
          </cell>
        </row>
        <row r="96">
          <cell r="D96" t="str">
            <v>Aluminiumunterkonstruktion [kg]</v>
          </cell>
        </row>
        <row r="96">
          <cell r="G96" t="str">
            <v>E2.4</v>
          </cell>
          <cell r="H96">
            <v>2690</v>
          </cell>
          <cell r="I96">
            <v>0.165174514663362</v>
          </cell>
        </row>
        <row r="96">
          <cell r="L96">
            <v>5.71</v>
          </cell>
        </row>
        <row r="97">
          <cell r="D97" t="str">
            <v>Dämmstoffdübel (3 Stk. à 40g pro m2) [kg]</v>
          </cell>
        </row>
        <row r="97">
          <cell r="G97" t="str">
            <v>E2.2</v>
          </cell>
          <cell r="H97">
            <v>1450</v>
          </cell>
          <cell r="I97">
            <v>0.00827586206896552</v>
          </cell>
        </row>
        <row r="97">
          <cell r="L97">
            <v>9.6</v>
          </cell>
        </row>
        <row r="98">
          <cell r="D98" t="str">
            <v>22 cm Steinwolle (48 kg/m3, 0.034 W/mK) [kg]</v>
          </cell>
        </row>
        <row r="98">
          <cell r="G98" t="str">
            <v>E2.2</v>
          </cell>
          <cell r="H98">
            <v>48</v>
          </cell>
          <cell r="I98">
            <v>22</v>
          </cell>
        </row>
        <row r="98">
          <cell r="L98">
            <v>1.13</v>
          </cell>
        </row>
        <row r="99">
          <cell r="D99" t="str">
            <v>Winpapier (PE Spinnvlies)</v>
          </cell>
        </row>
        <row r="99">
          <cell r="G99" t="str">
            <v>E2.1</v>
          </cell>
          <cell r="H99">
            <v>920</v>
          </cell>
          <cell r="I99">
            <v>0.0239130434782609</v>
          </cell>
        </row>
        <row r="99">
          <cell r="L99">
            <v>5.53</v>
          </cell>
        </row>
        <row r="105">
          <cell r="D105" t="str">
            <v>Fassadenplatte, Aluverbund, 4 mm</v>
          </cell>
        </row>
        <row r="105">
          <cell r="G105" t="str">
            <v>E2.3</v>
          </cell>
          <cell r="H105">
            <v>1775</v>
          </cell>
          <cell r="I105">
            <v>0.4</v>
          </cell>
        </row>
        <row r="105">
          <cell r="L105">
            <v>6.23943661971831</v>
          </cell>
        </row>
        <row r="106">
          <cell r="D106" t="str">
            <v>Aluminiumunterkonstruktion [kg]</v>
          </cell>
        </row>
        <row r="106">
          <cell r="G106" t="str">
            <v>E2.4</v>
          </cell>
          <cell r="H106">
            <v>2690</v>
          </cell>
          <cell r="I106">
            <v>0.124845105328377</v>
          </cell>
        </row>
        <row r="106">
          <cell r="L106">
            <v>5.71</v>
          </cell>
        </row>
        <row r="107">
          <cell r="D107" t="str">
            <v>Dämmstoffdübel [kg]</v>
          </cell>
        </row>
        <row r="107">
          <cell r="G107" t="str">
            <v>E2.2</v>
          </cell>
          <cell r="H107">
            <v>1450</v>
          </cell>
          <cell r="I107">
            <v>0.00827586206896552</v>
          </cell>
        </row>
        <row r="107">
          <cell r="L107">
            <v>9.6</v>
          </cell>
        </row>
        <row r="108">
          <cell r="D108" t="str">
            <v>22 cm Steinwolle (48 kg/m3, 0.034 W/mK) [kg]</v>
          </cell>
        </row>
        <row r="108">
          <cell r="G108" t="str">
            <v>E2.2</v>
          </cell>
          <cell r="H108">
            <v>48</v>
          </cell>
          <cell r="I108">
            <v>22</v>
          </cell>
        </row>
        <row r="108">
          <cell r="L108">
            <v>1.13</v>
          </cell>
        </row>
        <row r="109">
          <cell r="D109" t="str">
            <v>Winpapier (PE Spinnvlies) [kg]</v>
          </cell>
        </row>
        <row r="109">
          <cell r="G109" t="str">
            <v>E2.1</v>
          </cell>
          <cell r="H109">
            <v>920</v>
          </cell>
          <cell r="I109">
            <v>0.0239130434782609</v>
          </cell>
        </row>
        <row r="109">
          <cell r="L109">
            <v>5.53</v>
          </cell>
        </row>
        <row r="113">
          <cell r="D113" t="str">
            <v>10 mm Einscheibensicherheitsglas [kg]</v>
          </cell>
        </row>
        <row r="113">
          <cell r="G113" t="str">
            <v>E2.3</v>
          </cell>
          <cell r="H113">
            <v>2500</v>
          </cell>
          <cell r="I113">
            <v>1</v>
          </cell>
        </row>
        <row r="113">
          <cell r="L113">
            <v>1.16</v>
          </cell>
        </row>
        <row r="114">
          <cell r="D114" t="str">
            <v>Aluminiumunterkonstruktion [kg]</v>
          </cell>
        </row>
        <row r="114">
          <cell r="G114" t="str">
            <v>E2.4</v>
          </cell>
          <cell r="H114">
            <v>2690</v>
          </cell>
          <cell r="I114">
            <v>0.165174514663362</v>
          </cell>
        </row>
        <row r="114">
          <cell r="L114">
            <v>5.71</v>
          </cell>
        </row>
        <row r="115">
          <cell r="D115" t="str">
            <v>Dämmstoffdübel (3 Stk. à 40g pro m2) [kg]</v>
          </cell>
        </row>
        <row r="115">
          <cell r="G115" t="str">
            <v>E2.2</v>
          </cell>
          <cell r="H115">
            <v>1450</v>
          </cell>
          <cell r="I115">
            <v>0.00827586206896552</v>
          </cell>
        </row>
        <row r="115">
          <cell r="L115">
            <v>9.6</v>
          </cell>
        </row>
        <row r="116">
          <cell r="D116" t="str">
            <v>20 cm Glaswolle (38 kg/m3, 0.032 W/mK) [kg]</v>
          </cell>
        </row>
        <row r="116">
          <cell r="G116" t="str">
            <v>E2.2</v>
          </cell>
          <cell r="H116">
            <v>38</v>
          </cell>
          <cell r="I116">
            <v>20</v>
          </cell>
        </row>
        <row r="116">
          <cell r="L116">
            <v>1.13</v>
          </cell>
        </row>
        <row r="117">
          <cell r="D117" t="str">
            <v>Winpapier (PE Spinnvlies)</v>
          </cell>
        </row>
        <row r="117">
          <cell r="G117" t="str">
            <v>E2.1</v>
          </cell>
          <cell r="H117">
            <v>920</v>
          </cell>
          <cell r="I117">
            <v>0.0239130434782609</v>
          </cell>
        </row>
        <row r="117">
          <cell r="L117">
            <v>5.53</v>
          </cell>
        </row>
        <row r="123">
          <cell r="D123" t="str">
            <v>11.5 cm Sichtbackstein Klinker [kg]</v>
          </cell>
        </row>
        <row r="123">
          <cell r="G123" t="str">
            <v>E2.3</v>
          </cell>
          <cell r="H123">
            <v>1700</v>
          </cell>
          <cell r="I123">
            <v>11.5</v>
          </cell>
        </row>
        <row r="123">
          <cell r="L123">
            <v>0.375</v>
          </cell>
        </row>
        <row r="124">
          <cell r="D124" t="str">
            <v>Armierung Chromstahl [kg]</v>
          </cell>
        </row>
        <row r="124">
          <cell r="G124" t="str">
            <v>E2.4</v>
          </cell>
          <cell r="H124">
            <v>7900</v>
          </cell>
          <cell r="I124">
            <v>0.0253164556962025</v>
          </cell>
        </row>
        <row r="124">
          <cell r="L124">
            <v>3.76</v>
          </cell>
        </row>
        <row r="125">
          <cell r="D125" t="str">
            <v>Dämmstoffdübel (3 Stk. à 40g pro m2) [kg]</v>
          </cell>
        </row>
        <row r="125">
          <cell r="G125" t="str">
            <v>E2.2</v>
          </cell>
          <cell r="H125">
            <v>1450</v>
          </cell>
          <cell r="I125">
            <v>0.00827586206896552</v>
          </cell>
        </row>
        <row r="125">
          <cell r="L125">
            <v>9.6</v>
          </cell>
        </row>
        <row r="126">
          <cell r="D126" t="str">
            <v>22 cm Steinwolle (48 kg/m3, 0.034 W/mK) [kg]</v>
          </cell>
        </row>
        <row r="126">
          <cell r="G126" t="str">
            <v>E2.2</v>
          </cell>
          <cell r="H126">
            <v>48</v>
          </cell>
          <cell r="I126">
            <v>22</v>
          </cell>
        </row>
        <row r="126">
          <cell r="L126">
            <v>1.13</v>
          </cell>
        </row>
        <row r="127">
          <cell r="D127" t="str">
            <v>Winpapier (PE Spinnvlies)</v>
          </cell>
        </row>
        <row r="127">
          <cell r="G127" t="str">
            <v>E2.1</v>
          </cell>
          <cell r="H127">
            <v>920</v>
          </cell>
          <cell r="I127">
            <v>0.0239130434782609</v>
          </cell>
        </row>
        <row r="127">
          <cell r="L127">
            <v>5.53</v>
          </cell>
        </row>
        <row r="130">
          <cell r="D130" t="str">
            <v>Pfostenriegel Alu/Glas [m2]</v>
          </cell>
        </row>
        <row r="130">
          <cell r="G130" t="str">
            <v>E2.4</v>
          </cell>
          <cell r="H130">
            <v>10</v>
          </cell>
        </row>
        <row r="130">
          <cell r="L130">
            <v>177</v>
          </cell>
        </row>
        <row r="131">
          <cell r="D131" t="str">
            <v>Lamellenstoren [m2]</v>
          </cell>
        </row>
        <row r="131">
          <cell r="G131" t="str">
            <v>E3.3</v>
          </cell>
          <cell r="H131">
            <v>10</v>
          </cell>
          <cell r="I131">
            <v>10</v>
          </cell>
        </row>
        <row r="131">
          <cell r="L131">
            <v>57.4</v>
          </cell>
        </row>
        <row r="132">
          <cell r="D132" t="str">
            <v>Ausstellstoren [m2]</v>
          </cell>
        </row>
        <row r="132">
          <cell r="G132" t="str">
            <v>E3.3</v>
          </cell>
          <cell r="H132">
            <v>10</v>
          </cell>
          <cell r="I132">
            <v>10</v>
          </cell>
        </row>
        <row r="132">
          <cell r="L132">
            <v>65</v>
          </cell>
        </row>
        <row r="137">
          <cell r="D137" t="str">
            <v>Holz-Metallfenster [m2 i.L.]</v>
          </cell>
        </row>
        <row r="137">
          <cell r="F137">
            <v>0.22</v>
          </cell>
          <cell r="G137" t="str">
            <v>E3.1</v>
          </cell>
        </row>
        <row r="138">
          <cell r="D138" t="str">
            <v>Isolierverglasung 3-fach, Ug-Wert 0.6 W/m2K, Dicke 40 mm [m2]</v>
          </cell>
        </row>
        <row r="138">
          <cell r="F138">
            <v>0.78</v>
          </cell>
          <cell r="G138" t="str">
            <v>E3.1</v>
          </cell>
        </row>
        <row r="139">
          <cell r="D139" t="str">
            <v>Lamellenstoren [m2]</v>
          </cell>
        </row>
        <row r="139">
          <cell r="F139">
            <v>1</v>
          </cell>
          <cell r="G139" t="str">
            <v>E3.3</v>
          </cell>
        </row>
        <row r="144">
          <cell r="D144" t="str">
            <v>Hochbaubeton 25 cm [kg]</v>
          </cell>
        </row>
        <row r="144">
          <cell r="G144" t="str">
            <v>C4.4</v>
          </cell>
          <cell r="H144">
            <v>2300</v>
          </cell>
          <cell r="I144">
            <v>24.7133757961783</v>
          </cell>
        </row>
        <row r="144">
          <cell r="L144">
            <v>0.0992</v>
          </cell>
        </row>
        <row r="145">
          <cell r="D145" t="str">
            <v>Armierungsstahl (Bewehurngsgehalt 90 kg/m3) [kg]</v>
          </cell>
        </row>
        <row r="145">
          <cell r="G145" t="str">
            <v>C4.4</v>
          </cell>
          <cell r="H145">
            <v>7850</v>
          </cell>
          <cell r="I145">
            <v>0.286624203821656</v>
          </cell>
        </row>
        <row r="145">
          <cell r="L145">
            <v>0.682</v>
          </cell>
        </row>
        <row r="146">
          <cell r="D146" t="str">
            <v>3-SP Schalung 2.5cm (Annahme 5xverwendet) [kg]</v>
          </cell>
        </row>
        <row r="146">
          <cell r="G146" t="str">
            <v>C4.4</v>
          </cell>
          <cell r="H146">
            <v>470</v>
          </cell>
          <cell r="I146">
            <v>1</v>
          </cell>
        </row>
        <row r="146">
          <cell r="L146">
            <v>0.523</v>
          </cell>
        </row>
        <row r="147">
          <cell r="D147" t="str">
            <v>Kalk-Zementgrundputz [kg]</v>
          </cell>
        </row>
        <row r="147">
          <cell r="G147" t="str">
            <v>G4.1</v>
          </cell>
          <cell r="H147">
            <v>1550</v>
          </cell>
          <cell r="I147">
            <v>1.16129032258065</v>
          </cell>
        </row>
        <row r="147">
          <cell r="L147">
            <v>0.247</v>
          </cell>
        </row>
        <row r="148">
          <cell r="D148" t="str">
            <v>Deckputz (Weissputz) [kg]</v>
          </cell>
        </row>
        <row r="148">
          <cell r="G148" t="str">
            <v>G4.2</v>
          </cell>
          <cell r="H148">
            <v>1100</v>
          </cell>
          <cell r="I148">
            <v>0.318181818181818</v>
          </cell>
        </row>
        <row r="148">
          <cell r="L148">
            <v>0.147</v>
          </cell>
        </row>
        <row r="149">
          <cell r="D149" t="str">
            <v>Wanddispersion [m2]</v>
          </cell>
        </row>
        <row r="149">
          <cell r="G149" t="str">
            <v>G4.2</v>
          </cell>
          <cell r="H149">
            <v>150</v>
          </cell>
          <cell r="I149">
            <v>0.2</v>
          </cell>
        </row>
        <row r="149">
          <cell r="L149">
            <v>4.53333333333333</v>
          </cell>
        </row>
        <row r="152">
          <cell r="D152" t="str">
            <v>Hochbaubeton 40 cm [kg]</v>
          </cell>
        </row>
        <row r="152">
          <cell r="G152" t="str">
            <v>C4.4</v>
          </cell>
          <cell r="H152">
            <v>2300</v>
          </cell>
          <cell r="I152">
            <v>39.2484076433121</v>
          </cell>
        </row>
        <row r="152">
          <cell r="L152">
            <v>0.0992</v>
          </cell>
        </row>
        <row r="153">
          <cell r="D153" t="str">
            <v>Armierungsstahl (Bewehrungsgehalt 147.5 kg/m3) [kg]</v>
          </cell>
        </row>
        <row r="153">
          <cell r="G153" t="str">
            <v>C4.4</v>
          </cell>
          <cell r="H153">
            <v>7850</v>
          </cell>
          <cell r="I153">
            <v>0.751592356687898</v>
          </cell>
        </row>
        <row r="153">
          <cell r="L153">
            <v>0.682</v>
          </cell>
        </row>
        <row r="154">
          <cell r="D154" t="str">
            <v>3-SP Schalung 2.5 cm (Annahme 5xverwendet) [kg]</v>
          </cell>
        </row>
        <row r="154">
          <cell r="G154" t="str">
            <v>C4.4</v>
          </cell>
          <cell r="H154">
            <v>470</v>
          </cell>
          <cell r="I154">
            <v>1</v>
          </cell>
        </row>
        <row r="154">
          <cell r="L154">
            <v>0.523</v>
          </cell>
        </row>
        <row r="155">
          <cell r="D155" t="str">
            <v>Kalk-Zementgrundputz [kg]</v>
          </cell>
        </row>
        <row r="155">
          <cell r="G155" t="str">
            <v>G4.1</v>
          </cell>
          <cell r="H155">
            <v>1550</v>
          </cell>
          <cell r="I155">
            <v>1.16129032258065</v>
          </cell>
        </row>
        <row r="155">
          <cell r="L155">
            <v>0.247</v>
          </cell>
        </row>
        <row r="156">
          <cell r="D156" t="str">
            <v>Deckputz (Weissputz) [kg]</v>
          </cell>
        </row>
        <row r="156">
          <cell r="G156" t="str">
            <v>G4.2</v>
          </cell>
          <cell r="H156">
            <v>1100</v>
          </cell>
          <cell r="I156">
            <v>0.318181818181818</v>
          </cell>
        </row>
        <row r="156">
          <cell r="L156">
            <v>0.147</v>
          </cell>
        </row>
        <row r="157">
          <cell r="D157" t="str">
            <v>Wanddispersion [m2]</v>
          </cell>
        </row>
        <row r="157">
          <cell r="G157" t="str">
            <v>G4.2</v>
          </cell>
          <cell r="H157">
            <v>150</v>
          </cell>
          <cell r="I157">
            <v>0.2</v>
          </cell>
        </row>
        <row r="157">
          <cell r="L157">
            <v>4.53333333333333</v>
          </cell>
        </row>
        <row r="160">
          <cell r="D160" t="str">
            <v>Hochbaubeton 25 cm [kg]</v>
          </cell>
        </row>
        <row r="160">
          <cell r="G160" t="str">
            <v>C4.4</v>
          </cell>
          <cell r="H160">
            <v>2300</v>
          </cell>
          <cell r="I160">
            <v>24.7452229299363</v>
          </cell>
        </row>
        <row r="160">
          <cell r="L160">
            <v>0.0992</v>
          </cell>
        </row>
        <row r="161">
          <cell r="D161" t="str">
            <v>Armierungsstahl (Bewehrungsgehalt 80 kg/m3) [kg]</v>
          </cell>
        </row>
        <row r="161">
          <cell r="G161" t="str">
            <v>C4.4</v>
          </cell>
          <cell r="H161">
            <v>7850</v>
          </cell>
          <cell r="I161">
            <v>0.254777070063694</v>
          </cell>
        </row>
        <row r="161">
          <cell r="L161">
            <v>0.682</v>
          </cell>
        </row>
        <row r="162">
          <cell r="D162" t="str">
            <v>Stahlblech [kg]</v>
          </cell>
        </row>
        <row r="162">
          <cell r="G162" t="str">
            <v>C4.4</v>
          </cell>
          <cell r="H162">
            <v>7850</v>
          </cell>
          <cell r="I162">
            <v>0.165605095541401</v>
          </cell>
        </row>
        <row r="162">
          <cell r="L162">
            <v>3.51</v>
          </cell>
        </row>
        <row r="163">
          <cell r="D163" t="str">
            <v>Stahlträger [kg]</v>
          </cell>
        </row>
        <row r="163">
          <cell r="G163" t="str">
            <v>C4.4</v>
          </cell>
          <cell r="H163">
            <v>7850</v>
          </cell>
          <cell r="I163">
            <v>0.127388535031847</v>
          </cell>
        </row>
        <row r="163">
          <cell r="L163">
            <v>0.734</v>
          </cell>
        </row>
        <row r="166">
          <cell r="D166" t="str">
            <v>3-SP [kg]</v>
          </cell>
        </row>
        <row r="166">
          <cell r="G166" t="str">
            <v>C4.4</v>
          </cell>
          <cell r="H166">
            <v>470</v>
          </cell>
          <cell r="I166">
            <v>2</v>
          </cell>
        </row>
        <row r="166">
          <cell r="L166">
            <v>0.523</v>
          </cell>
        </row>
        <row r="167">
          <cell r="D167" t="str">
            <v>Nadelschnittholz [kg]</v>
          </cell>
        </row>
        <row r="167">
          <cell r="G167" t="str">
            <v>C4.4</v>
          </cell>
          <cell r="H167">
            <v>465</v>
          </cell>
          <cell r="I167">
            <v>23</v>
          </cell>
        </row>
        <row r="167">
          <cell r="L167">
            <v>0.143</v>
          </cell>
        </row>
        <row r="168">
          <cell r="D168" t="str">
            <v>Nadelschnittholz [kg]</v>
          </cell>
        </row>
        <row r="168">
          <cell r="G168" t="str">
            <v>G4.1</v>
          </cell>
          <cell r="H168">
            <v>485</v>
          </cell>
          <cell r="I168">
            <v>0.4</v>
          </cell>
        </row>
        <row r="168">
          <cell r="L168">
            <v>0.101</v>
          </cell>
        </row>
        <row r="169">
          <cell r="D169" t="str">
            <v>Gipskartonplatte [kg]</v>
          </cell>
        </row>
        <row r="169">
          <cell r="G169" t="str">
            <v>G4.1</v>
          </cell>
          <cell r="H169">
            <v>850</v>
          </cell>
          <cell r="I169">
            <v>1.25</v>
          </cell>
        </row>
        <row r="169">
          <cell r="L169">
            <v>0.293</v>
          </cell>
        </row>
        <row r="170">
          <cell r="D170" t="str">
            <v>Spachtel [kg]</v>
          </cell>
        </row>
        <row r="170">
          <cell r="G170" t="str">
            <v>G4.2</v>
          </cell>
          <cell r="H170">
            <v>925</v>
          </cell>
          <cell r="I170">
            <v>0.605405405405405</v>
          </cell>
        </row>
        <row r="170">
          <cell r="L170">
            <v>0.155</v>
          </cell>
        </row>
        <row r="171">
          <cell r="D171" t="str">
            <v>Wanddispersion [m2]</v>
          </cell>
        </row>
        <row r="171">
          <cell r="G171" t="str">
            <v>G4.2</v>
          </cell>
          <cell r="H171">
            <v>150</v>
          </cell>
          <cell r="I171">
            <v>0.2</v>
          </cell>
        </row>
        <row r="171">
          <cell r="L171">
            <v>4.53333333333333</v>
          </cell>
        </row>
        <row r="174">
          <cell r="D174" t="str">
            <v>Nadelschnittholz [kg]</v>
          </cell>
        </row>
        <row r="174">
          <cell r="G174" t="str">
            <v>C4.4</v>
          </cell>
          <cell r="H174">
            <v>465</v>
          </cell>
          <cell r="I174">
            <v>5.6</v>
          </cell>
        </row>
        <row r="174">
          <cell r="L174">
            <v>0.143</v>
          </cell>
        </row>
        <row r="175">
          <cell r="D175" t="str">
            <v>Sperrholz für Feuchtebreich [kg]</v>
          </cell>
        </row>
        <row r="175">
          <cell r="G175" t="str">
            <v>C4.4</v>
          </cell>
          <cell r="H175">
            <v>500</v>
          </cell>
          <cell r="I175">
            <v>2.4</v>
          </cell>
        </row>
        <row r="175">
          <cell r="L175">
            <v>1.46</v>
          </cell>
        </row>
        <row r="176">
          <cell r="D176" t="str">
            <v>MF-Klebstoff</v>
          </cell>
        </row>
        <row r="176">
          <cell r="G176" t="str">
            <v>C4.4</v>
          </cell>
          <cell r="H176">
            <v>1500</v>
          </cell>
          <cell r="I176">
            <v>0.0186666666666667</v>
          </cell>
        </row>
        <row r="176">
          <cell r="L176">
            <v>5.95</v>
          </cell>
        </row>
        <row r="177">
          <cell r="D177" t="str">
            <v>Nadelschnittholz [kg]</v>
          </cell>
        </row>
        <row r="177">
          <cell r="G177" t="str">
            <v>G4.1</v>
          </cell>
          <cell r="H177">
            <v>485</v>
          </cell>
          <cell r="I177">
            <v>0.4</v>
          </cell>
        </row>
        <row r="177">
          <cell r="L177">
            <v>0.101</v>
          </cell>
        </row>
        <row r="178">
          <cell r="D178" t="str">
            <v>Gipskartonplatte [kg]</v>
          </cell>
        </row>
        <row r="178">
          <cell r="G178" t="str">
            <v>G4.1</v>
          </cell>
          <cell r="H178">
            <v>850</v>
          </cell>
          <cell r="I178">
            <v>1.25</v>
          </cell>
        </row>
        <row r="178">
          <cell r="L178">
            <v>0.293</v>
          </cell>
        </row>
        <row r="179">
          <cell r="D179" t="str">
            <v>Spachtel [kg]</v>
          </cell>
        </row>
        <row r="179">
          <cell r="G179" t="str">
            <v>G4.2</v>
          </cell>
          <cell r="H179">
            <v>925</v>
          </cell>
          <cell r="I179">
            <v>0.605405405405405</v>
          </cell>
        </row>
        <row r="179">
          <cell r="L179">
            <v>0.155</v>
          </cell>
        </row>
        <row r="180">
          <cell r="D180" t="str">
            <v>Wanddispersion [m2]</v>
          </cell>
        </row>
        <row r="180">
          <cell r="G180" t="str">
            <v>G4.2</v>
          </cell>
          <cell r="H180">
            <v>150</v>
          </cell>
          <cell r="I180">
            <v>0.2</v>
          </cell>
        </row>
        <row r="180">
          <cell r="L180">
            <v>4.53333333333333</v>
          </cell>
        </row>
        <row r="185">
          <cell r="D185" t="str">
            <v>EPS 25 Standard, 22 cm, 25 kg/m3 [kg]</v>
          </cell>
        </row>
        <row r="185">
          <cell r="G185" t="str">
            <v>F1.2</v>
          </cell>
          <cell r="H185">
            <v>25</v>
          </cell>
          <cell r="I185">
            <v>22</v>
          </cell>
        </row>
        <row r="185">
          <cell r="L185">
            <v>7.64</v>
          </cell>
        </row>
        <row r="186">
          <cell r="D186" t="str">
            <v>2 x EGV3 Polymerbitumenbahn [kg]</v>
          </cell>
        </row>
        <row r="186">
          <cell r="G186" t="str">
            <v>F1.2</v>
          </cell>
          <cell r="H186">
            <v>1100</v>
          </cell>
          <cell r="I186">
            <v>0.654545454545455</v>
          </cell>
        </row>
        <row r="186">
          <cell r="L186">
            <v>3.54</v>
          </cell>
        </row>
        <row r="187">
          <cell r="D187" t="str">
            <v>Bitumenemulsion [m2]</v>
          </cell>
        </row>
        <row r="187">
          <cell r="G187" t="str">
            <v>F1.2</v>
          </cell>
          <cell r="H187">
            <v>125</v>
          </cell>
          <cell r="I187">
            <v>0.2</v>
          </cell>
        </row>
        <row r="187">
          <cell r="L187">
            <v>2.824</v>
          </cell>
        </row>
        <row r="188">
          <cell r="D188" t="str">
            <v>1x EP4 Polymerbitumenbahn [kg]</v>
          </cell>
        </row>
        <row r="188">
          <cell r="G188" t="str">
            <v>F1.2</v>
          </cell>
          <cell r="H188">
            <v>1100</v>
          </cell>
          <cell r="I188">
            <v>0.472727272727273</v>
          </cell>
        </row>
        <row r="188">
          <cell r="L188">
            <v>3.25</v>
          </cell>
        </row>
        <row r="189">
          <cell r="D189" t="str">
            <v>PP-Vlies Trenn-/Schutzvlies [kg]</v>
          </cell>
        </row>
        <row r="189">
          <cell r="G189" t="str">
            <v>F1.2</v>
          </cell>
          <cell r="H189">
            <v>920</v>
          </cell>
          <cell r="I189">
            <v>0.0152173913043478</v>
          </cell>
        </row>
        <row r="189">
          <cell r="L189">
            <v>5.53</v>
          </cell>
        </row>
        <row r="190">
          <cell r="D190" t="str">
            <v>Kies 3 cm [kg]</v>
          </cell>
        </row>
        <row r="190">
          <cell r="G190" t="str">
            <v>F1.2</v>
          </cell>
          <cell r="H190">
            <v>2000</v>
          </cell>
          <cell r="I190">
            <v>2.25</v>
          </cell>
        </row>
        <row r="190">
          <cell r="L190">
            <v>0.0117</v>
          </cell>
        </row>
        <row r="191">
          <cell r="D191" t="str">
            <v>Substrat 7 cm [kg]</v>
          </cell>
        </row>
        <row r="191">
          <cell r="G191" t="str">
            <v>F1.2</v>
          </cell>
          <cell r="H191">
            <v>2000</v>
          </cell>
          <cell r="I191">
            <v>3.5</v>
          </cell>
        </row>
        <row r="191">
          <cell r="L191">
            <v>0.014</v>
          </cell>
        </row>
        <row r="194">
          <cell r="D194" t="str">
            <v>PUR, 16 cm, 30 kg/m3 [kg]</v>
          </cell>
        </row>
        <row r="194">
          <cell r="G194" t="str">
            <v>F1.2</v>
          </cell>
          <cell r="H194">
            <v>30</v>
          </cell>
          <cell r="I194">
            <v>16</v>
          </cell>
        </row>
        <row r="194">
          <cell r="L194">
            <v>7.52</v>
          </cell>
        </row>
        <row r="195">
          <cell r="D195" t="str">
            <v>2 x EGV3 Polymerbitumenbahn [kg]</v>
          </cell>
        </row>
        <row r="195">
          <cell r="G195" t="str">
            <v>F1.2</v>
          </cell>
          <cell r="H195">
            <v>1100</v>
          </cell>
          <cell r="I195">
            <v>0.654545454545455</v>
          </cell>
        </row>
        <row r="195">
          <cell r="L195">
            <v>3.54</v>
          </cell>
        </row>
        <row r="196">
          <cell r="D196" t="str">
            <v>Bitumenemulsion [m2]</v>
          </cell>
        </row>
        <row r="196">
          <cell r="G196" t="str">
            <v>F1.2</v>
          </cell>
          <cell r="H196">
            <v>125</v>
          </cell>
          <cell r="I196">
            <v>0.2</v>
          </cell>
        </row>
        <row r="196">
          <cell r="L196">
            <v>2.824</v>
          </cell>
        </row>
        <row r="197">
          <cell r="D197" t="str">
            <v>1x EP4 Polymerbitumenbahn [kg]</v>
          </cell>
        </row>
        <row r="197">
          <cell r="G197" t="str">
            <v>F1.2</v>
          </cell>
          <cell r="H197">
            <v>1100</v>
          </cell>
          <cell r="I197">
            <v>0.472727272727273</v>
          </cell>
        </row>
        <row r="197">
          <cell r="L197">
            <v>3.25</v>
          </cell>
        </row>
        <row r="198">
          <cell r="D198" t="str">
            <v>PP-Vlies Trenn-/Schutzvlies [kg]</v>
          </cell>
        </row>
        <row r="198">
          <cell r="G198" t="str">
            <v>F1.2</v>
          </cell>
          <cell r="H198">
            <v>920</v>
          </cell>
          <cell r="I198">
            <v>0.0152173913043478</v>
          </cell>
        </row>
        <row r="198">
          <cell r="L198">
            <v>5.53</v>
          </cell>
        </row>
        <row r="199">
          <cell r="D199" t="str">
            <v>Kies 3 cm [kg]</v>
          </cell>
        </row>
        <row r="199">
          <cell r="G199" t="str">
            <v>F1.2</v>
          </cell>
          <cell r="H199">
            <v>2000</v>
          </cell>
          <cell r="I199">
            <v>2.25</v>
          </cell>
        </row>
        <row r="199">
          <cell r="L199">
            <v>0.0117</v>
          </cell>
        </row>
        <row r="200">
          <cell r="D200" t="str">
            <v>Substrat 7 cm [kg]</v>
          </cell>
        </row>
        <row r="200">
          <cell r="G200" t="str">
            <v>F1.2</v>
          </cell>
          <cell r="H200">
            <v>2000</v>
          </cell>
          <cell r="I200">
            <v>3.5</v>
          </cell>
        </row>
        <row r="200">
          <cell r="L200">
            <v>0.014</v>
          </cell>
        </row>
        <row r="203">
          <cell r="D203" t="str">
            <v>Steinwolle 28 cm, 160kg/m3 [kg]</v>
          </cell>
        </row>
        <row r="203">
          <cell r="G203" t="str">
            <v>F1.2</v>
          </cell>
          <cell r="H203">
            <v>160</v>
          </cell>
          <cell r="I203">
            <v>28</v>
          </cell>
        </row>
        <row r="203">
          <cell r="L203">
            <v>1.13</v>
          </cell>
        </row>
        <row r="204">
          <cell r="D204" t="str">
            <v>2 x EGV3 Polymerbitumenbahn [kg]</v>
          </cell>
        </row>
        <row r="204">
          <cell r="G204" t="str">
            <v>F1.2</v>
          </cell>
          <cell r="H204">
            <v>1100</v>
          </cell>
          <cell r="I204">
            <v>0.654545454545455</v>
          </cell>
        </row>
        <row r="204">
          <cell r="L204">
            <v>3.54</v>
          </cell>
        </row>
        <row r="205">
          <cell r="D205" t="str">
            <v>Bitumenemulsion [m2]</v>
          </cell>
        </row>
        <row r="205">
          <cell r="G205" t="str">
            <v>F1.2</v>
          </cell>
          <cell r="H205">
            <v>125</v>
          </cell>
          <cell r="I205">
            <v>0.2</v>
          </cell>
        </row>
        <row r="205">
          <cell r="L205">
            <v>2.824</v>
          </cell>
        </row>
        <row r="206">
          <cell r="D206" t="str">
            <v>1x EP4 Polymerbitumenbahn [kg]</v>
          </cell>
        </row>
        <row r="206">
          <cell r="G206" t="str">
            <v>F1.2</v>
          </cell>
          <cell r="H206">
            <v>1100</v>
          </cell>
          <cell r="I206">
            <v>0.472727272727273</v>
          </cell>
        </row>
        <row r="206">
          <cell r="L206">
            <v>3.25</v>
          </cell>
        </row>
        <row r="207">
          <cell r="D207" t="str">
            <v>PP-Vlies Trenn-/Schutzvlies [kg]</v>
          </cell>
        </row>
        <row r="207">
          <cell r="G207" t="str">
            <v>F1.2</v>
          </cell>
          <cell r="H207">
            <v>920</v>
          </cell>
          <cell r="I207">
            <v>0.0152173913043478</v>
          </cell>
        </row>
        <row r="207">
          <cell r="L207">
            <v>5.53</v>
          </cell>
        </row>
        <row r="208">
          <cell r="D208" t="str">
            <v>Kies 3 cm [kg]</v>
          </cell>
        </row>
        <row r="208">
          <cell r="G208" t="str">
            <v>F1.2</v>
          </cell>
          <cell r="H208">
            <v>2000</v>
          </cell>
          <cell r="I208">
            <v>2.25</v>
          </cell>
        </row>
        <row r="208">
          <cell r="L208">
            <v>0.0117</v>
          </cell>
        </row>
        <row r="209">
          <cell r="D209" t="str">
            <v>Substrat 7cm [kg]</v>
          </cell>
        </row>
        <row r="209">
          <cell r="G209" t="str">
            <v>F1.2</v>
          </cell>
          <cell r="H209">
            <v>2000</v>
          </cell>
          <cell r="I209">
            <v>3.5</v>
          </cell>
        </row>
        <row r="209">
          <cell r="L209">
            <v>0.014</v>
          </cell>
        </row>
        <row r="215">
          <cell r="D215" t="str">
            <v>Bitumenemulsion [m2]</v>
          </cell>
        </row>
        <row r="215">
          <cell r="G215" t="str">
            <v>F1.2</v>
          </cell>
          <cell r="H215">
            <v>125</v>
          </cell>
          <cell r="I215">
            <v>0.2</v>
          </cell>
        </row>
        <row r="216">
          <cell r="D216" t="str">
            <v>2x EP4 Polymerbitumenbahn [kg]</v>
          </cell>
        </row>
        <row r="216">
          <cell r="G216" t="str">
            <v>F1.2</v>
          </cell>
          <cell r="H216">
            <v>1100</v>
          </cell>
          <cell r="I216">
            <v>0.945454545454546</v>
          </cell>
        </row>
        <row r="217">
          <cell r="D217" t="str">
            <v>PP-Vlies Trenn-/Schutzvlies [kg]</v>
          </cell>
        </row>
        <row r="217">
          <cell r="G217" t="str">
            <v>F1.2</v>
          </cell>
          <cell r="H217">
            <v>920</v>
          </cell>
          <cell r="I217">
            <v>0.0152173913043478</v>
          </cell>
        </row>
        <row r="218">
          <cell r="D218" t="str">
            <v>Kies 3 cm [kg]</v>
          </cell>
        </row>
        <row r="218">
          <cell r="G218" t="str">
            <v>F1.2</v>
          </cell>
          <cell r="H218">
            <v>2000</v>
          </cell>
          <cell r="I218">
            <v>2.25</v>
          </cell>
        </row>
        <row r="219">
          <cell r="D219" t="str">
            <v>Substrat 7 cm [kg]</v>
          </cell>
        </row>
        <row r="219">
          <cell r="G219" t="str">
            <v>F1.2</v>
          </cell>
          <cell r="H219">
            <v>2000</v>
          </cell>
          <cell r="I219">
            <v>3.5</v>
          </cell>
        </row>
        <row r="223">
          <cell r="D223" t="str">
            <v>Konter- und Ziegellattung aus Nadelschnittholz [kg]</v>
          </cell>
        </row>
        <row r="223">
          <cell r="G223" t="str">
            <v>F1.3</v>
          </cell>
          <cell r="H223">
            <v>485</v>
          </cell>
          <cell r="I223">
            <v>0.330379970544919</v>
          </cell>
        </row>
        <row r="224">
          <cell r="D224" t="str">
            <v>Unterdachfolie: PP-Vlies [kg]</v>
          </cell>
        </row>
        <row r="224">
          <cell r="G224" t="str">
            <v>F1.3</v>
          </cell>
          <cell r="H224">
            <v>920</v>
          </cell>
          <cell r="I224">
            <v>0.0152173913043478</v>
          </cell>
        </row>
        <row r="225">
          <cell r="D225" t="str">
            <v>Ziegeleindeckeung [kg]</v>
          </cell>
        </row>
        <row r="225">
          <cell r="G225" t="str">
            <v>F1.3</v>
          </cell>
          <cell r="H225">
            <v>1700</v>
          </cell>
          <cell r="I225">
            <v>2.94117647058823</v>
          </cell>
        </row>
        <row r="226">
          <cell r="D226" t="str">
            <v>Befestigung mit verzinkten Stahlschrauben [kg]</v>
          </cell>
        </row>
        <row r="226">
          <cell r="G226" t="str">
            <v>F1.3</v>
          </cell>
          <cell r="H226">
            <v>7850</v>
          </cell>
          <cell r="I226">
            <v>0.002792559</v>
          </cell>
        </row>
        <row r="227">
          <cell r="D227" t="str">
            <v>Steinwolle (90 kg/m3)</v>
          </cell>
        </row>
        <row r="227">
          <cell r="G227" t="str">
            <v>F1.3</v>
          </cell>
          <cell r="H227">
            <v>90</v>
          </cell>
          <cell r="I227">
            <v>22</v>
          </cell>
        </row>
        <row r="228">
          <cell r="D228" t="str">
            <v>PE Dampfbremse [kg]</v>
          </cell>
        </row>
        <row r="228">
          <cell r="G228" t="str">
            <v>F1.3</v>
          </cell>
          <cell r="H228">
            <v>920</v>
          </cell>
          <cell r="I228">
            <v>0.0195652173913043</v>
          </cell>
        </row>
        <row r="231">
          <cell r="D231" t="str">
            <v>Konter- und Ziegellattung aus Nadelschnittholz [kg]</v>
          </cell>
        </row>
        <row r="231">
          <cell r="G231" t="str">
            <v>F1.3</v>
          </cell>
          <cell r="H231">
            <v>485</v>
          </cell>
          <cell r="I231">
            <v>0.330379970544919</v>
          </cell>
        </row>
        <row r="232">
          <cell r="D232" t="str">
            <v>Unterdachfolie: PP-Vlies [kg]</v>
          </cell>
        </row>
        <row r="232">
          <cell r="G232" t="str">
            <v>F1.3</v>
          </cell>
          <cell r="H232">
            <v>920</v>
          </cell>
          <cell r="I232">
            <v>0.0152173913043478</v>
          </cell>
        </row>
        <row r="233">
          <cell r="D233" t="str">
            <v>Ziegeleindeckeung [kg]</v>
          </cell>
        </row>
        <row r="233">
          <cell r="G233" t="str">
            <v>F1.3</v>
          </cell>
          <cell r="H233">
            <v>1700</v>
          </cell>
          <cell r="I233">
            <v>2.94117647058823</v>
          </cell>
        </row>
        <row r="234">
          <cell r="D234" t="str">
            <v>Befestigung mit verzinkten Stahlschrauben [kg]</v>
          </cell>
        </row>
        <row r="234">
          <cell r="G234" t="str">
            <v>F1.3</v>
          </cell>
          <cell r="H234">
            <v>7850</v>
          </cell>
          <cell r="I234">
            <v>0.002792559</v>
          </cell>
        </row>
        <row r="235">
          <cell r="D235" t="str">
            <v>Glaswolle (60 kg/m3)</v>
          </cell>
        </row>
        <row r="235">
          <cell r="G235" t="str">
            <v>F1.3</v>
          </cell>
          <cell r="H235">
            <v>60</v>
          </cell>
          <cell r="I235">
            <v>22</v>
          </cell>
        </row>
        <row r="236">
          <cell r="D236" t="str">
            <v>PE Dampfbremse [kg]</v>
          </cell>
        </row>
        <row r="236">
          <cell r="G236" t="str">
            <v>F1.3</v>
          </cell>
          <cell r="H236">
            <v>920</v>
          </cell>
          <cell r="I236">
            <v>0.0195652173913043</v>
          </cell>
        </row>
        <row r="242">
          <cell r="D242" t="str">
            <v>Konter- und Ziegellattung aus Nadelschnittholz [kg]</v>
          </cell>
        </row>
        <row r="242">
          <cell r="G242" t="str">
            <v>F1.3</v>
          </cell>
          <cell r="H242">
            <v>485</v>
          </cell>
          <cell r="I242">
            <v>0.330379970544919</v>
          </cell>
        </row>
        <row r="243">
          <cell r="D243" t="str">
            <v>Unterdachfolie: PP-Vlies [kg]</v>
          </cell>
        </row>
        <row r="243">
          <cell r="G243" t="str">
            <v>F1.3</v>
          </cell>
          <cell r="H243">
            <v>920</v>
          </cell>
          <cell r="I243">
            <v>0.0152173913043478</v>
          </cell>
        </row>
        <row r="244">
          <cell r="D244" t="str">
            <v>Ziegeleindeckeung [kg]</v>
          </cell>
        </row>
        <row r="244">
          <cell r="G244" t="str">
            <v>F1.3</v>
          </cell>
          <cell r="H244">
            <v>1700</v>
          </cell>
          <cell r="I244">
            <v>2.94117647058823</v>
          </cell>
        </row>
        <row r="245">
          <cell r="D245" t="str">
            <v>Befestigung mit verzinkten Stahlschrauben [kg]</v>
          </cell>
        </row>
        <row r="245">
          <cell r="G245" t="str">
            <v>F1.3</v>
          </cell>
          <cell r="H245">
            <v>7850</v>
          </cell>
          <cell r="I245">
            <v>0.002792559</v>
          </cell>
        </row>
      </sheetData>
      <sheetData sheetId="4">
        <row r="4">
          <cell r="D4" t="str">
            <v>Hochbaubeton, 20 cm [kg]</v>
          </cell>
        </row>
        <row r="4">
          <cell r="G4" t="str">
            <v>C2.2</v>
          </cell>
          <cell r="H4">
            <v>2300</v>
          </cell>
          <cell r="I4">
            <v>19.7515923566879</v>
          </cell>
        </row>
        <row r="4">
          <cell r="L4">
            <v>0.0992</v>
          </cell>
        </row>
        <row r="5">
          <cell r="D5" t="str">
            <v>Armierungsstahl [kg]</v>
          </cell>
        </row>
        <row r="5">
          <cell r="G5" t="str">
            <v>C2.2</v>
          </cell>
          <cell r="H5">
            <v>7850</v>
          </cell>
          <cell r="I5">
            <v>0.248407643312102</v>
          </cell>
        </row>
        <row r="5">
          <cell r="L5">
            <v>0.682</v>
          </cell>
        </row>
        <row r="6">
          <cell r="D6" t="str">
            <v>3-SP Schalung 2.5cm (Annahme 5xverwendet) [kg]</v>
          </cell>
        </row>
        <row r="6">
          <cell r="G6" t="str">
            <v>C2.2</v>
          </cell>
          <cell r="H6">
            <v>470</v>
          </cell>
          <cell r="I6">
            <v>1</v>
          </cell>
        </row>
        <row r="6">
          <cell r="L6">
            <v>0.523</v>
          </cell>
        </row>
        <row r="7">
          <cell r="D7" t="str">
            <v>Kalk-Zementgrundputz [kg]</v>
          </cell>
        </row>
        <row r="7">
          <cell r="G7" t="str">
            <v>G3.1</v>
          </cell>
          <cell r="H7">
            <v>1550</v>
          </cell>
          <cell r="I7">
            <v>2.32258064516129</v>
          </cell>
        </row>
        <row r="7">
          <cell r="L7">
            <v>0.247</v>
          </cell>
        </row>
        <row r="8">
          <cell r="D8" t="str">
            <v>Deckputz (Weissputz) [kg]</v>
          </cell>
        </row>
        <row r="8">
          <cell r="G8" t="str">
            <v>G3.2</v>
          </cell>
          <cell r="H8">
            <v>1100</v>
          </cell>
          <cell r="I8">
            <v>0.636363636363636</v>
          </cell>
        </row>
        <row r="8">
          <cell r="L8">
            <v>0.147</v>
          </cell>
        </row>
        <row r="9">
          <cell r="D9" t="str">
            <v>Wanddispersion [m2]</v>
          </cell>
        </row>
        <row r="9">
          <cell r="G9" t="str">
            <v>G3.2</v>
          </cell>
          <cell r="H9">
            <v>150</v>
          </cell>
          <cell r="I9">
            <v>0.2</v>
          </cell>
        </row>
        <row r="9">
          <cell r="L9">
            <v>4.53333333333333</v>
          </cell>
        </row>
        <row r="12">
          <cell r="D12" t="str">
            <v>15 cm Backstein [kg]</v>
          </cell>
        </row>
        <row r="12">
          <cell r="G12" t="str">
            <v>C2.2</v>
          </cell>
          <cell r="H12">
            <v>900</v>
          </cell>
          <cell r="I12">
            <v>15</v>
          </cell>
        </row>
        <row r="12">
          <cell r="L12">
            <v>0.258</v>
          </cell>
        </row>
        <row r="13">
          <cell r="D13" t="str">
            <v>Mörtel [kg]</v>
          </cell>
        </row>
        <row r="13">
          <cell r="G13" t="str">
            <v>C2.2</v>
          </cell>
          <cell r="H13">
            <v>1550</v>
          </cell>
          <cell r="I13">
            <v>2.80974193548387</v>
          </cell>
        </row>
        <row r="13">
          <cell r="L13">
            <v>0.269</v>
          </cell>
        </row>
        <row r="14">
          <cell r="D14" t="str">
            <v>Kalk-Zementgrundputz [kg]</v>
          </cell>
        </row>
        <row r="14">
          <cell r="G14" t="str">
            <v>G3.1</v>
          </cell>
          <cell r="H14">
            <v>1550</v>
          </cell>
          <cell r="I14">
            <v>2.32258064516129</v>
          </cell>
        </row>
        <row r="14">
          <cell r="L14">
            <v>0.247</v>
          </cell>
        </row>
        <row r="15">
          <cell r="D15" t="str">
            <v>Deckputz (Weissputz) [kg]</v>
          </cell>
        </row>
        <row r="15">
          <cell r="G15" t="str">
            <v>G3.2</v>
          </cell>
          <cell r="H15">
            <v>1100</v>
          </cell>
          <cell r="I15">
            <v>0.636363636363636</v>
          </cell>
        </row>
        <row r="15">
          <cell r="L15">
            <v>0.147</v>
          </cell>
        </row>
        <row r="16">
          <cell r="D16" t="str">
            <v>Wanddispersion [m2]</v>
          </cell>
        </row>
        <row r="16">
          <cell r="G16" t="str">
            <v>G3.2</v>
          </cell>
          <cell r="H16">
            <v>150</v>
          </cell>
          <cell r="I16">
            <v>0.2</v>
          </cell>
        </row>
        <row r="16">
          <cell r="L16">
            <v>4.53333333333333</v>
          </cell>
        </row>
        <row r="19">
          <cell r="D19" t="str">
            <v>15 cm Kalksandstein [kg]</v>
          </cell>
        </row>
        <row r="19">
          <cell r="G19" t="str">
            <v>C2.2</v>
          </cell>
          <cell r="H19">
            <v>1400</v>
          </cell>
          <cell r="I19">
            <v>15</v>
          </cell>
        </row>
        <row r="19">
          <cell r="L19">
            <v>0.138</v>
          </cell>
        </row>
        <row r="20">
          <cell r="D20" t="str">
            <v>Mörtel [kg]</v>
          </cell>
        </row>
        <row r="20">
          <cell r="G20" t="str">
            <v>C2.2</v>
          </cell>
          <cell r="H20">
            <v>1550</v>
          </cell>
          <cell r="I20">
            <v>2.39354838709677</v>
          </cell>
        </row>
        <row r="20">
          <cell r="L20">
            <v>0.269</v>
          </cell>
        </row>
        <row r="21">
          <cell r="D21" t="str">
            <v>Kalk-Zementgrundputz [kg]</v>
          </cell>
        </row>
        <row r="21">
          <cell r="G21" t="str">
            <v>G3.1</v>
          </cell>
          <cell r="H21">
            <v>1550</v>
          </cell>
          <cell r="I21">
            <v>2.32258064516129</v>
          </cell>
        </row>
        <row r="21">
          <cell r="L21">
            <v>0.247</v>
          </cell>
        </row>
        <row r="22">
          <cell r="D22" t="str">
            <v>Deckputz (Weissputz) [kg]</v>
          </cell>
        </row>
        <row r="22">
          <cell r="G22" t="str">
            <v>G3.2</v>
          </cell>
          <cell r="H22">
            <v>1100</v>
          </cell>
          <cell r="I22">
            <v>0.636363636363636</v>
          </cell>
        </row>
        <row r="22">
          <cell r="L22">
            <v>0.147</v>
          </cell>
        </row>
        <row r="23">
          <cell r="D23" t="str">
            <v>Wanddispersion [m2]</v>
          </cell>
        </row>
        <row r="23">
          <cell r="G23" t="str">
            <v>G3.2</v>
          </cell>
          <cell r="H23">
            <v>150</v>
          </cell>
          <cell r="I23">
            <v>0.2</v>
          </cell>
        </row>
        <row r="23">
          <cell r="L23">
            <v>4.53333333333333</v>
          </cell>
        </row>
        <row r="29">
          <cell r="D29" t="str">
            <v>4 x 12.5 mm Gipskartonplatten [kg]</v>
          </cell>
        </row>
        <row r="29">
          <cell r="G29" t="str">
            <v>C2.2</v>
          </cell>
          <cell r="H29">
            <v>850</v>
          </cell>
          <cell r="I29">
            <v>5</v>
          </cell>
        </row>
        <row r="29">
          <cell r="L29">
            <v>0.293</v>
          </cell>
        </row>
        <row r="30">
          <cell r="D30" t="str">
            <v>Stahlprofile verzinkt [kg]</v>
          </cell>
        </row>
        <row r="30">
          <cell r="G30" t="str">
            <v>C2.2</v>
          </cell>
          <cell r="H30">
            <v>7850</v>
          </cell>
          <cell r="I30">
            <v>0.0336305732484076</v>
          </cell>
        </row>
        <row r="30">
          <cell r="L30">
            <v>0.734</v>
          </cell>
        </row>
        <row r="31">
          <cell r="D31" t="str">
            <v>Glaswolle [kg]</v>
          </cell>
        </row>
        <row r="31">
          <cell r="G31" t="str">
            <v>C2.2</v>
          </cell>
          <cell r="H31">
            <v>20</v>
          </cell>
          <cell r="I31">
            <v>5</v>
          </cell>
        </row>
        <row r="31">
          <cell r="L31">
            <v>1.13</v>
          </cell>
        </row>
        <row r="32">
          <cell r="D32" t="str">
            <v>Spachtel [kg]</v>
          </cell>
        </row>
        <row r="32">
          <cell r="G32" t="str">
            <v>G3.2</v>
          </cell>
          <cell r="H32">
            <v>925</v>
          </cell>
          <cell r="I32">
            <v>1.21081081081081</v>
          </cell>
        </row>
        <row r="32">
          <cell r="L32">
            <v>0.155</v>
          </cell>
        </row>
        <row r="33">
          <cell r="D33" t="str">
            <v>Wanddispersion [m2]</v>
          </cell>
        </row>
        <row r="33">
          <cell r="G33" t="str">
            <v>G3.2</v>
          </cell>
          <cell r="H33">
            <v>150</v>
          </cell>
          <cell r="I33">
            <v>0.2</v>
          </cell>
        </row>
        <row r="33">
          <cell r="L33">
            <v>4.53333333333333</v>
          </cell>
        </row>
        <row r="36">
          <cell r="D36" t="str">
            <v>2 x 12.5 mm und 2 x 10mm Gipsfaserplatten [kg]</v>
          </cell>
        </row>
        <row r="36">
          <cell r="G36" t="str">
            <v>C2.2</v>
          </cell>
          <cell r="H36">
            <v>1200</v>
          </cell>
          <cell r="I36">
            <v>4.5</v>
          </cell>
        </row>
        <row r="36">
          <cell r="L36">
            <v>0.537</v>
          </cell>
        </row>
        <row r="37">
          <cell r="D37" t="str">
            <v>Stahlprofile verzinkt [kg]</v>
          </cell>
        </row>
        <row r="37">
          <cell r="G37" t="str">
            <v>C2.2</v>
          </cell>
          <cell r="H37">
            <v>7850</v>
          </cell>
          <cell r="I37">
            <v>0.0168</v>
          </cell>
        </row>
        <row r="37">
          <cell r="L37">
            <v>0.734</v>
          </cell>
        </row>
        <row r="38">
          <cell r="D38" t="str">
            <v>Steinwolle [kg]</v>
          </cell>
        </row>
        <row r="38">
          <cell r="G38" t="str">
            <v>C2.2</v>
          </cell>
          <cell r="H38">
            <v>32</v>
          </cell>
          <cell r="I38">
            <v>6.25</v>
          </cell>
        </row>
        <row r="38">
          <cell r="L38">
            <v>1.13</v>
          </cell>
        </row>
        <row r="39">
          <cell r="D39" t="str">
            <v>Spachtel [kg]</v>
          </cell>
        </row>
        <row r="39">
          <cell r="G39" t="str">
            <v>G3.2</v>
          </cell>
          <cell r="H39">
            <v>925</v>
          </cell>
          <cell r="I39">
            <v>1.21081081081081</v>
          </cell>
        </row>
        <row r="39">
          <cell r="L39">
            <v>0.155</v>
          </cell>
        </row>
        <row r="40">
          <cell r="D40" t="str">
            <v>Wanddispersion [m2]</v>
          </cell>
        </row>
        <row r="40">
          <cell r="G40" t="str">
            <v>G3.2</v>
          </cell>
          <cell r="H40">
            <v>150</v>
          </cell>
          <cell r="I40">
            <v>0.2</v>
          </cell>
        </row>
        <row r="40">
          <cell r="L40">
            <v>4.53333333333333</v>
          </cell>
        </row>
        <row r="46">
          <cell r="D46" t="str">
            <v>Hochbaubeton 25 cm [kg]</v>
          </cell>
        </row>
        <row r="46">
          <cell r="G46" t="str">
            <v>C4.1</v>
          </cell>
          <cell r="H46">
            <v>2300</v>
          </cell>
          <cell r="I46">
            <v>24.6496815286624</v>
          </cell>
        </row>
        <row r="46">
          <cell r="L46">
            <v>0.0992</v>
          </cell>
        </row>
        <row r="47">
          <cell r="D47" t="str">
            <v>Armierungsstahl (Bewehrungsgehalt 90 kg/m3) [kg]</v>
          </cell>
        </row>
        <row r="47">
          <cell r="G47" t="str">
            <v>C4.1</v>
          </cell>
          <cell r="H47">
            <v>7850</v>
          </cell>
          <cell r="I47">
            <v>0.35031847133758</v>
          </cell>
        </row>
        <row r="47">
          <cell r="L47">
            <v>0.682</v>
          </cell>
        </row>
        <row r="48">
          <cell r="D48" t="str">
            <v>3-SP Schalung 2.5cm (Annahme 5xverwendet) [kg]</v>
          </cell>
        </row>
        <row r="48">
          <cell r="G48" t="str">
            <v>C4.1</v>
          </cell>
          <cell r="H48">
            <v>470</v>
          </cell>
          <cell r="I48">
            <v>1</v>
          </cell>
        </row>
        <row r="48">
          <cell r="L48">
            <v>0.523</v>
          </cell>
        </row>
        <row r="49">
          <cell r="D49" t="str">
            <v>Kalk-Zementgrundputz [kg]</v>
          </cell>
        </row>
        <row r="49">
          <cell r="G49" t="str">
            <v>G4.1</v>
          </cell>
          <cell r="H49">
            <v>1550</v>
          </cell>
          <cell r="I49">
            <v>1.16129032258065</v>
          </cell>
        </row>
        <row r="49">
          <cell r="L49">
            <v>0.247</v>
          </cell>
        </row>
        <row r="50">
          <cell r="D50" t="str">
            <v>Deckputz (Weissputz) [kg]</v>
          </cell>
        </row>
        <row r="50">
          <cell r="G50" t="str">
            <v>G4.2</v>
          </cell>
          <cell r="H50">
            <v>1100</v>
          </cell>
          <cell r="I50">
            <v>0.318181818181818</v>
          </cell>
        </row>
        <row r="50">
          <cell r="L50">
            <v>0.147</v>
          </cell>
        </row>
        <row r="51">
          <cell r="D51" t="str">
            <v>Wanddispersion [m2]</v>
          </cell>
        </row>
        <row r="51">
          <cell r="G51" t="str">
            <v>G4.2</v>
          </cell>
          <cell r="H51">
            <v>150</v>
          </cell>
          <cell r="I51">
            <v>0.2</v>
          </cell>
        </row>
        <row r="51">
          <cell r="L51">
            <v>4.53333333333333</v>
          </cell>
        </row>
        <row r="54">
          <cell r="D54" t="str">
            <v>Nadelschnittholz [kg]</v>
          </cell>
        </row>
        <row r="54">
          <cell r="G54" t="str">
            <v>C4.1</v>
          </cell>
          <cell r="H54">
            <v>465</v>
          </cell>
          <cell r="I54">
            <v>8.96</v>
          </cell>
        </row>
        <row r="54">
          <cell r="L54">
            <v>0.143</v>
          </cell>
        </row>
        <row r="55">
          <cell r="D55" t="str">
            <v>Leim [kg]</v>
          </cell>
        </row>
        <row r="55">
          <cell r="G55" t="str">
            <v>C4.1</v>
          </cell>
          <cell r="H55">
            <v>1500</v>
          </cell>
          <cell r="I55">
            <v>0.0133333333333333</v>
          </cell>
        </row>
        <row r="55">
          <cell r="L55">
            <v>5.95</v>
          </cell>
        </row>
        <row r="56">
          <cell r="D56" t="str">
            <v>Schüttung [kg]</v>
          </cell>
        </row>
        <row r="56">
          <cell r="G56" t="str">
            <v>C4.1</v>
          </cell>
          <cell r="H56">
            <v>2000</v>
          </cell>
          <cell r="I56">
            <v>4</v>
          </cell>
        </row>
        <row r="56">
          <cell r="L56">
            <v>0.0134</v>
          </cell>
        </row>
        <row r="57">
          <cell r="D57" t="str">
            <v>Nadelschnittholz [kg]</v>
          </cell>
        </row>
        <row r="57">
          <cell r="G57" t="str">
            <v>G4.1</v>
          </cell>
          <cell r="H57">
            <v>485</v>
          </cell>
          <cell r="I57">
            <v>0.4</v>
          </cell>
        </row>
        <row r="57">
          <cell r="L57">
            <v>0.101</v>
          </cell>
        </row>
        <row r="58">
          <cell r="D58" t="str">
            <v>Gipskartonplatte [kg]</v>
          </cell>
        </row>
        <row r="58">
          <cell r="G58" t="str">
            <v>G4.1</v>
          </cell>
          <cell r="H58">
            <v>850</v>
          </cell>
          <cell r="I58">
            <v>1.25</v>
          </cell>
        </row>
        <row r="58">
          <cell r="L58">
            <v>0.293</v>
          </cell>
        </row>
        <row r="59">
          <cell r="D59" t="str">
            <v>Spachtel [kg]</v>
          </cell>
        </row>
        <row r="59">
          <cell r="G59" t="str">
            <v>G4.2</v>
          </cell>
          <cell r="H59">
            <v>925</v>
          </cell>
          <cell r="I59">
            <v>0.605405405405405</v>
          </cell>
        </row>
        <row r="59">
          <cell r="L59">
            <v>0.155</v>
          </cell>
        </row>
        <row r="60">
          <cell r="D60" t="str">
            <v>Wanddispersion [m2]</v>
          </cell>
        </row>
        <row r="60">
          <cell r="G60" t="str">
            <v>G4.2</v>
          </cell>
          <cell r="H60">
            <v>150</v>
          </cell>
          <cell r="I60">
            <v>0.2</v>
          </cell>
        </row>
        <row r="60">
          <cell r="L60">
            <v>4.53333333333333</v>
          </cell>
        </row>
        <row r="64">
          <cell r="D64" t="str">
            <v>Hochbaubeton 9cm [kg]</v>
          </cell>
        </row>
        <row r="64">
          <cell r="G64" t="str">
            <v>C4.1</v>
          </cell>
          <cell r="H64">
            <v>2300</v>
          </cell>
          <cell r="I64">
            <v>8.9656050955414</v>
          </cell>
        </row>
        <row r="64">
          <cell r="L64">
            <v>0.0992</v>
          </cell>
        </row>
        <row r="65">
          <cell r="D65" t="str">
            <v>Armierungsstahl [kg]</v>
          </cell>
        </row>
        <row r="65">
          <cell r="G65" t="str">
            <v>C4.1</v>
          </cell>
          <cell r="H65">
            <v>7850</v>
          </cell>
          <cell r="I65">
            <v>0.0343949044585987</v>
          </cell>
        </row>
        <row r="65">
          <cell r="L65">
            <v>0.682</v>
          </cell>
        </row>
        <row r="66">
          <cell r="D66" t="str">
            <v>Nadelschnittholz [kg]</v>
          </cell>
        </row>
        <row r="66">
          <cell r="G66" t="str">
            <v>C4.1</v>
          </cell>
          <cell r="H66">
            <v>485</v>
          </cell>
          <cell r="I66">
            <v>13</v>
          </cell>
        </row>
        <row r="66">
          <cell r="L66">
            <v>0.101</v>
          </cell>
        </row>
        <row r="67">
          <cell r="D67" t="str">
            <v>Nadelschnittholz [kg]</v>
          </cell>
        </row>
        <row r="67">
          <cell r="G67" t="str">
            <v>G4.1</v>
          </cell>
          <cell r="H67">
            <v>485</v>
          </cell>
          <cell r="I67">
            <v>0.4</v>
          </cell>
        </row>
        <row r="67">
          <cell r="L67">
            <v>0.101</v>
          </cell>
        </row>
        <row r="68">
          <cell r="D68" t="str">
            <v>Gipskartonplatte [kg]</v>
          </cell>
        </row>
        <row r="68">
          <cell r="G68" t="str">
            <v>G4.1</v>
          </cell>
          <cell r="H68">
            <v>850</v>
          </cell>
          <cell r="I68">
            <v>1.25</v>
          </cell>
        </row>
        <row r="68">
          <cell r="L68">
            <v>0.293</v>
          </cell>
        </row>
        <row r="69">
          <cell r="D69" t="str">
            <v>Spachtel [kg]</v>
          </cell>
        </row>
        <row r="69">
          <cell r="G69" t="str">
            <v>G4.2</v>
          </cell>
          <cell r="H69">
            <v>925</v>
          </cell>
          <cell r="I69">
            <v>0.605405405405405</v>
          </cell>
        </row>
        <row r="69">
          <cell r="L69">
            <v>0.155</v>
          </cell>
        </row>
        <row r="70">
          <cell r="D70" t="str">
            <v>Wanddispersion [m2]</v>
          </cell>
        </row>
        <row r="70">
          <cell r="G70" t="str">
            <v>G4.2</v>
          </cell>
          <cell r="H70">
            <v>150</v>
          </cell>
          <cell r="I70">
            <v>0.2</v>
          </cell>
        </row>
        <row r="70">
          <cell r="L70">
            <v>4.53333333333333</v>
          </cell>
        </row>
        <row r="73">
          <cell r="D73" t="str">
            <v>Glaswolle (50 kg/m3) [kg]</v>
          </cell>
        </row>
        <row r="73">
          <cell r="G73" t="str">
            <v>G4.1</v>
          </cell>
          <cell r="H73">
            <v>50</v>
          </cell>
          <cell r="I73">
            <v>12</v>
          </cell>
        </row>
        <row r="73">
          <cell r="L73">
            <v>1.13</v>
          </cell>
        </row>
        <row r="74">
          <cell r="D74" t="str">
            <v>PE-Vlies [kg]</v>
          </cell>
        </row>
        <row r="74">
          <cell r="G74" t="str">
            <v>G4.1</v>
          </cell>
          <cell r="H74">
            <v>920</v>
          </cell>
          <cell r="I74">
            <v>0.016304347826087</v>
          </cell>
        </row>
        <row r="74">
          <cell r="L74">
            <v>5.53</v>
          </cell>
        </row>
        <row r="77">
          <cell r="D77" t="str">
            <v>Gipsfaserplatte [kg]</v>
          </cell>
        </row>
        <row r="77">
          <cell r="G77" t="str">
            <v>G4.1</v>
          </cell>
          <cell r="H77">
            <v>1200</v>
          </cell>
          <cell r="I77">
            <v>1.5625</v>
          </cell>
        </row>
        <row r="77">
          <cell r="L77">
            <v>0.537</v>
          </cell>
        </row>
        <row r="78">
          <cell r="D78" t="str">
            <v>Stahlprofile verzinkt [kg]</v>
          </cell>
        </row>
        <row r="78">
          <cell r="G78" t="str">
            <v>G4.1</v>
          </cell>
          <cell r="H78">
            <v>7850</v>
          </cell>
          <cell r="I78">
            <v>0.0280254777070064</v>
          </cell>
        </row>
        <row r="78">
          <cell r="L78">
            <v>0.734</v>
          </cell>
        </row>
        <row r="79">
          <cell r="D79" t="str">
            <v>Spachtel [kg]</v>
          </cell>
        </row>
        <row r="79">
          <cell r="G79" t="str">
            <v>G4.2</v>
          </cell>
          <cell r="H79">
            <v>925</v>
          </cell>
          <cell r="I79">
            <v>0.605405405405405</v>
          </cell>
        </row>
        <row r="79">
          <cell r="L79">
            <v>0.155</v>
          </cell>
        </row>
        <row r="80">
          <cell r="D80" t="str">
            <v>Wanddispersion [m2]</v>
          </cell>
        </row>
        <row r="80">
          <cell r="G80" t="str">
            <v>G4.2</v>
          </cell>
          <cell r="H80">
            <v>150</v>
          </cell>
          <cell r="I80">
            <v>0.2</v>
          </cell>
        </row>
        <row r="80">
          <cell r="L80">
            <v>4.53333333333333</v>
          </cell>
        </row>
        <row r="83">
          <cell r="D83" t="str">
            <v>Stahlblech verzinkt [kg]</v>
          </cell>
        </row>
        <row r="83">
          <cell r="G83" t="str">
            <v>G4.2</v>
          </cell>
          <cell r="H83">
            <v>7850</v>
          </cell>
          <cell r="I83">
            <v>0.06</v>
          </cell>
        </row>
        <row r="83">
          <cell r="L83">
            <v>3.51</v>
          </cell>
        </row>
        <row r="84">
          <cell r="D84" t="str">
            <v>Pulverbeschichten Stahl [m2]</v>
          </cell>
        </row>
        <row r="84">
          <cell r="G84" t="str">
            <v>G4.2</v>
          </cell>
          <cell r="H84">
            <v>1000</v>
          </cell>
          <cell r="I84">
            <v>0.01</v>
          </cell>
        </row>
        <row r="84">
          <cell r="L84">
            <v>45</v>
          </cell>
        </row>
        <row r="85">
          <cell r="D85" t="str">
            <v>Akustikvlies [kg]</v>
          </cell>
        </row>
        <row r="85">
          <cell r="G85" t="str">
            <v>G4.2</v>
          </cell>
          <cell r="H85">
            <v>920</v>
          </cell>
          <cell r="I85">
            <v>0.00815217391304348</v>
          </cell>
        </row>
        <row r="85">
          <cell r="L85">
            <v>5.53</v>
          </cell>
        </row>
        <row r="86">
          <cell r="D86" t="str">
            <v>Stahlprofile verzinkt [kg]</v>
          </cell>
        </row>
        <row r="86">
          <cell r="G86" t="str">
            <v>G4.1</v>
          </cell>
          <cell r="H86">
            <v>7850</v>
          </cell>
          <cell r="I86">
            <v>0.0280254777070064</v>
          </cell>
        </row>
        <row r="86">
          <cell r="L86">
            <v>0.734</v>
          </cell>
        </row>
        <row r="93">
          <cell r="D93" t="str">
            <v>Linoleum [m2]</v>
          </cell>
        </row>
        <row r="93">
          <cell r="G93" t="str">
            <v>G2.2</v>
          </cell>
          <cell r="H93">
            <v>1160</v>
          </cell>
          <cell r="I93">
            <v>0.25</v>
          </cell>
        </row>
        <row r="93">
          <cell r="L93">
            <v>2.19310344827586</v>
          </cell>
        </row>
        <row r="94">
          <cell r="D94" t="str">
            <v>Klebstoff [kg]</v>
          </cell>
        </row>
        <row r="94">
          <cell r="G94" t="str">
            <v>G2.2</v>
          </cell>
          <cell r="H94">
            <v>1500</v>
          </cell>
          <cell r="I94">
            <v>0.0266666666666667</v>
          </cell>
        </row>
        <row r="94">
          <cell r="L94">
            <v>5.95</v>
          </cell>
        </row>
        <row r="97">
          <cell r="D97" t="str">
            <v>Parkett 2-Schicht werkversiegelt, 11 mm [m2]</v>
          </cell>
        </row>
        <row r="97">
          <cell r="G97" t="str">
            <v>G2.2</v>
          </cell>
          <cell r="H97">
            <v>554.545454545455</v>
          </cell>
          <cell r="I97">
            <v>1.1</v>
          </cell>
        </row>
        <row r="97">
          <cell r="L97">
            <v>1.23114754098361</v>
          </cell>
        </row>
        <row r="98">
          <cell r="D98" t="str">
            <v>Klebstoff [kg]</v>
          </cell>
        </row>
        <row r="98">
          <cell r="G98" t="str">
            <v>G2.2</v>
          </cell>
          <cell r="H98">
            <v>1500</v>
          </cell>
          <cell r="I98">
            <v>0.0666666666666667</v>
          </cell>
        </row>
        <row r="98">
          <cell r="L98">
            <v>5.95</v>
          </cell>
        </row>
        <row r="104">
          <cell r="D104" t="str">
            <v>Parkett 2-Schicht werkversiegelt, 11 mm [m2]</v>
          </cell>
        </row>
        <row r="104">
          <cell r="G104" t="str">
            <v>G2.2</v>
          </cell>
          <cell r="H104">
            <v>554.545454545455</v>
          </cell>
          <cell r="I104">
            <v>1.1</v>
          </cell>
        </row>
        <row r="104">
          <cell r="L104">
            <v>1.23114754098361</v>
          </cell>
        </row>
        <row r="105">
          <cell r="D105" t="str">
            <v>Klebstoff [kg]</v>
          </cell>
        </row>
        <row r="105">
          <cell r="G105" t="str">
            <v>G2.2</v>
          </cell>
          <cell r="H105">
            <v>1500</v>
          </cell>
          <cell r="I105">
            <v>0.0666666666666667</v>
          </cell>
        </row>
        <row r="105">
          <cell r="L105">
            <v>5.95</v>
          </cell>
        </row>
        <row r="106">
          <cell r="D106" t="str">
            <v>Zementunterlagsboden 7cm [kg]</v>
          </cell>
        </row>
        <row r="106">
          <cell r="G106" t="str">
            <v>G2.1</v>
          </cell>
          <cell r="H106">
            <v>1700</v>
          </cell>
          <cell r="I106">
            <v>7.61764705882353</v>
          </cell>
        </row>
        <row r="106">
          <cell r="L106">
            <v>0.129</v>
          </cell>
        </row>
        <row r="107">
          <cell r="D107" t="str">
            <v>PE-Folie</v>
          </cell>
        </row>
        <row r="107">
          <cell r="G107" t="str">
            <v>G2.1</v>
          </cell>
          <cell r="H107">
            <v>920</v>
          </cell>
          <cell r="I107">
            <v>0.016304347826087</v>
          </cell>
        </row>
        <row r="107">
          <cell r="L107">
            <v>5.33</v>
          </cell>
        </row>
        <row r="108">
          <cell r="D108" t="str">
            <v>Trittschall 2cm EPS</v>
          </cell>
        </row>
        <row r="108">
          <cell r="G108" t="str">
            <v>G2.1</v>
          </cell>
          <cell r="H108">
            <v>13</v>
          </cell>
          <cell r="I108">
            <v>2</v>
          </cell>
        </row>
        <row r="108">
          <cell r="L108">
            <v>7.64</v>
          </cell>
        </row>
        <row r="111">
          <cell r="D111" t="str">
            <v>Keramikplatten 9mm [m2]</v>
          </cell>
        </row>
        <row r="111">
          <cell r="G111" t="str">
            <v>G2.2</v>
          </cell>
          <cell r="H111">
            <v>2000</v>
          </cell>
        </row>
        <row r="111">
          <cell r="L111">
            <v>0.777777777777778</v>
          </cell>
        </row>
        <row r="112">
          <cell r="D112" t="str">
            <v>Klebemörtel [kg]</v>
          </cell>
        </row>
        <row r="112">
          <cell r="G112" t="str">
            <v>G2.2</v>
          </cell>
          <cell r="H112">
            <v>1400</v>
          </cell>
          <cell r="I112">
            <v>0.928571428571429</v>
          </cell>
        </row>
        <row r="112">
          <cell r="L112">
            <v>0.406</v>
          </cell>
        </row>
        <row r="113">
          <cell r="D113" t="str">
            <v>Zementunterlagsboden 7cm [kg]</v>
          </cell>
        </row>
        <row r="113">
          <cell r="G113" t="str">
            <v>G2.1</v>
          </cell>
          <cell r="H113">
            <v>1700</v>
          </cell>
          <cell r="I113">
            <v>7.61764705882353</v>
          </cell>
        </row>
        <row r="113">
          <cell r="L113">
            <v>0.129</v>
          </cell>
        </row>
        <row r="114">
          <cell r="D114" t="str">
            <v>PE-Folie</v>
          </cell>
        </row>
        <row r="114">
          <cell r="G114" t="str">
            <v>G2.1</v>
          </cell>
          <cell r="H114">
            <v>920</v>
          </cell>
          <cell r="I114">
            <v>0.016304347826087</v>
          </cell>
        </row>
        <row r="114">
          <cell r="L114">
            <v>5.33</v>
          </cell>
        </row>
        <row r="115">
          <cell r="D115" t="str">
            <v>Trittschall 2cm EPS</v>
          </cell>
        </row>
        <row r="115">
          <cell r="G115" t="str">
            <v>G2.1</v>
          </cell>
          <cell r="H115">
            <v>13</v>
          </cell>
          <cell r="I115">
            <v>2</v>
          </cell>
        </row>
        <row r="115">
          <cell r="L115">
            <v>7.64</v>
          </cell>
        </row>
        <row r="124">
          <cell r="D124" t="str">
            <v>Balkonkragplatte Ortbeton [kg]</v>
          </cell>
        </row>
        <row r="124">
          <cell r="G124" t="str">
            <v>C4.3</v>
          </cell>
          <cell r="H124">
            <v>2300</v>
          </cell>
          <cell r="I124">
            <v>20.375</v>
          </cell>
        </row>
        <row r="124">
          <cell r="L124">
            <v>0.0992</v>
          </cell>
        </row>
        <row r="125">
          <cell r="D125" t="str">
            <v>Bewehrungsstahl [kg]</v>
          </cell>
        </row>
        <row r="125">
          <cell r="G125" t="str">
            <v>C4.3</v>
          </cell>
          <cell r="H125">
            <v>7850</v>
          </cell>
          <cell r="I125">
            <v>0.223328025477707</v>
          </cell>
        </row>
        <row r="125">
          <cell r="L125">
            <v>0.682</v>
          </cell>
        </row>
        <row r="126">
          <cell r="D126" t="str">
            <v>3-SP Schalung 2.5 cm (Annahme 5xverwendet) [kg]</v>
          </cell>
        </row>
        <row r="126">
          <cell r="G126" t="str">
            <v>C4.3</v>
          </cell>
          <cell r="H126">
            <v>470</v>
          </cell>
          <cell r="I126">
            <v>1</v>
          </cell>
        </row>
        <row r="126">
          <cell r="L126">
            <v>0.523</v>
          </cell>
        </row>
        <row r="127">
          <cell r="D127" t="str">
            <v>Chromstahl (Kragplattenanschluss) [kg]</v>
          </cell>
        </row>
        <row r="127">
          <cell r="G127" t="str">
            <v>C4.3</v>
          </cell>
          <cell r="H127">
            <v>7900</v>
          </cell>
          <cell r="I127">
            <v>0.0594936708860759</v>
          </cell>
        </row>
        <row r="127">
          <cell r="L127">
            <v>3.76</v>
          </cell>
        </row>
        <row r="128">
          <cell r="D128" t="str">
            <v>XPS (Kragplattenanschluss)[kg]</v>
          </cell>
        </row>
        <row r="128">
          <cell r="G128" t="str">
            <v>C4.3</v>
          </cell>
          <cell r="H128">
            <v>35</v>
          </cell>
          <cell r="I128">
            <v>0.857142857142857</v>
          </cell>
        </row>
        <row r="128">
          <cell r="L128">
            <v>14.5</v>
          </cell>
        </row>
        <row r="129">
          <cell r="D129" t="str">
            <v>Harbetonüberzug [kg]</v>
          </cell>
        </row>
        <row r="129">
          <cell r="G129" t="str">
            <v>G2.2</v>
          </cell>
          <cell r="H129">
            <v>2101.81818181818</v>
          </cell>
          <cell r="I129">
            <v>2.75</v>
          </cell>
        </row>
        <row r="129">
          <cell r="L129">
            <v>0.292387543252595</v>
          </cell>
        </row>
        <row r="130">
          <cell r="D130" t="str">
            <v>Metallstabgeländer [kg]</v>
          </cell>
        </row>
        <row r="130">
          <cell r="G130" t="str">
            <v>E2.6</v>
          </cell>
          <cell r="H130">
            <v>7850</v>
          </cell>
          <cell r="I130">
            <v>0.165764331210191</v>
          </cell>
        </row>
        <row r="130">
          <cell r="L130">
            <v>3.51</v>
          </cell>
        </row>
      </sheetData>
      <sheetData sheetId="5"/>
      <sheetData sheetId="6">
        <row r="69">
          <cell r="S69">
            <v>0.0117</v>
          </cell>
        </row>
        <row r="70">
          <cell r="S70">
            <v>0.014</v>
          </cell>
        </row>
        <row r="73">
          <cell r="S73">
            <v>0.375</v>
          </cell>
        </row>
        <row r="101">
          <cell r="S101">
            <v>217</v>
          </cell>
        </row>
        <row r="109">
          <cell r="S109">
            <v>66.8</v>
          </cell>
        </row>
        <row r="117">
          <cell r="S117">
            <v>57.4</v>
          </cell>
        </row>
        <row r="133">
          <cell r="S133">
            <v>3.51</v>
          </cell>
        </row>
        <row r="155">
          <cell r="S155">
            <v>0.101</v>
          </cell>
        </row>
        <row r="173">
          <cell r="S173">
            <v>3.25</v>
          </cell>
        </row>
        <row r="187">
          <cell r="S187">
            <v>5.33</v>
          </cell>
        </row>
        <row r="188">
          <cell r="S188">
            <v>5.53</v>
          </cell>
        </row>
        <row r="197">
          <cell r="S197">
            <v>1.13</v>
          </cell>
        </row>
        <row r="207">
          <cell r="S207">
            <v>1.13</v>
          </cell>
        </row>
        <row r="260">
          <cell r="S260">
            <v>0.706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B3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0.921875" defaultRowHeight="15" zeroHeight="false" outlineLevelRow="0" outlineLevelCol="0"/>
  <cols>
    <col collapsed="false" customWidth="true" hidden="false" outlineLevel="0" max="3" min="3" style="0" width="86.85"/>
  </cols>
  <sheetData>
    <row r="3" customFormat="false" ht="25.5" hidden="false" customHeight="false" outlineLevel="0" collapsed="false">
      <c r="B3" s="1" t="s">
        <v>0</v>
      </c>
      <c r="C3" s="1"/>
    </row>
    <row r="4" customFormat="false" ht="18.75" hidden="false" customHeight="false" outlineLevel="0" collapsed="false">
      <c r="B4" s="2" t="s">
        <v>1</v>
      </c>
      <c r="C4" s="3" t="s">
        <v>2</v>
      </c>
    </row>
    <row r="5" customFormat="false" ht="18.75" hidden="false" customHeight="false" outlineLevel="0" collapsed="false">
      <c r="B5" s="2"/>
      <c r="C5" s="3" t="s">
        <v>3</v>
      </c>
    </row>
    <row r="6" customFormat="false" ht="18.75" hidden="false" customHeight="false" outlineLevel="0" collapsed="false">
      <c r="B6" s="2"/>
      <c r="C6" s="3" t="s">
        <v>4</v>
      </c>
    </row>
    <row r="7" customFormat="false" ht="18.75" hidden="false" customHeight="false" outlineLevel="0" collapsed="false">
      <c r="B7" s="2"/>
      <c r="C7" s="3" t="s">
        <v>5</v>
      </c>
    </row>
    <row r="8" customFormat="false" ht="18.75" hidden="false" customHeight="false" outlineLevel="0" collapsed="false">
      <c r="B8" s="2"/>
      <c r="C8" s="3" t="s">
        <v>6</v>
      </c>
    </row>
    <row r="9" customFormat="false" ht="18.75" hidden="false" customHeight="false" outlineLevel="0" collapsed="false">
      <c r="B9" s="2"/>
      <c r="C9" s="3" t="s">
        <v>7</v>
      </c>
    </row>
    <row r="10" customFormat="false" ht="18.75" hidden="false" customHeight="false" outlineLevel="0" collapsed="false">
      <c r="B10" s="2"/>
      <c r="C10" s="3"/>
    </row>
    <row r="11" customFormat="false" ht="18.75" hidden="false" customHeight="false" outlineLevel="0" collapsed="false">
      <c r="B11" s="2" t="s">
        <v>8</v>
      </c>
      <c r="C11" s="3" t="s">
        <v>5</v>
      </c>
    </row>
    <row r="12" customFormat="false" ht="16.5" hidden="false" customHeight="false" outlineLevel="0" collapsed="false">
      <c r="B12" s="3"/>
      <c r="C12" s="3" t="s">
        <v>6</v>
      </c>
    </row>
    <row r="13" customFormat="false" ht="16.5" hidden="false" customHeight="false" outlineLevel="0" collapsed="false">
      <c r="B13" s="3"/>
      <c r="C13" s="3" t="s">
        <v>9</v>
      </c>
    </row>
    <row r="14" customFormat="false" ht="16.5" hidden="false" customHeight="false" outlineLevel="0" collapsed="false">
      <c r="B14" s="3"/>
      <c r="C14" s="4" t="s">
        <v>10</v>
      </c>
    </row>
    <row r="17" customFormat="false" ht="25.5" hidden="false" customHeight="false" outlineLevel="0" collapsed="false">
      <c r="C17" s="5" t="s">
        <v>11</v>
      </c>
    </row>
    <row r="18" customFormat="false" ht="16.5" hidden="false" customHeight="false" outlineLevel="0" collapsed="false">
      <c r="C18" s="3" t="s">
        <v>12</v>
      </c>
    </row>
    <row r="19" customFormat="false" ht="16.5" hidden="false" customHeight="false" outlineLevel="0" collapsed="false">
      <c r="C19" s="3" t="s">
        <v>13</v>
      </c>
    </row>
    <row r="20" customFormat="false" ht="16.5" hidden="false" customHeight="false" outlineLevel="0" collapsed="false">
      <c r="C20" s="3" t="s">
        <v>14</v>
      </c>
    </row>
    <row r="21" customFormat="false" ht="16.5" hidden="false" customHeight="false" outlineLevel="0" collapsed="false">
      <c r="C21" s="3" t="s">
        <v>15</v>
      </c>
    </row>
    <row r="22" customFormat="false" ht="16.5" hidden="false" customHeight="false" outlineLevel="0" collapsed="false">
      <c r="C22" s="3" t="s">
        <v>16</v>
      </c>
    </row>
    <row r="23" customFormat="false" ht="16.5" hidden="false" customHeight="false" outlineLevel="0" collapsed="false">
      <c r="C23" s="3" t="s">
        <v>17</v>
      </c>
    </row>
    <row r="24" customFormat="false" ht="16.5" hidden="false" customHeight="false" outlineLevel="0" collapsed="false">
      <c r="C24" s="3" t="s">
        <v>18</v>
      </c>
    </row>
    <row r="25" customFormat="false" ht="16.5" hidden="false" customHeight="false" outlineLevel="0" collapsed="false">
      <c r="C25" s="3" t="s">
        <v>19</v>
      </c>
    </row>
    <row r="26" customFormat="false" ht="16.5" hidden="false" customHeight="false" outlineLevel="0" collapsed="false">
      <c r="C26" s="3" t="s">
        <v>20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3:AJ41"/>
  <sheetViews>
    <sheetView showFormulas="false" showGridLines="true" showRowColHeaders="true" showZeros="true" rightToLeft="false" tabSelected="false" showOutlineSymbols="true" defaultGridColor="true" view="normal" topLeftCell="I1" colorId="64" zoomScale="70" zoomScaleNormal="70" zoomScalePageLayoutView="100" workbookViewId="0">
      <selection pane="topLeft" activeCell="Q4" activeCellId="0" sqref="Q4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56.43"/>
    <col collapsed="false" customWidth="true" hidden="false" outlineLevel="0" max="4" min="4" style="51" width="8.86"/>
    <col collapsed="false" customWidth="true" hidden="false" outlineLevel="0" max="5" min="5" style="0" width="15.42"/>
    <col collapsed="false" customWidth="true" hidden="false" outlineLevel="0" max="6" min="6" style="0" width="13.43"/>
    <col collapsed="false" customWidth="true" hidden="false" outlineLevel="0" max="7" min="7" style="0" width="10.42"/>
    <col collapsed="false" customWidth="true" hidden="false" outlineLevel="0" max="8" min="8" style="0" width="19.85"/>
    <col collapsed="false" customWidth="true" hidden="false" outlineLevel="0" max="10" min="9" style="0" width="17.4"/>
    <col collapsed="false" customWidth="true" hidden="false" outlineLevel="0" max="11" min="11" style="0" width="11.86"/>
    <col collapsed="false" customWidth="true" hidden="false" outlineLevel="0" max="12" min="12" style="0" width="15.71"/>
    <col collapsed="false" customWidth="true" hidden="false" outlineLevel="0" max="13" min="13" style="0" width="15.42"/>
    <col collapsed="false" customWidth="true" hidden="false" outlineLevel="0" max="14" min="14" style="51" width="24"/>
    <col collapsed="false" customWidth="true" hidden="false" outlineLevel="0" max="15" min="15" style="0" width="12.42"/>
    <col collapsed="false" customWidth="true" hidden="false" outlineLevel="0" max="16" min="16" style="0" width="34.42"/>
    <col collapsed="false" customWidth="true" hidden="false" outlineLevel="0" max="17" min="17" style="0" width="45.42"/>
    <col collapsed="false" customWidth="true" hidden="false" outlineLevel="0" max="18" min="18" style="51" width="8.86"/>
    <col collapsed="false" customWidth="true" hidden="false" outlineLevel="0" max="19" min="19" style="0" width="15.42"/>
    <col collapsed="false" customWidth="true" hidden="false" outlineLevel="0" max="20" min="20" style="0" width="13.43"/>
    <col collapsed="false" customWidth="true" hidden="false" outlineLevel="0" max="21" min="21" style="0" width="10.42"/>
    <col collapsed="false" customWidth="true" hidden="false" outlineLevel="0" max="22" min="22" style="0" width="19.85"/>
    <col collapsed="false" customWidth="true" hidden="false" outlineLevel="0" max="23" min="23" style="0" width="17.4"/>
    <col collapsed="false" customWidth="true" hidden="false" outlineLevel="0" max="24" min="24" style="0" width="15.42"/>
    <col collapsed="false" customWidth="true" hidden="false" outlineLevel="0" max="25" min="25" style="0" width="11.86"/>
    <col collapsed="false" customWidth="true" hidden="false" outlineLevel="0" max="26" min="26" style="51" width="28.3"/>
    <col collapsed="false" customWidth="true" hidden="false" outlineLevel="0" max="27" min="27" style="51" width="30.14"/>
    <col collapsed="false" customWidth="true" hidden="false" outlineLevel="0" max="28" min="28" style="51" width="18.85"/>
    <col collapsed="false" customWidth="true" hidden="false" outlineLevel="0" max="29" min="29" style="51" width="33"/>
    <col collapsed="false" customWidth="true" hidden="false" outlineLevel="0" max="30" min="30" style="51" width="34.29"/>
    <col collapsed="false" customWidth="true" hidden="false" outlineLevel="0" max="31" min="31" style="51" width="31.43"/>
    <col collapsed="false" customWidth="true" hidden="false" outlineLevel="0" max="32" min="32" style="51" width="26.71"/>
    <col collapsed="false" customWidth="true" hidden="false" outlineLevel="0" max="33" min="33" style="51" width="25.71"/>
    <col collapsed="false" customWidth="true" hidden="false" outlineLevel="0" max="34" min="34" style="51" width="42.4"/>
    <col collapsed="false" customWidth="true" hidden="false" outlineLevel="0" max="35" min="35" style="0" width="5.7"/>
    <col collapsed="false" customWidth="true" hidden="false" outlineLevel="0" max="36" min="36" style="0" width="5.43"/>
  </cols>
  <sheetData>
    <row r="3" customFormat="false" ht="20.25" hidden="false" customHeight="false" outlineLevel="0" collapsed="false">
      <c r="B3" s="6" t="s">
        <v>256</v>
      </c>
      <c r="C3" s="37" t="s">
        <v>257</v>
      </c>
      <c r="D3" s="52" t="s">
        <v>258</v>
      </c>
      <c r="E3" s="37" t="s">
        <v>259</v>
      </c>
      <c r="F3" s="37" t="s">
        <v>260</v>
      </c>
      <c r="G3" s="37" t="s">
        <v>261</v>
      </c>
      <c r="H3" s="53" t="s">
        <v>262</v>
      </c>
      <c r="I3" s="37" t="s">
        <v>263</v>
      </c>
      <c r="J3" s="8" t="s">
        <v>102</v>
      </c>
      <c r="K3" s="7"/>
      <c r="L3" s="64" t="s">
        <v>277</v>
      </c>
      <c r="M3" s="64" t="s">
        <v>278</v>
      </c>
      <c r="N3" s="64" t="s">
        <v>279</v>
      </c>
      <c r="P3" s="6" t="s">
        <v>256</v>
      </c>
      <c r="Q3" s="37" t="s">
        <v>257</v>
      </c>
      <c r="R3" s="52" t="s">
        <v>258</v>
      </c>
      <c r="S3" s="37" t="s">
        <v>259</v>
      </c>
      <c r="T3" s="37" t="s">
        <v>260</v>
      </c>
      <c r="U3" s="37" t="s">
        <v>261</v>
      </c>
      <c r="V3" s="53" t="s">
        <v>262</v>
      </c>
      <c r="W3" s="37" t="s">
        <v>263</v>
      </c>
      <c r="X3" s="8" t="s">
        <v>102</v>
      </c>
      <c r="Y3" s="7"/>
      <c r="Z3" s="64" t="s">
        <v>284</v>
      </c>
      <c r="AA3" s="64" t="s">
        <v>287</v>
      </c>
      <c r="AB3" s="64" t="s">
        <v>288</v>
      </c>
      <c r="AC3" s="64" t="s">
        <v>273</v>
      </c>
      <c r="AD3" s="64" t="s">
        <v>274</v>
      </c>
      <c r="AE3" s="64" t="s">
        <v>275</v>
      </c>
      <c r="AF3" s="64" t="s">
        <v>276</v>
      </c>
      <c r="AG3" s="64" t="s">
        <v>305</v>
      </c>
      <c r="AH3" s="64" t="s">
        <v>306</v>
      </c>
      <c r="AI3" s="76" t="str">
        <f aca="false">VLOOKUP($B$4,Database!$D$20:$E$20,2,FALSE())</f>
        <v>3a</v>
      </c>
      <c r="AJ3" s="76" t="str">
        <f aca="false">VLOOKUP($P$6,Database!$D$21:$E$22,2,FALSE())</f>
        <v>13a</v>
      </c>
    </row>
    <row r="4" customFormat="false" ht="15.75" hidden="false" customHeight="false" outlineLevel="0" collapsed="false">
      <c r="B4" s="37" t="s">
        <v>97</v>
      </c>
      <c r="C4" s="54" t="str">
        <f aca="false">HLOOKUP($AI$3,'Daten-Zusammensetzung Bauteil'!$B$4:$BC$7,Database!$B4,FALSE())</f>
        <v>Holz-Metallfenster [m2 i.L.]</v>
      </c>
      <c r="D4" s="55" t="str">
        <f aca="false">HLOOKUP($AI$3,'Daten-Funktion'!$B$4:$BC$7,Database!$B4,FALSE())</f>
        <v>E3.1</v>
      </c>
      <c r="E4" s="54" t="n">
        <f aca="false">HLOOKUP($AI$3,'Daten-THGE'!$B$4:$BC$7,Database!$B4,FALSE())</f>
        <v>7.23333333333333</v>
      </c>
      <c r="F4" s="54" t="n">
        <f aca="false">HLOOKUP($AI$3,'Daten-Dichte'!$B$4:$BC$7,Database!$B4,FALSE())</f>
        <v>0.22</v>
      </c>
      <c r="G4" s="54"/>
      <c r="H4" s="9"/>
      <c r="I4" s="20" t="n">
        <f aca="false">IF(H4=0,F4*E4,E4*F4)</f>
        <v>1.59133333333333</v>
      </c>
      <c r="J4" s="56" t="n">
        <f aca="false">SUM(I4:I6)*Gebäude!$C$21</f>
        <v>1347.05693333333</v>
      </c>
      <c r="K4" s="37" t="s">
        <v>31</v>
      </c>
      <c r="L4" s="68" t="n">
        <f aca="false">IF(D4="E3.1",1,0)</f>
        <v>1</v>
      </c>
      <c r="M4" s="68" t="n">
        <f aca="false">IF(D4="E3.2",1,0)</f>
        <v>0</v>
      </c>
      <c r="N4" s="68" t="n">
        <f aca="false">IF(D4="E3.3",1,0)</f>
        <v>0</v>
      </c>
      <c r="P4" s="37" t="s">
        <v>99</v>
      </c>
      <c r="Q4" s="54" t="str">
        <f aca="false">HLOOKUP($AJ$3,'Daten-Zusammensetzung Bauteil'!$B$4:$BC$11,Database!$B4,FALSE())</f>
        <v>Balkonkragplatte Ortbeton [kg]</v>
      </c>
      <c r="R4" s="55" t="str">
        <f aca="false">MID(HLOOKUP($AJ$3,'Daten-Funktion'!$B$4:$BC$11,Database!$B4,FALSE()),1,2)</f>
        <v>C4</v>
      </c>
      <c r="S4" s="54" t="n">
        <f aca="false">HLOOKUP($AJ$3,'Daten-THGE'!$B$4:$BC$11,Database!$B4,FALSE())</f>
        <v>0.00248</v>
      </c>
      <c r="T4" s="54" t="n">
        <f aca="false">HLOOKUP($AJ$3,'Daten-Dichte'!$B$4:$BC$11,Database!$B4,FALSE())</f>
        <v>2300</v>
      </c>
      <c r="U4" s="54" t="n">
        <f aca="false">HLOOKUP($AJ$3,'Daten-Dicke'!$B$4:$BC$11,Database!$B4,FALSE())</f>
        <v>20.375</v>
      </c>
      <c r="V4" s="9"/>
      <c r="W4" s="20" t="n">
        <f aca="false">IF(V4=0,T4*U4/100*S4,S4*T4*V4/1000)</f>
        <v>1.16219</v>
      </c>
      <c r="X4" s="56" t="n">
        <f aca="false">SUM(W4:W10)*$AJ$4*Gebäude!$C$22</f>
        <v>0</v>
      </c>
      <c r="Y4" s="37" t="s">
        <v>31</v>
      </c>
      <c r="Z4" s="68" t="n">
        <f aca="false">IF(R4="C4",1,0)</f>
        <v>1</v>
      </c>
      <c r="AA4" s="68" t="n">
        <f aca="false">IF(R4="G2.1",1,0)</f>
        <v>0</v>
      </c>
      <c r="AB4" s="68" t="n">
        <f aca="false">IF(R4="G2.2",1,0)</f>
        <v>0</v>
      </c>
      <c r="AC4" s="68" t="n">
        <f aca="false">IF(R4="E2.1",1,0)</f>
        <v>0</v>
      </c>
      <c r="AD4" s="68" t="n">
        <f aca="false">IF(R4="E2.2",1,0)</f>
        <v>0</v>
      </c>
      <c r="AE4" s="68" t="n">
        <f aca="false">IF(R4="E2.3",1,0)</f>
        <v>0</v>
      </c>
      <c r="AF4" s="68" t="n">
        <f aca="false">IF(R4="E2.4",1,0)</f>
        <v>0</v>
      </c>
      <c r="AG4" s="68" t="n">
        <f aca="false">IF(R4="E2.5",1,0)</f>
        <v>0</v>
      </c>
      <c r="AH4" s="68" t="n">
        <f aca="false">IF(R4="E2.6",1,0)</f>
        <v>0</v>
      </c>
      <c r="AI4" s="76"/>
      <c r="AJ4" s="0" t="n">
        <f aca="false">IF($P$6=Database!$D$21,1,0)</f>
        <v>0</v>
      </c>
    </row>
    <row r="5" customFormat="false" ht="15.75" hidden="false" customHeight="false" outlineLevel="0" collapsed="false">
      <c r="B5" s="37" t="str">
        <f aca="false">Gebäude!$G$4</f>
        <v>Mischbauweise</v>
      </c>
      <c r="C5" s="54" t="str">
        <f aca="false">HLOOKUP($AI$3,'Daten-Zusammensetzung Bauteil'!$B$4:$BC$7,Database!$B5,FALSE())</f>
        <v>Isolierverglasung 3-fach, Ug-Wert 0.6 W/m2K, Dicke 40 mm [m2]</v>
      </c>
      <c r="D5" s="55" t="str">
        <f aca="false">HLOOKUP($AI$3,'Daten-Funktion'!$B$4:$BC$7,Database!$B5,FALSE())</f>
        <v>E3.1</v>
      </c>
      <c r="E5" s="54" t="n">
        <f aca="false">HLOOKUP($AI$3,'Daten-THGE'!$B$4:$BC$7,Database!$B5,FALSE())</f>
        <v>2.22666666666667</v>
      </c>
      <c r="F5" s="54" t="n">
        <f aca="false">HLOOKUP($AI$3,'Daten-Dichte'!$B$4:$BC$7,Database!$B5,FALSE())</f>
        <v>0.78</v>
      </c>
      <c r="G5" s="54"/>
      <c r="H5" s="9"/>
      <c r="I5" s="20" t="n">
        <f aca="false">IF(H5=0,F5*E5,E5*F5)</f>
        <v>1.7368</v>
      </c>
      <c r="J5" s="54"/>
      <c r="K5" s="7"/>
      <c r="L5" s="68" t="n">
        <f aca="false">IF(D5="E3.1",1,0)</f>
        <v>1</v>
      </c>
      <c r="M5" s="68" t="n">
        <f aca="false">IF(D5="E3.2",1,0)</f>
        <v>0</v>
      </c>
      <c r="N5" s="68" t="n">
        <f aca="false">IF(D5="E3.3",1,0)</f>
        <v>0</v>
      </c>
      <c r="P5" s="37" t="str">
        <f aca="false">Gebäude!$G$4</f>
        <v>Mischbauweise</v>
      </c>
      <c r="Q5" s="54" t="str">
        <f aca="false">HLOOKUP($AJ$3,'Daten-Zusammensetzung Bauteil'!$B$4:$BC$11,Database!$B5,FALSE())</f>
        <v>Bewehrungsstahl [kg]</v>
      </c>
      <c r="R5" s="55" t="str">
        <f aca="false">MID(HLOOKUP($AJ$3,'Daten-Funktion'!$B$4:$BC$11,Database!$B5,FALSE()),1,2)</f>
        <v>C4</v>
      </c>
      <c r="S5" s="54" t="n">
        <f aca="false">HLOOKUP($AJ$3,'Daten-THGE'!$B$4:$BC$11,Database!$B5,FALSE())</f>
        <v>0.01705</v>
      </c>
      <c r="T5" s="54" t="n">
        <f aca="false">HLOOKUP($AJ$3,'Daten-Dichte'!$B$4:$BC$11,Database!$B5,FALSE())</f>
        <v>7850</v>
      </c>
      <c r="U5" s="54" t="n">
        <f aca="false">HLOOKUP($AJ$3,'Daten-Dicke'!$B$4:$BC$11,Database!$B5,FALSE())</f>
        <v>0.223328025477707</v>
      </c>
      <c r="V5" s="9"/>
      <c r="W5" s="20" t="n">
        <f aca="false">IF(V5=0,T5*U5/100*S5,S5*T5*V5/1000)</f>
        <v>0.2989078125</v>
      </c>
      <c r="X5" s="54"/>
      <c r="Y5" s="7"/>
      <c r="Z5" s="68" t="n">
        <f aca="false">IF(R5="C4",1,0)</f>
        <v>1</v>
      </c>
      <c r="AA5" s="68" t="n">
        <f aca="false">IF(R5="G2.1",1,0)</f>
        <v>0</v>
      </c>
      <c r="AB5" s="68" t="n">
        <f aca="false">IF(R5="G2.2",1,0)</f>
        <v>0</v>
      </c>
      <c r="AC5" s="68" t="n">
        <f aca="false">IF(R5="E2.1",1,0)</f>
        <v>0</v>
      </c>
      <c r="AD5" s="68" t="n">
        <f aca="false">IF(R5="E2.2",1,0)</f>
        <v>0</v>
      </c>
      <c r="AE5" s="68" t="n">
        <f aca="false">IF(R5="E2.3",1,0)</f>
        <v>0</v>
      </c>
      <c r="AF5" s="68" t="n">
        <f aca="false">IF(R5="E2.4",1,0)</f>
        <v>0</v>
      </c>
      <c r="AG5" s="68" t="n">
        <f aca="false">IF(R5="E2.5",1,0)</f>
        <v>0</v>
      </c>
      <c r="AH5" s="68" t="n">
        <f aca="false">IF(R5="E2.6",1,0)</f>
        <v>0</v>
      </c>
      <c r="AI5" s="76"/>
    </row>
    <row r="6" customFormat="false" ht="15.75" hidden="false" customHeight="false" outlineLevel="0" collapsed="false">
      <c r="B6" s="7"/>
      <c r="C6" s="54" t="str">
        <f aca="false">HLOOKUP($AI$3,'Daten-Zusammensetzung Bauteil'!$B$4:$BC$7,Database!$B6,FALSE())</f>
        <v>Lamellenstoren [m2]</v>
      </c>
      <c r="D6" s="55" t="str">
        <f aca="false">HLOOKUP($AI$3,'Daten-Funktion'!$B$4:$BC$7,Database!$B6,FALSE())</f>
        <v>E3.3</v>
      </c>
      <c r="E6" s="54" t="n">
        <f aca="false">HLOOKUP($AI$3,'Daten-THGE'!$B$4:$BC$7,Database!$B6,FALSE())</f>
        <v>1.91333333333333</v>
      </c>
      <c r="F6" s="54" t="n">
        <f aca="false">HLOOKUP($AI$3,'Daten-Dichte'!$B$4:$BC$7,Database!$B6,FALSE())</f>
        <v>1</v>
      </c>
      <c r="G6" s="54"/>
      <c r="H6" s="57"/>
      <c r="I6" s="20" t="n">
        <f aca="false">IF(H6=0,F6*E6,E6*F6)</f>
        <v>1.91333333333333</v>
      </c>
      <c r="J6" s="7"/>
      <c r="K6" s="7"/>
      <c r="L6" s="68" t="n">
        <f aca="false">IF(D6="E3.1",1,0)</f>
        <v>0</v>
      </c>
      <c r="M6" s="68" t="n">
        <f aca="false">IF(D6="E3.2",1,0)</f>
        <v>0</v>
      </c>
      <c r="N6" s="68" t="n">
        <f aca="false">IF(D6="E3.3",1,0)</f>
        <v>1</v>
      </c>
      <c r="P6" s="37" t="str">
        <f aca="false">Gebäude!$G$14</f>
        <v>Nein</v>
      </c>
      <c r="Q6" s="54" t="str">
        <f aca="false">HLOOKUP($AJ$3,'Daten-Zusammensetzung Bauteil'!$B$4:$BC$11,Database!$B6,FALSE())</f>
        <v>3-SP Schalung 2.5 cm (Annahme 5xverwendet) [kg]</v>
      </c>
      <c r="R6" s="55" t="str">
        <f aca="false">MID(HLOOKUP($AJ$3,'Daten-Funktion'!$B$4:$BC$11,Database!$B6,FALSE()),1,2)</f>
        <v>C4</v>
      </c>
      <c r="S6" s="54" t="n">
        <f aca="false">HLOOKUP($AJ$3,'Daten-THGE'!$B$4:$BC$11,Database!$B6,FALSE())</f>
        <v>0.013075</v>
      </c>
      <c r="T6" s="54" t="n">
        <f aca="false">HLOOKUP($AJ$3,'Daten-Dichte'!$B$4:$BC$11,Database!$B6,FALSE())</f>
        <v>470</v>
      </c>
      <c r="U6" s="54" t="n">
        <f aca="false">HLOOKUP($AJ$3,'Daten-Dicke'!$B$4:$BC$11,Database!$B6,FALSE())</f>
        <v>1</v>
      </c>
      <c r="V6" s="57"/>
      <c r="W6" s="20" t="n">
        <f aca="false">IF(V6=0,T6*U6/100*S6,S6*T6*V6/1000)</f>
        <v>0.0614525</v>
      </c>
      <c r="X6" s="7"/>
      <c r="Y6" s="7"/>
      <c r="Z6" s="68" t="n">
        <f aca="false">IF(R6="C4",1,0)</f>
        <v>1</v>
      </c>
      <c r="AA6" s="68" t="n">
        <f aca="false">IF(R6="G2.1",1,0)</f>
        <v>0</v>
      </c>
      <c r="AB6" s="68" t="n">
        <f aca="false">IF(R6="G2.2",1,0)</f>
        <v>0</v>
      </c>
      <c r="AC6" s="68" t="n">
        <f aca="false">IF(R6="E2.1",1,0)</f>
        <v>0</v>
      </c>
      <c r="AD6" s="68" t="n">
        <f aca="false">IF(R6="E2.2",1,0)</f>
        <v>0</v>
      </c>
      <c r="AE6" s="68" t="n">
        <f aca="false">IF(R6="E2.3",1,0)</f>
        <v>0</v>
      </c>
      <c r="AF6" s="68" t="n">
        <f aca="false">IF(R6="E2.4",1,0)</f>
        <v>0</v>
      </c>
      <c r="AG6" s="68" t="n">
        <f aca="false">IF(R6="E2.5",1,0)</f>
        <v>0</v>
      </c>
      <c r="AH6" s="68" t="n">
        <f aca="false">IF(R6="E2.6",1,0)</f>
        <v>0</v>
      </c>
      <c r="AI6" s="76"/>
    </row>
    <row r="7" customFormat="false" ht="15.75" hidden="false" customHeight="false" outlineLevel="0" collapsed="false">
      <c r="B7" s="7"/>
      <c r="C7" s="54"/>
      <c r="D7" s="55"/>
      <c r="E7" s="54"/>
      <c r="F7" s="54"/>
      <c r="G7" s="54"/>
      <c r="H7" s="20"/>
      <c r="I7" s="20"/>
      <c r="J7" s="7"/>
      <c r="K7" s="7"/>
      <c r="L7" s="81" t="n">
        <f aca="false">SUMPRODUCT(I4:I6*L4:L6)/SUM(I4:I6)</f>
        <v>0.634962224313805</v>
      </c>
      <c r="M7" s="81" t="n">
        <f aca="false">SUMPRODUCT(I4:I6*M4:M6)/SUM(I4:I6)</f>
        <v>0</v>
      </c>
      <c r="N7" s="81" t="n">
        <f aca="false">SUMPRODUCT(I4:I6*N4:N6)/SUM(I4:I6)</f>
        <v>0.365037775686195</v>
      </c>
      <c r="O7" s="83" t="n">
        <f aca="false">SUM(L7:N7)</f>
        <v>1</v>
      </c>
      <c r="P7" s="7"/>
      <c r="Q7" s="54" t="str">
        <f aca="false">HLOOKUP($AJ$3,'Daten-Zusammensetzung Bauteil'!$B$4:$BC$11,Database!$B7,FALSE())</f>
        <v>Chromstahl (Kragplattenanschluss) [kg]</v>
      </c>
      <c r="R7" s="55" t="str">
        <f aca="false">MID(HLOOKUP($AJ$3,'Daten-Funktion'!$B$4:$BC$11,Database!$B7,FALSE()),1,2)</f>
        <v>C4</v>
      </c>
      <c r="S7" s="54" t="n">
        <f aca="false">HLOOKUP($AJ$3,'Daten-THGE'!$B$4:$BC$11,Database!$B7,FALSE())</f>
        <v>0.094</v>
      </c>
      <c r="T7" s="54" t="n">
        <f aca="false">HLOOKUP($AJ$3,'Daten-Dichte'!$B$4:$BC$11,Database!$B7,FALSE())</f>
        <v>7900</v>
      </c>
      <c r="U7" s="54" t="n">
        <f aca="false">HLOOKUP($AJ$3,'Daten-Dicke'!$B$4:$BC$11,Database!$B7,FALSE())</f>
        <v>0.0594936708860759</v>
      </c>
      <c r="V7" s="57"/>
      <c r="W7" s="20" t="n">
        <f aca="false">IF(V7=0,T7*U7/100*S7,S7*T7*V7/1000)</f>
        <v>0.4418</v>
      </c>
      <c r="X7" s="7"/>
      <c r="Y7" s="7"/>
      <c r="Z7" s="68" t="n">
        <f aca="false">IF(R7="C4",1,0)</f>
        <v>1</v>
      </c>
      <c r="AA7" s="68" t="n">
        <f aca="false">IF(R7="G2.1",1,0)</f>
        <v>0</v>
      </c>
      <c r="AB7" s="68" t="n">
        <f aca="false">IF(R7="G2.2",1,0)</f>
        <v>0</v>
      </c>
      <c r="AC7" s="68" t="n">
        <f aca="false">IF(R7="E2.1",1,0)</f>
        <v>0</v>
      </c>
      <c r="AD7" s="68" t="n">
        <f aca="false">IF(R7="E2.2",1,0)</f>
        <v>0</v>
      </c>
      <c r="AE7" s="68" t="n">
        <f aca="false">IF(R7="E2.3",1,0)</f>
        <v>0</v>
      </c>
      <c r="AF7" s="68" t="n">
        <f aca="false">IF(R7="E2.4",1,0)</f>
        <v>0</v>
      </c>
      <c r="AG7" s="68" t="n">
        <f aca="false">IF(R7="E2.5",1,0)</f>
        <v>0</v>
      </c>
      <c r="AH7" s="68" t="n">
        <f aca="false">IF(R7="E2.6",1,0)</f>
        <v>0</v>
      </c>
      <c r="AI7" s="76"/>
    </row>
    <row r="8" customFormat="false" ht="15.75" hidden="false" customHeight="false" outlineLevel="0" collapsed="false">
      <c r="B8" s="59" t="s">
        <v>265</v>
      </c>
      <c r="P8" s="7"/>
      <c r="Q8" s="54" t="str">
        <f aca="false">HLOOKUP($AJ$3,'Daten-Zusammensetzung Bauteil'!$B$4:$BC$11,Database!$B8,FALSE())</f>
        <v>XPS (Kragplattenanschluss)[kg]</v>
      </c>
      <c r="R8" s="55" t="str">
        <f aca="false">MID(HLOOKUP($AJ$3,'Daten-Funktion'!$B$4:$BC$11,Database!$B8,FALSE()),1,2)</f>
        <v>C4</v>
      </c>
      <c r="S8" s="54" t="n">
        <f aca="false">HLOOKUP($AJ$3,'Daten-THGE'!$B$4:$BC$11,Database!$B8,FALSE())</f>
        <v>0.3625</v>
      </c>
      <c r="T8" s="54" t="n">
        <f aca="false">HLOOKUP($AJ$3,'Daten-Dichte'!$B$4:$BC$11,Database!$B8,FALSE())</f>
        <v>35</v>
      </c>
      <c r="U8" s="54" t="n">
        <f aca="false">HLOOKUP($AJ$3,'Daten-Dicke'!$B$4:$BC$11,Database!$B8,FALSE())</f>
        <v>0.857142857142857</v>
      </c>
      <c r="V8" s="57"/>
      <c r="W8" s="20" t="n">
        <f aca="false">IF(V8=0,T8*U8/100*S8,S8*T8*V8/1000)</f>
        <v>0.10875</v>
      </c>
      <c r="X8" s="7"/>
      <c r="Y8" s="7"/>
      <c r="Z8" s="68" t="n">
        <f aca="false">IF(R8="C4",1,0)</f>
        <v>1</v>
      </c>
      <c r="AA8" s="68" t="n">
        <f aca="false">IF(R8="G2.1",1,0)</f>
        <v>0</v>
      </c>
      <c r="AB8" s="68" t="n">
        <f aca="false">IF(R8="G2.2",1,0)</f>
        <v>0</v>
      </c>
      <c r="AC8" s="68" t="n">
        <f aca="false">IF(R8="E2.1",1,0)</f>
        <v>0</v>
      </c>
      <c r="AD8" s="68" t="n">
        <f aca="false">IF(R8="E2.2",1,0)</f>
        <v>0</v>
      </c>
      <c r="AE8" s="68" t="n">
        <f aca="false">IF(R8="E2.3",1,0)</f>
        <v>0</v>
      </c>
      <c r="AF8" s="68" t="n">
        <f aca="false">IF(R8="E2.4",1,0)</f>
        <v>0</v>
      </c>
      <c r="AG8" s="68" t="n">
        <f aca="false">IF(R8="E2.5",1,0)</f>
        <v>0</v>
      </c>
      <c r="AH8" s="68" t="n">
        <f aca="false">IF(R8="E2.6",1,0)</f>
        <v>0</v>
      </c>
      <c r="AI8" s="76"/>
    </row>
    <row r="9" customFormat="false" ht="20.25" hidden="false" customHeight="false" outlineLevel="0" collapsed="false">
      <c r="B9" s="6" t="s">
        <v>256</v>
      </c>
      <c r="C9" s="37" t="s">
        <v>257</v>
      </c>
      <c r="D9" s="52"/>
      <c r="E9" s="37" t="s">
        <v>259</v>
      </c>
      <c r="F9" s="37" t="s">
        <v>260</v>
      </c>
      <c r="G9" s="37" t="s">
        <v>261</v>
      </c>
      <c r="H9" s="53" t="s">
        <v>262</v>
      </c>
      <c r="I9" s="37" t="s">
        <v>263</v>
      </c>
      <c r="J9" s="8" t="s">
        <v>102</v>
      </c>
      <c r="K9" s="7"/>
      <c r="L9" s="7"/>
      <c r="M9" s="7"/>
      <c r="P9" s="7"/>
      <c r="Q9" s="54" t="str">
        <f aca="false">HLOOKUP($AJ$3,'Daten-Zusammensetzung Bauteil'!$B$4:$BC$11,Database!$B9,FALSE())</f>
        <v>Harbetonüberzug [kg]</v>
      </c>
      <c r="R9" s="55" t="str">
        <f aca="false">HLOOKUP($AJ$3,'Daten-Funktion'!$B$4:$BC$11,Database!$B9,FALSE())</f>
        <v>G2.2</v>
      </c>
      <c r="S9" s="54" t="n">
        <f aca="false">HLOOKUP($AJ$3,'Daten-THGE'!$B$4:$BC$11,Database!$B9,FALSE())</f>
        <v>0.00730968858131488</v>
      </c>
      <c r="T9" s="54" t="n">
        <f aca="false">HLOOKUP($AJ$3,'Daten-Dichte'!$B$4:$BC$11,Database!$B9,FALSE())</f>
        <v>2101.81818181818</v>
      </c>
      <c r="U9" s="54" t="n">
        <f aca="false">HLOOKUP($AJ$3,'Daten-Dicke'!$B$4:$BC$11,Database!$B9,FALSE())</f>
        <v>2.75</v>
      </c>
      <c r="V9" s="57"/>
      <c r="W9" s="20" t="n">
        <f aca="false">IF(V9=0,T9*U9/100*S9,S9*T9*V9/1000)</f>
        <v>0.4225</v>
      </c>
      <c r="X9" s="7"/>
      <c r="Y9" s="7"/>
      <c r="Z9" s="68" t="n">
        <f aca="false">IF(R9="C4",1,0)</f>
        <v>0</v>
      </c>
      <c r="AA9" s="68" t="n">
        <f aca="false">IF(R9="G2.1",1,0)</f>
        <v>0</v>
      </c>
      <c r="AB9" s="68" t="n">
        <f aca="false">IF(R9="G2.2",1,0)</f>
        <v>1</v>
      </c>
      <c r="AC9" s="68" t="n">
        <f aca="false">IF(R9="E2.1",1,0)</f>
        <v>0</v>
      </c>
      <c r="AD9" s="68" t="n">
        <f aca="false">IF(R9="E2.2",1,0)</f>
        <v>0</v>
      </c>
      <c r="AE9" s="68" t="n">
        <f aca="false">IF(R9="E2.3",1,0)</f>
        <v>0</v>
      </c>
      <c r="AF9" s="68" t="n">
        <f aca="false">IF(R9="E2.4",1,0)</f>
        <v>0</v>
      </c>
      <c r="AG9" s="68" t="n">
        <f aca="false">IF(R9="E2.5",1,0)</f>
        <v>0</v>
      </c>
      <c r="AH9" s="68" t="n">
        <f aca="false">IF(R9="E2.6",1,0)</f>
        <v>0</v>
      </c>
      <c r="AI9" s="76"/>
    </row>
    <row r="10" customFormat="false" ht="15.75" hidden="false" customHeight="false" outlineLevel="0" collapsed="false">
      <c r="B10" s="37" t="s">
        <v>97</v>
      </c>
      <c r="C10" s="54" t="str">
        <f aca="false">HLOOKUP($AI$13,'Daten-Zusammensetzung Bauteil'!$B$4:$BC$7,Database!$B4,FALSE())</f>
        <v>Holz-Metallfenster [m2 i.L.]</v>
      </c>
      <c r="D10" s="55" t="str">
        <f aca="false">HLOOKUP($AI$13,'Daten-Funktion'!$B$4:$BC$7,Database!$B4,FALSE())</f>
        <v>E3.1</v>
      </c>
      <c r="E10" s="54" t="n">
        <f aca="false">HLOOKUP($AI$13,'Daten-THGE'!$B$4:$BC$7,Database!$B4,FALSE())</f>
        <v>7.23333333333333</v>
      </c>
      <c r="F10" s="54" t="n">
        <f aca="false">HLOOKUP($AI$13,'Daten-Dichte'!$B$4:$BC$7,Database!$B4,FALSE())</f>
        <v>0.22</v>
      </c>
      <c r="G10" s="54"/>
      <c r="H10" s="9"/>
      <c r="I10" s="20" t="n">
        <f aca="false">IF(H10=0,F10*E10,E10*F10)</f>
        <v>1.59133333333333</v>
      </c>
      <c r="J10" s="29" t="n">
        <f aca="false">SUM(I10:I12)*Gebäude!$C$21</f>
        <v>1347.05693333333</v>
      </c>
      <c r="K10" s="37" t="s">
        <v>31</v>
      </c>
      <c r="L10" s="37"/>
      <c r="M10" s="37"/>
      <c r="P10" s="7"/>
      <c r="Q10" s="54" t="str">
        <f aca="false">HLOOKUP($AJ$3,'Daten-Zusammensetzung Bauteil'!$B$4:$BC$11,Database!$B10,FALSE())</f>
        <v>Metallstabgeländer [kg]</v>
      </c>
      <c r="R10" s="55" t="str">
        <f aca="false">HLOOKUP($AJ$3,'Daten-Funktion'!$B$4:$BC$11,Database!$B10,FALSE())</f>
        <v>E2.6</v>
      </c>
      <c r="S10" s="54" t="n">
        <f aca="false">HLOOKUP($AJ$3,'Daten-THGE'!$B$4:$BC$11,Database!$B10,FALSE())</f>
        <v>0.08775</v>
      </c>
      <c r="T10" s="54" t="n">
        <f aca="false">HLOOKUP($AJ$3,'Daten-Dichte'!$B$4:$BC$11,Database!$B10,FALSE())</f>
        <v>7850</v>
      </c>
      <c r="U10" s="54" t="n">
        <f aca="false">HLOOKUP($AJ$3,'Daten-Dicke'!$B$4:$BC$11,Database!$B10,FALSE())</f>
        <v>0.165764331210191</v>
      </c>
      <c r="V10" s="57"/>
      <c r="W10" s="20" t="n">
        <f aca="false">IF(V10=0,T10*U10/100*S10,S10*T10*V10/1000)</f>
        <v>1.141846875</v>
      </c>
      <c r="X10" s="7"/>
      <c r="Y10" s="7"/>
      <c r="Z10" s="68" t="n">
        <f aca="false">IF(R10="C4",1,0)</f>
        <v>0</v>
      </c>
      <c r="AA10" s="68" t="n">
        <f aca="false">IF(R10="G2.1",1,0)</f>
        <v>0</v>
      </c>
      <c r="AB10" s="68" t="n">
        <f aca="false">IF(R10="G2.2",1,0)</f>
        <v>0</v>
      </c>
      <c r="AC10" s="68" t="n">
        <f aca="false">IF(R10="E2.1",1,0)</f>
        <v>0</v>
      </c>
      <c r="AD10" s="68" t="n">
        <f aca="false">IF(R10="E2.2",1,0)</f>
        <v>0</v>
      </c>
      <c r="AE10" s="68" t="n">
        <f aca="false">IF(R10="E2.3",1,0)</f>
        <v>0</v>
      </c>
      <c r="AF10" s="68" t="n">
        <f aca="false">IF(R10="E2.4",1,0)</f>
        <v>0</v>
      </c>
      <c r="AG10" s="68" t="n">
        <f aca="false">IF(R10="E2.5",1,0)</f>
        <v>0</v>
      </c>
      <c r="AH10" s="68" t="n">
        <f aca="false">IF(R10="E2.6",1,0)</f>
        <v>1</v>
      </c>
      <c r="AI10" s="76"/>
    </row>
    <row r="11" customFormat="false" ht="15.75" hidden="false" customHeight="false" outlineLevel="0" collapsed="false">
      <c r="B11" s="53" t="s">
        <v>113</v>
      </c>
      <c r="C11" s="54" t="str">
        <f aca="false">HLOOKUP($AI$13,'Daten-Zusammensetzung Bauteil'!$B$4:$BC$7,Database!$B5,FALSE())</f>
        <v>Isolierverglasung 3-fach, Ug-Wert 0.6 W/m2K, Dicke 40 mm [m2]</v>
      </c>
      <c r="D11" s="55" t="str">
        <f aca="false">HLOOKUP($AI$13,'Daten-Funktion'!$B$4:$BC$7,Database!$B5,FALSE())</f>
        <v>E3.1</v>
      </c>
      <c r="E11" s="54" t="n">
        <f aca="false">HLOOKUP($AI$13,'Daten-THGE'!$B$4:$BC$7,Database!$B5,FALSE())</f>
        <v>2.22666666666667</v>
      </c>
      <c r="F11" s="54" t="n">
        <f aca="false">HLOOKUP($AI$13,'Daten-Dichte'!$B$4:$BC$7,Database!$B5,FALSE())</f>
        <v>0.78</v>
      </c>
      <c r="G11" s="54"/>
      <c r="H11" s="9"/>
      <c r="I11" s="20" t="n">
        <f aca="false">IF(H11=0,F11*E11,E11*F11)</f>
        <v>1.7368</v>
      </c>
      <c r="J11" s="54"/>
      <c r="K11" s="7"/>
      <c r="L11" s="7"/>
      <c r="M11" s="7"/>
      <c r="P11" s="7"/>
      <c r="Q11" s="54"/>
      <c r="R11" s="55"/>
      <c r="S11" s="54"/>
      <c r="T11" s="54"/>
      <c r="U11" s="54"/>
      <c r="V11" s="54"/>
      <c r="W11" s="20"/>
      <c r="X11" s="7"/>
      <c r="Y11" s="7"/>
      <c r="Z11" s="81" t="n">
        <f aca="false">IF(X4=0,0,SUMPRODUCT(W4:W10*Z4:Z10)/SUM(W4:W10)*AJ4)</f>
        <v>0</v>
      </c>
      <c r="AA11" s="81" t="n">
        <f aca="false">IF(X4=0,0,SUMPRODUCT(W4:W10*AA4:AA10)/SUM(W4:W10)*AK4)</f>
        <v>0</v>
      </c>
      <c r="AB11" s="81" t="n">
        <f aca="false">IF(X4=0,0,SUMPRODUCT(W4:W10*AB4:AB10)/SUM(W4:W10))</f>
        <v>0</v>
      </c>
      <c r="AC11" s="81" t="n">
        <f aca="false">IF(X4=0,0,SUMPRODUCT(W4:W10*AC4:AC10)/SUM(W4:W10))</f>
        <v>0</v>
      </c>
      <c r="AD11" s="81" t="n">
        <f aca="false">IF(X4=0,0,SUMPRODUCT(W4:W10*AD4:AD10)/SUM(W4:W10))</f>
        <v>0</v>
      </c>
      <c r="AE11" s="81" t="n">
        <f aca="false">IF(X4=0,0,SUMPRODUCT(W4:W10*AE4:AE10)/SUM(W4:W10))</f>
        <v>0</v>
      </c>
      <c r="AF11" s="81" t="n">
        <f aca="false">IF(X4=0,0,SUMPRODUCT(W4:W10*AF4:AF10)/SUM(W4:W10))</f>
        <v>0</v>
      </c>
      <c r="AG11" s="81" t="n">
        <f aca="false">IF(X4=0,0,SUMPRODUCT(W4:W10*AG4:AG10)/SUM(W4:W10))</f>
        <v>0</v>
      </c>
      <c r="AH11" s="81" t="n">
        <f aca="false">IF(X4=0,0,SUMPRODUCT(W4:W10*AH4:AH10)/SUM(W4:W10)*AJ4)</f>
        <v>0</v>
      </c>
      <c r="AI11" s="84" t="n">
        <f aca="false">SUM(Z11:AH11)</f>
        <v>0</v>
      </c>
    </row>
    <row r="12" customFormat="false" ht="15.75" hidden="false" customHeight="false" outlineLevel="0" collapsed="false">
      <c r="C12" s="54" t="str">
        <f aca="false">HLOOKUP($AI$13,'Daten-Zusammensetzung Bauteil'!$B$4:$BC$7,Database!$B6,FALSE())</f>
        <v>Lamellenstoren [m2]</v>
      </c>
      <c r="D12" s="55" t="str">
        <f aca="false">HLOOKUP($AI$13,'Daten-Funktion'!$B$4:$BC$7,Database!$B6,FALSE())</f>
        <v>E3.3</v>
      </c>
      <c r="E12" s="54" t="n">
        <f aca="false">HLOOKUP($AI$13,'Daten-THGE'!$B$4:$BC$7,Database!$B6,FALSE())</f>
        <v>1.91333333333333</v>
      </c>
      <c r="F12" s="54" t="n">
        <f aca="false">HLOOKUP($AI$13,'Daten-Dichte'!$B$4:$BC$7,Database!$B6,FALSE())</f>
        <v>1</v>
      </c>
      <c r="G12" s="54"/>
      <c r="H12" s="57"/>
      <c r="I12" s="20" t="n">
        <f aca="false">IF(H12=0,F12*E12,E12*F12)</f>
        <v>1.91333333333333</v>
      </c>
      <c r="J12" s="7"/>
      <c r="K12" s="7"/>
      <c r="L12" s="7"/>
      <c r="M12" s="7"/>
      <c r="P12" s="59" t="s">
        <v>265</v>
      </c>
      <c r="AI12" s="76"/>
    </row>
    <row r="13" customFormat="false" ht="20.25" hidden="false" customHeight="false" outlineLevel="0" collapsed="false">
      <c r="C13" s="54"/>
      <c r="D13" s="55"/>
      <c r="E13" s="54"/>
      <c r="F13" s="54"/>
      <c r="G13" s="54"/>
      <c r="H13" s="20"/>
      <c r="I13" s="20"/>
      <c r="J13" s="7"/>
      <c r="K13" s="7"/>
      <c r="L13" s="64" t="s">
        <v>277</v>
      </c>
      <c r="M13" s="64" t="s">
        <v>278</v>
      </c>
      <c r="N13" s="64" t="s">
        <v>279</v>
      </c>
      <c r="P13" s="6" t="s">
        <v>256</v>
      </c>
      <c r="Q13" s="37" t="s">
        <v>257</v>
      </c>
      <c r="R13" s="52"/>
      <c r="S13" s="37" t="s">
        <v>259</v>
      </c>
      <c r="T13" s="37" t="s">
        <v>260</v>
      </c>
      <c r="U13" s="37" t="s">
        <v>261</v>
      </c>
      <c r="V13" s="53" t="s">
        <v>262</v>
      </c>
      <c r="W13" s="37" t="s">
        <v>263</v>
      </c>
      <c r="X13" s="8" t="s">
        <v>102</v>
      </c>
      <c r="Y13" s="7"/>
      <c r="AI13" s="76" t="str">
        <f aca="false">VLOOKUP($B$10,Database!$D$20:$E$20,2,FALSE())</f>
        <v>3a</v>
      </c>
      <c r="AJ13" s="76" t="str">
        <f aca="false">VLOOKUP($P$16,Database!$D$21:$E$22,2,FALSE())</f>
        <v>13a</v>
      </c>
    </row>
    <row r="14" customFormat="false" ht="20.25" hidden="false" customHeight="false" outlineLevel="0" collapsed="false">
      <c r="B14" s="6" t="s">
        <v>266</v>
      </c>
      <c r="C14" s="37" t="s">
        <v>257</v>
      </c>
      <c r="D14" s="52"/>
      <c r="E14" s="37" t="s">
        <v>259</v>
      </c>
      <c r="F14" s="37" t="s">
        <v>260</v>
      </c>
      <c r="G14" s="37" t="s">
        <v>261</v>
      </c>
      <c r="H14" s="53" t="s">
        <v>262</v>
      </c>
      <c r="I14" s="37" t="s">
        <v>263</v>
      </c>
      <c r="J14" s="8" t="s">
        <v>102</v>
      </c>
      <c r="K14" s="7"/>
      <c r="L14" s="7"/>
      <c r="M14" s="7"/>
      <c r="P14" s="37" t="s">
        <v>99</v>
      </c>
      <c r="Q14" s="54" t="str">
        <f aca="false">HLOOKUP($AJ$13,'Daten-Zusammensetzung Bauteil'!$B$4:$BC$11,Database!$B4,FALSE())</f>
        <v>Balkonkragplatte Ortbeton [kg]</v>
      </c>
      <c r="R14" s="55" t="str">
        <f aca="false">MID(HLOOKUP($AJ$13,'Daten-Funktion'!$B$4:$BC$11,Database!$B4,FALSE()),1,2)</f>
        <v>C4</v>
      </c>
      <c r="S14" s="54" t="n">
        <f aca="false">HLOOKUP($AJ$13,'Daten-THGE'!$B$4:$BC$11,Database!$B4,FALSE())</f>
        <v>0.00248</v>
      </c>
      <c r="T14" s="54" t="n">
        <f aca="false">HLOOKUP($AJ$13,'Daten-Dichte'!$B$4:$BC$11,Database!$B4,FALSE())</f>
        <v>2300</v>
      </c>
      <c r="U14" s="54" t="n">
        <f aca="false">HLOOKUP($AJ$13,'Daten-Dicke'!$B$4:$BC$11,Database!$B4,FALSE())</f>
        <v>20.375</v>
      </c>
      <c r="V14" s="9"/>
      <c r="W14" s="20" t="n">
        <f aca="false">IF(V14=0,T14*U14/100*S14,S14*T14*V14/1000)</f>
        <v>1.16219</v>
      </c>
      <c r="X14" s="29" t="n">
        <f aca="false">SUM(W14:W20)*$AJ$14*P18</f>
        <v>727.4894375</v>
      </c>
      <c r="Y14" s="37" t="s">
        <v>31</v>
      </c>
      <c r="AI14" s="76"/>
      <c r="AJ14" s="0" t="n">
        <f aca="false">IF($P$16=Database!$D$21,1,0)</f>
        <v>1</v>
      </c>
    </row>
    <row r="15" customFormat="false" ht="15.75" hidden="false" customHeight="false" outlineLevel="0" collapsed="false">
      <c r="B15" s="37" t="s">
        <v>97</v>
      </c>
      <c r="C15" s="54" t="str">
        <f aca="false">HLOOKUP($AI$23,'Daten-Zusammensetzung Bauteil'!$B$4:$BC$14,Database!$B4,FALSE())</f>
        <v>Holz-Metallfenster [m2 i.L.]</v>
      </c>
      <c r="D15" s="55" t="str">
        <f aca="false">HLOOKUP($AI$23,'Daten-Funktion'!$B$4:$BC$14,Database!$B4,FALSE())</f>
        <v>E3.1</v>
      </c>
      <c r="E15" s="54" t="n">
        <f aca="false">HLOOKUP($AI$23,'Daten-THGE'!$B$4:$BC$14,Database!$B4,FALSE())</f>
        <v>7.23333333333333</v>
      </c>
      <c r="F15" s="54" t="n">
        <f aca="false">HLOOKUP($AI$23,'Daten-Dichte'!$B$4:$BC$14,Database!$B4,FALSE())</f>
        <v>0.22</v>
      </c>
      <c r="G15" s="54"/>
      <c r="H15" s="9"/>
      <c r="I15" s="20" t="n">
        <f aca="false">IF(H15=0,F15*E15,E15*F15)</f>
        <v>1.59133333333333</v>
      </c>
      <c r="J15" s="56" t="n">
        <f aca="false">SUM(I15:I17)*Gebäude!$C$43</f>
        <v>1347.05693333333</v>
      </c>
      <c r="K15" s="37" t="s">
        <v>31</v>
      </c>
      <c r="L15" s="68" t="n">
        <f aca="false">IF(D15="E3.1",1,0)</f>
        <v>1</v>
      </c>
      <c r="M15" s="68" t="n">
        <f aca="false">IF(D15="E3.2",1,0)</f>
        <v>0</v>
      </c>
      <c r="N15" s="68" t="n">
        <f aca="false">IF(D15="E3.3",1,0)</f>
        <v>0</v>
      </c>
      <c r="P15" s="53" t="s">
        <v>113</v>
      </c>
      <c r="Q15" s="54" t="str">
        <f aca="false">HLOOKUP($AJ$13,'Daten-Zusammensetzung Bauteil'!$B$4:$BC$11,Database!$B5,FALSE())</f>
        <v>Bewehrungsstahl [kg]</v>
      </c>
      <c r="R15" s="55" t="str">
        <f aca="false">MID(HLOOKUP($AJ$13,'Daten-Funktion'!$B$4:$BC$11,Database!$B5,FALSE()),1,2)</f>
        <v>C4</v>
      </c>
      <c r="S15" s="54" t="n">
        <f aca="false">HLOOKUP($AJ$13,'Daten-THGE'!$B$4:$BC$11,Database!$B5,FALSE())</f>
        <v>0.01705</v>
      </c>
      <c r="T15" s="54" t="n">
        <f aca="false">HLOOKUP($AJ$13,'Daten-Dichte'!$B$4:$BC$11,Database!$B5,FALSE())</f>
        <v>7850</v>
      </c>
      <c r="U15" s="54" t="n">
        <f aca="false">HLOOKUP($AJ$13,'Daten-Dicke'!$B$4:$BC$11,Database!$B5,FALSE())</f>
        <v>0.223328025477707</v>
      </c>
      <c r="V15" s="9"/>
      <c r="W15" s="20" t="n">
        <f aca="false">IF(V15=0,T15*U15/100*S15,S15*T15*V15/1000)</f>
        <v>0.2989078125</v>
      </c>
      <c r="X15" s="54"/>
      <c r="Y15" s="7"/>
    </row>
    <row r="16" customFormat="false" ht="15.75" hidden="false" customHeight="false" outlineLevel="0" collapsed="false">
      <c r="B16" s="37" t="str">
        <f aca="false">Gebäude!$G$25</f>
        <v>Massivbauweise</v>
      </c>
      <c r="C16" s="54" t="str">
        <f aca="false">HLOOKUP($AI$23,'Daten-Zusammensetzung Bauteil'!$B$4:$BC$14,Database!$B5,FALSE())</f>
        <v>Isolierverglasung 3-fach, Ug-Wert 0.6 W/m2K, Dicke 40 mm [m2]</v>
      </c>
      <c r="D16" s="55" t="str">
        <f aca="false">HLOOKUP($AI$23,'Daten-Funktion'!$B$4:$BC$14,Database!$B5,FALSE())</f>
        <v>E3.1</v>
      </c>
      <c r="E16" s="54" t="n">
        <f aca="false">HLOOKUP($AI$23,'Daten-THGE'!$B$4:$BC$14,Database!$B5,FALSE())</f>
        <v>2.22666666666667</v>
      </c>
      <c r="F16" s="54" t="n">
        <f aca="false">HLOOKUP($AI$23,'Daten-Dichte'!$B$4:$BC$14,Database!$B5,FALSE())</f>
        <v>0.78</v>
      </c>
      <c r="G16" s="54"/>
      <c r="H16" s="9"/>
      <c r="I16" s="20" t="n">
        <f aca="false">IF(H16=0,F16*E16,E16*F16)</f>
        <v>1.7368</v>
      </c>
      <c r="J16" s="54"/>
      <c r="K16" s="7"/>
      <c r="L16" s="68" t="n">
        <f aca="false">IF(D16="E3.1",1,0)</f>
        <v>1</v>
      </c>
      <c r="M16" s="68" t="n">
        <f aca="false">IF(D16="E3.2",1,0)</f>
        <v>0</v>
      </c>
      <c r="N16" s="68" t="n">
        <f aca="false">IF(D16="E3.3",1,0)</f>
        <v>0</v>
      </c>
      <c r="P16" s="53" t="s">
        <v>172</v>
      </c>
      <c r="Q16" s="54" t="str">
        <f aca="false">HLOOKUP($AJ$13,'Daten-Zusammensetzung Bauteil'!$B$4:$BC$11,Database!$B6,FALSE())</f>
        <v>3-SP Schalung 2.5 cm (Annahme 5xverwendet) [kg]</v>
      </c>
      <c r="R16" s="55" t="str">
        <f aca="false">MID(HLOOKUP($AJ$13,'Daten-Funktion'!$B$4:$BC$11,Database!$B6,FALSE()),1,2)</f>
        <v>C4</v>
      </c>
      <c r="S16" s="54" t="n">
        <f aca="false">HLOOKUP($AJ$13,'Daten-THGE'!$B$4:$BC$11,Database!$B6,FALSE())</f>
        <v>0.013075</v>
      </c>
      <c r="T16" s="54" t="n">
        <f aca="false">HLOOKUP($AJ$13,'Daten-Dichte'!$B$4:$BC$11,Database!$B6,FALSE())</f>
        <v>470</v>
      </c>
      <c r="U16" s="54" t="n">
        <f aca="false">HLOOKUP($AJ$13,'Daten-Dicke'!$B$4:$BC$11,Database!$B6,FALSE())</f>
        <v>1</v>
      </c>
      <c r="V16" s="57"/>
      <c r="W16" s="20" t="n">
        <f aca="false">IF(V16=0,T16*U16/100*S16,S16*T16*V16/1000)</f>
        <v>0.0614525</v>
      </c>
      <c r="X16" s="7"/>
      <c r="Y16" s="7"/>
    </row>
    <row r="17" customFormat="false" ht="15.75" hidden="false" customHeight="false" outlineLevel="0" collapsed="false">
      <c r="B17" s="7"/>
      <c r="C17" s="54" t="str">
        <f aca="false">HLOOKUP($AI$23,'Daten-Zusammensetzung Bauteil'!$B$4:$BC$14,Database!$B6,FALSE())</f>
        <v>Lamellenstoren [m2]</v>
      </c>
      <c r="D17" s="55" t="str">
        <f aca="false">HLOOKUP($AI$23,'Daten-Funktion'!$B$4:$BC$14,Database!$B6,FALSE())</f>
        <v>E3.3</v>
      </c>
      <c r="E17" s="54" t="n">
        <f aca="false">HLOOKUP($AI$23,'Daten-THGE'!$B$4:$BC$14,Database!$B6,FALSE())</f>
        <v>1.91333333333333</v>
      </c>
      <c r="F17" s="54" t="n">
        <f aca="false">HLOOKUP($AI$23,'Daten-Dichte'!$B$4:$BC$14,Database!$B6,FALSE())</f>
        <v>1</v>
      </c>
      <c r="G17" s="54"/>
      <c r="H17" s="57"/>
      <c r="I17" s="20" t="n">
        <f aca="false">IF(H17=0,F17*E17,E17*F17)</f>
        <v>1.91333333333333</v>
      </c>
      <c r="J17" s="7"/>
      <c r="K17" s="7"/>
      <c r="L17" s="68" t="n">
        <f aca="false">IF(D17="E3.1",1,0)</f>
        <v>0</v>
      </c>
      <c r="M17" s="68" t="n">
        <f aca="false">IF(D17="E3.2",1,0)</f>
        <v>0</v>
      </c>
      <c r="N17" s="68" t="n">
        <f aca="false">IF(D17="E3.3",1,0)</f>
        <v>1</v>
      </c>
      <c r="O17" s="85"/>
      <c r="P17" s="53" t="s">
        <v>307</v>
      </c>
      <c r="Q17" s="54" t="str">
        <f aca="false">HLOOKUP($AJ$13,'Daten-Zusammensetzung Bauteil'!$B$4:$BC$11,Database!$B7,FALSE())</f>
        <v>Chromstahl (Kragplattenanschluss) [kg]</v>
      </c>
      <c r="R17" s="55" t="str">
        <f aca="false">MID(HLOOKUP($AJ$13,'Daten-Funktion'!$B$4:$BC$11,Database!$B7,FALSE()),1,2)</f>
        <v>C4</v>
      </c>
      <c r="S17" s="54" t="n">
        <f aca="false">HLOOKUP($AJ$13,'Daten-THGE'!$B$4:$BC$11,Database!$B7,FALSE())</f>
        <v>0.094</v>
      </c>
      <c r="T17" s="54" t="n">
        <f aca="false">HLOOKUP($AJ$13,'Daten-Dichte'!$B$4:$BC$11,Database!$B7,FALSE())</f>
        <v>7900</v>
      </c>
      <c r="U17" s="54" t="n">
        <f aca="false">HLOOKUP($AJ$13,'Daten-Dicke'!$B$4:$BC$11,Database!$B7,FALSE())</f>
        <v>0.0594936708860759</v>
      </c>
      <c r="V17" s="57"/>
      <c r="W17" s="20" t="n">
        <f aca="false">IF(V17=0,T17*U17/100*S17,S17*T17*V17/1000)</f>
        <v>0.4418</v>
      </c>
      <c r="X17" s="7"/>
      <c r="Y17" s="7"/>
    </row>
    <row r="18" customFormat="false" ht="15.75" hidden="false" customHeight="false" outlineLevel="0" collapsed="false">
      <c r="L18" s="81" t="n">
        <f aca="false">SUMPRODUCT(I15:I17*L15:L17)/SUM(I15:I17)</f>
        <v>0.634962224313805</v>
      </c>
      <c r="M18" s="81" t="n">
        <f aca="false">SUMPRODUCT(I15:I17*M15:M17)/SUM(I15:I17)</f>
        <v>0</v>
      </c>
      <c r="N18" s="81" t="n">
        <f aca="false">SUMPRODUCT(I15:I17*N15:N17)/SUM(I15:I17)</f>
        <v>0.365037775686195</v>
      </c>
      <c r="O18" s="83" t="n">
        <f aca="false">SUM(L18:N18)</f>
        <v>1</v>
      </c>
      <c r="P18" s="53" t="n">
        <v>200</v>
      </c>
      <c r="Q18" s="54" t="str">
        <f aca="false">HLOOKUP($AJ$13,'Daten-Zusammensetzung Bauteil'!$B$4:$BC$11,Database!$B8,FALSE())</f>
        <v>XPS (Kragplattenanschluss)[kg]</v>
      </c>
      <c r="R18" s="55" t="str">
        <f aca="false">MID(HLOOKUP($AJ$13,'Daten-Funktion'!$B$4:$BC$11,Database!$B8,FALSE()),1,2)</f>
        <v>C4</v>
      </c>
      <c r="S18" s="54" t="n">
        <f aca="false">HLOOKUP($AJ$13,'Daten-THGE'!$B$4:$BC$11,Database!$B8,FALSE())</f>
        <v>0.3625</v>
      </c>
      <c r="T18" s="54" t="n">
        <f aca="false">HLOOKUP($AJ$13,'Daten-Dichte'!$B$4:$BC$11,Database!$B8,FALSE())</f>
        <v>35</v>
      </c>
      <c r="U18" s="54" t="n">
        <f aca="false">HLOOKUP($AJ$13,'Daten-Dicke'!$B$4:$BC$11,Database!$B8,FALSE())</f>
        <v>0.857142857142857</v>
      </c>
      <c r="V18" s="57"/>
      <c r="W18" s="20" t="n">
        <f aca="false">IF(V18=0,T18*U18/100*S18,S18*T18*V18/1000)</f>
        <v>0.10875</v>
      </c>
      <c r="X18" s="7"/>
      <c r="Y18" s="7"/>
    </row>
    <row r="19" customFormat="false" ht="15.75" hidden="false" customHeight="false" outlineLevel="0" collapsed="false">
      <c r="B19" s="59" t="s">
        <v>265</v>
      </c>
      <c r="Q19" s="54" t="str">
        <f aca="false">HLOOKUP($AJ$13,'Daten-Zusammensetzung Bauteil'!$B$4:$BC$11,Database!$B9,FALSE())</f>
        <v>Harbetonüberzug [kg]</v>
      </c>
      <c r="R19" s="55" t="str">
        <f aca="false">HLOOKUP($AJ$13,'Daten-Funktion'!$B$4:$BC$11,Database!$B9,FALSE())</f>
        <v>G2.2</v>
      </c>
      <c r="S19" s="54" t="n">
        <f aca="false">HLOOKUP($AJ$13,'Daten-THGE'!$B$4:$BC$11,Database!$B9,FALSE())</f>
        <v>0.00730968858131488</v>
      </c>
      <c r="T19" s="54" t="n">
        <f aca="false">HLOOKUP($AJ$13,'Daten-Dichte'!$B$4:$BC$11,Database!$B9,FALSE())</f>
        <v>2101.81818181818</v>
      </c>
      <c r="U19" s="54" t="n">
        <f aca="false">HLOOKUP($AJ$13,'Daten-Dicke'!$B$4:$BC$11,Database!$B9,FALSE())</f>
        <v>2.75</v>
      </c>
      <c r="V19" s="57"/>
      <c r="W19" s="20" t="n">
        <f aca="false">IF(V19=0,T19*U19/100*S19,S19*T19*V19/1000)</f>
        <v>0.4225</v>
      </c>
      <c r="X19" s="7"/>
      <c r="Y19" s="7"/>
    </row>
    <row r="20" customFormat="false" ht="20.25" hidden="false" customHeight="false" outlineLevel="0" collapsed="false">
      <c r="B20" s="6" t="s">
        <v>266</v>
      </c>
      <c r="C20" s="37" t="s">
        <v>257</v>
      </c>
      <c r="D20" s="52"/>
      <c r="E20" s="37" t="s">
        <v>259</v>
      </c>
      <c r="F20" s="37" t="s">
        <v>260</v>
      </c>
      <c r="G20" s="37" t="s">
        <v>261</v>
      </c>
      <c r="H20" s="53" t="s">
        <v>262</v>
      </c>
      <c r="I20" s="37" t="s">
        <v>263</v>
      </c>
      <c r="J20" s="8" t="s">
        <v>102</v>
      </c>
      <c r="K20" s="7"/>
      <c r="L20" s="7"/>
      <c r="M20" s="7"/>
      <c r="Q20" s="54" t="str">
        <f aca="false">HLOOKUP($AJ$13,'Daten-Zusammensetzung Bauteil'!$B$4:$BC$11,Database!$B10,FALSE())</f>
        <v>Metallstabgeländer [kg]</v>
      </c>
      <c r="R20" s="55" t="str">
        <f aca="false">HLOOKUP($AJ$13,'Daten-Funktion'!$B$4:$BC$11,Database!$B10,FALSE())</f>
        <v>E2.6</v>
      </c>
      <c r="S20" s="54" t="n">
        <f aca="false">HLOOKUP($AJ$13,'Daten-THGE'!$B$4:$BC$11,Database!$B10,FALSE())</f>
        <v>0.08775</v>
      </c>
      <c r="T20" s="54" t="n">
        <f aca="false">HLOOKUP($AJ$13,'Daten-Dichte'!$B$4:$BC$11,Database!$B10,FALSE())</f>
        <v>7850</v>
      </c>
      <c r="U20" s="54" t="n">
        <f aca="false">HLOOKUP($AJ$13,'Daten-Dicke'!$B$4:$BC$11,Database!$B10,FALSE())</f>
        <v>0.165764331210191</v>
      </c>
      <c r="V20" s="57"/>
      <c r="W20" s="20" t="n">
        <f aca="false">IF(V20=0,T20*U20/100*S20,S20*T20*V20/1000)</f>
        <v>1.141846875</v>
      </c>
      <c r="X20" s="7"/>
      <c r="Y20" s="7"/>
    </row>
    <row r="21" customFormat="false" ht="15.75" hidden="false" customHeight="false" outlineLevel="0" collapsed="false">
      <c r="B21" s="37" t="s">
        <v>97</v>
      </c>
      <c r="C21" s="54" t="str">
        <f aca="false">HLOOKUP($AI$33,'Daten-Zusammensetzung Bauteil'!$B$4:$BC$14,Database!$B4,FALSE())</f>
        <v>Holz-Metallfenster [m2 i.L.]</v>
      </c>
      <c r="D21" s="55" t="str">
        <f aca="false">HLOOKUP($AI$33,'Daten-Funktion'!$B$4:$BC$14,Database!$B4,FALSE())</f>
        <v>E3.1</v>
      </c>
      <c r="E21" s="54" t="n">
        <f aca="false">HLOOKUP($AI$33,'Daten-THGE'!$B$4:$BC$14,Database!$B4,FALSE())</f>
        <v>7.23333333333333</v>
      </c>
      <c r="F21" s="54" t="n">
        <f aca="false">HLOOKUP($AI$33,'Daten-Dichte'!$B$4:$BC$14,Database!$B4,FALSE())</f>
        <v>0.22</v>
      </c>
      <c r="G21" s="54"/>
      <c r="H21" s="9"/>
      <c r="I21" s="20" t="n">
        <f aca="false">IF(H21=0,F21*E21,E21*F21)</f>
        <v>1.59133333333333</v>
      </c>
      <c r="J21" s="56" t="n">
        <f aca="false">SUM(I21:I23)*Gebäude!$C$43</f>
        <v>1347.05693333333</v>
      </c>
      <c r="K21" s="37" t="s">
        <v>31</v>
      </c>
      <c r="L21" s="37"/>
      <c r="M21" s="37"/>
      <c r="Q21" s="54"/>
      <c r="R21" s="55"/>
      <c r="S21" s="54"/>
      <c r="T21" s="54"/>
      <c r="U21" s="54"/>
      <c r="Z21" s="64" t="s">
        <v>284</v>
      </c>
      <c r="AA21" s="64" t="s">
        <v>287</v>
      </c>
      <c r="AB21" s="64" t="s">
        <v>288</v>
      </c>
      <c r="AC21" s="64" t="s">
        <v>273</v>
      </c>
      <c r="AD21" s="64" t="s">
        <v>274</v>
      </c>
      <c r="AE21" s="64" t="s">
        <v>275</v>
      </c>
      <c r="AF21" s="64" t="s">
        <v>276</v>
      </c>
      <c r="AG21" s="64" t="s">
        <v>305</v>
      </c>
      <c r="AH21" s="64" t="s">
        <v>306</v>
      </c>
    </row>
    <row r="22" customFormat="false" ht="20.25" hidden="false" customHeight="false" outlineLevel="0" collapsed="false">
      <c r="B22" s="53" t="s">
        <v>113</v>
      </c>
      <c r="C22" s="54" t="str">
        <f aca="false">HLOOKUP($AI$33,'Daten-Zusammensetzung Bauteil'!$B$4:$BC$14,Database!$B5,FALSE())</f>
        <v>Isolierverglasung 3-fach, Ug-Wert 0.6 W/m2K, Dicke 40 mm [m2]</v>
      </c>
      <c r="D22" s="55" t="str">
        <f aca="false">HLOOKUP($AI$33,'Daten-Funktion'!$B$4:$BC$14,Database!$B5,FALSE())</f>
        <v>E3.1</v>
      </c>
      <c r="E22" s="54" t="n">
        <f aca="false">HLOOKUP($AI$33,'Daten-THGE'!$B$4:$BC$14,Database!$B5,FALSE())</f>
        <v>2.22666666666667</v>
      </c>
      <c r="F22" s="54" t="n">
        <f aca="false">HLOOKUP($AI$33,'Daten-Dichte'!$B$4:$BC$14,Database!$B5,FALSE())</f>
        <v>0.78</v>
      </c>
      <c r="G22" s="54"/>
      <c r="H22" s="9"/>
      <c r="I22" s="20" t="n">
        <f aca="false">IF(H22=0,F22*E22,E22*F22)</f>
        <v>1.7368</v>
      </c>
      <c r="J22" s="54"/>
      <c r="K22" s="7"/>
      <c r="L22" s="7"/>
      <c r="M22" s="7"/>
      <c r="P22" s="6" t="s">
        <v>266</v>
      </c>
      <c r="Q22" s="37" t="s">
        <v>257</v>
      </c>
      <c r="R22" s="52"/>
      <c r="S22" s="37" t="s">
        <v>259</v>
      </c>
      <c r="T22" s="37" t="s">
        <v>260</v>
      </c>
      <c r="U22" s="37" t="s">
        <v>261</v>
      </c>
      <c r="V22" s="53" t="s">
        <v>262</v>
      </c>
      <c r="W22" s="37" t="s">
        <v>263</v>
      </c>
      <c r="X22" s="8" t="s">
        <v>102</v>
      </c>
      <c r="Y22" s="7"/>
    </row>
    <row r="23" customFormat="false" ht="15.75" hidden="false" customHeight="false" outlineLevel="0" collapsed="false">
      <c r="B23" s="7"/>
      <c r="C23" s="54" t="str">
        <f aca="false">HLOOKUP($AI$33,'Daten-Zusammensetzung Bauteil'!$B$4:$BC$14,Database!$B6,FALSE())</f>
        <v>Lamellenstoren [m2]</v>
      </c>
      <c r="D23" s="55" t="str">
        <f aca="false">HLOOKUP($AI$33,'Daten-Funktion'!$B$4:$BC$14,Database!$B6,FALSE())</f>
        <v>E3.3</v>
      </c>
      <c r="E23" s="54" t="n">
        <f aca="false">HLOOKUP($AI$33,'Daten-THGE'!$B$4:$BC$14,Database!$B6,FALSE())</f>
        <v>1.91333333333333</v>
      </c>
      <c r="F23" s="54" t="n">
        <f aca="false">HLOOKUP($AI$33,'Daten-Dichte'!$B$4:$BC$14,Database!$B6,FALSE())</f>
        <v>1</v>
      </c>
      <c r="G23" s="54"/>
      <c r="H23" s="57"/>
      <c r="I23" s="20" t="n">
        <f aca="false">IF(H23=0,F23*E23,E23*F23)</f>
        <v>1.91333333333333</v>
      </c>
      <c r="J23" s="7"/>
      <c r="K23" s="7"/>
      <c r="L23" s="7"/>
      <c r="M23" s="7"/>
      <c r="N23" s="86"/>
      <c r="O23" s="85"/>
      <c r="P23" s="37" t="s">
        <v>99</v>
      </c>
      <c r="Q23" s="54" t="str">
        <f aca="false">HLOOKUP($AJ$23,'Daten-Zusammensetzung Bauteil'!$B$4:$BC$14,Database!$B4,FALSE())</f>
        <v>Balkonkragplatte Ortbeton [kg]</v>
      </c>
      <c r="R23" s="55" t="str">
        <f aca="false">MID(HLOOKUP($AJ$23,'Daten-Funktion'!$B$4:$BC$14,Database!$B4,FALSE()),1,2)</f>
        <v>C4</v>
      </c>
      <c r="S23" s="54" t="n">
        <f aca="false">HLOOKUP($AJ$23,'Daten-THGE'!$B$4:$BC$14,Database!$B4,FALSE())</f>
        <v>0.00248</v>
      </c>
      <c r="T23" s="54" t="n">
        <f aca="false">HLOOKUP($AJ$23,'Daten-Dichte'!$B$4:$BC$14,Database!$B4,FALSE())</f>
        <v>2300</v>
      </c>
      <c r="U23" s="54" t="n">
        <f aca="false">HLOOKUP($AJ$23,'Daten-Dicke'!$B$4:$BC$14,Database!$B4,FALSE())</f>
        <v>20.375</v>
      </c>
      <c r="V23" s="9"/>
      <c r="W23" s="20" t="n">
        <f aca="false">IF(V23=0,T23*U23/100*S23,S23*T23*V23/1000)</f>
        <v>1.16219</v>
      </c>
      <c r="X23" s="56" t="n">
        <f aca="false">SUM(W23:W29)*$AJ$24*Gebäude!$C$44</f>
        <v>0</v>
      </c>
      <c r="Y23" s="37" t="s">
        <v>31</v>
      </c>
      <c r="Z23" s="68" t="n">
        <f aca="false">IF(R23="C4",1,0)</f>
        <v>1</v>
      </c>
      <c r="AA23" s="68" t="n">
        <f aca="false">IF(R23="G2.1",1,0)</f>
        <v>0</v>
      </c>
      <c r="AB23" s="68" t="n">
        <f aca="false">IF(R23="G2.2",1,0)</f>
        <v>0</v>
      </c>
      <c r="AC23" s="68" t="n">
        <f aca="false">IF(R23="E2.1",1,0)</f>
        <v>0</v>
      </c>
      <c r="AD23" s="68" t="n">
        <f aca="false">IF(R23="E2.2",1,0)</f>
        <v>0</v>
      </c>
      <c r="AE23" s="68" t="n">
        <f aca="false">IF(R23="E2.3",1,0)</f>
        <v>0</v>
      </c>
      <c r="AF23" s="68" t="n">
        <f aca="false">IF(R23="E2.4",1,0)</f>
        <v>0</v>
      </c>
      <c r="AG23" s="68" t="n">
        <f aca="false">IF(R23="E2.5",1,0)</f>
        <v>0</v>
      </c>
      <c r="AH23" s="68" t="n">
        <f aca="false">IF(R23="E2.6",1,0)</f>
        <v>0</v>
      </c>
      <c r="AI23" s="0" t="str">
        <f aca="false">VLOOKUP($B$16,Database!$Y$29:$AD$31,5,FALSE())</f>
        <v>3a</v>
      </c>
      <c r="AJ23" s="0" t="str">
        <f aca="false">VLOOKUP($P$24,Database!$Y$29:$AD$31,6,FALSE())</f>
        <v>13a</v>
      </c>
    </row>
    <row r="24" customFormat="false" ht="15.75" hidden="false" customHeight="false" outlineLevel="0" collapsed="false">
      <c r="P24" s="37" t="str">
        <f aca="false">Gebäude!$G$25</f>
        <v>Massivbauweise</v>
      </c>
      <c r="Q24" s="54" t="str">
        <f aca="false">HLOOKUP($AJ$23,'Daten-Zusammensetzung Bauteil'!$B$4:$BC$14,Database!$B5,FALSE())</f>
        <v>Bewehrungsstahl [kg]</v>
      </c>
      <c r="R24" s="55" t="str">
        <f aca="false">MID(HLOOKUP($AJ$23,'Daten-Funktion'!$B$4:$BC$14,Database!$B5,FALSE()),1,2)</f>
        <v>C4</v>
      </c>
      <c r="S24" s="54" t="n">
        <f aca="false">HLOOKUP($AJ$23,'Daten-THGE'!$B$4:$BC$14,Database!$B5,FALSE())</f>
        <v>0.01705</v>
      </c>
      <c r="T24" s="54" t="n">
        <f aca="false">HLOOKUP($AJ$23,'Daten-Dichte'!$B$4:$BC$14,Database!$B5,FALSE())</f>
        <v>7850</v>
      </c>
      <c r="U24" s="54" t="n">
        <f aca="false">HLOOKUP($AJ$23,'Daten-Dicke'!$B$4:$BC$14,Database!$B5,FALSE())</f>
        <v>0.223328025477707</v>
      </c>
      <c r="V24" s="9"/>
      <c r="W24" s="20" t="n">
        <f aca="false">IF(V24=0,T24*U24/100*S24,S24*T24*V24/1000)</f>
        <v>0.2989078125</v>
      </c>
      <c r="X24" s="54"/>
      <c r="Y24" s="7"/>
      <c r="Z24" s="68" t="n">
        <f aca="false">IF(R24="C4",1,0)</f>
        <v>1</v>
      </c>
      <c r="AA24" s="68" t="n">
        <f aca="false">IF(R24="G2.1",1,0)</f>
        <v>0</v>
      </c>
      <c r="AB24" s="68" t="n">
        <f aca="false">IF(R24="G2.2",1,0)</f>
        <v>0</v>
      </c>
      <c r="AC24" s="68" t="n">
        <f aca="false">IF(R24="E2.1",1,0)</f>
        <v>0</v>
      </c>
      <c r="AD24" s="68" t="n">
        <f aca="false">IF(R24="E2.2",1,0)</f>
        <v>0</v>
      </c>
      <c r="AE24" s="68" t="n">
        <f aca="false">IF(R24="E2.3",1,0)</f>
        <v>0</v>
      </c>
      <c r="AF24" s="68" t="n">
        <f aca="false">IF(R24="E2.4",1,0)</f>
        <v>0</v>
      </c>
      <c r="AG24" s="68" t="n">
        <f aca="false">IF(R24="E2.5",1,0)</f>
        <v>0</v>
      </c>
      <c r="AH24" s="68" t="n">
        <f aca="false">IF(R24="E2.6",1,0)</f>
        <v>0</v>
      </c>
      <c r="AJ24" s="0" t="n">
        <f aca="false">IF($P$25=Database!$D$21,1,0)</f>
        <v>0</v>
      </c>
    </row>
    <row r="25" customFormat="false" ht="15.75" hidden="false" customHeight="false" outlineLevel="0" collapsed="false">
      <c r="P25" s="37" t="str">
        <f aca="false">Gebäude!$G$38</f>
        <v>Nein</v>
      </c>
      <c r="Q25" s="54" t="str">
        <f aca="false">HLOOKUP($AJ$23,'Daten-Zusammensetzung Bauteil'!$B$4:$BC$14,Database!$B6,FALSE())</f>
        <v>3-SP Schalung 2.5 cm (Annahme 5xverwendet) [kg]</v>
      </c>
      <c r="R25" s="55" t="str">
        <f aca="false">MID(HLOOKUP($AJ$23,'Daten-Funktion'!$B$4:$BC$14,Database!$B6,FALSE()),1,2)</f>
        <v>C4</v>
      </c>
      <c r="S25" s="54" t="n">
        <f aca="false">HLOOKUP($AJ$23,'Daten-THGE'!$B$4:$BC$14,Database!$B6,FALSE())</f>
        <v>0.013075</v>
      </c>
      <c r="T25" s="54" t="n">
        <f aca="false">HLOOKUP($AJ$23,'Daten-Dichte'!$B$4:$BC$14,Database!$B6,FALSE())</f>
        <v>470</v>
      </c>
      <c r="U25" s="54" t="n">
        <f aca="false">HLOOKUP($AJ$23,'Daten-Dicke'!$B$4:$BC$14,Database!$B6,FALSE())</f>
        <v>1</v>
      </c>
      <c r="V25" s="57"/>
      <c r="W25" s="20" t="n">
        <f aca="false">IF(V25=0,T25*U25/100*S25,S25*T25*V25/1000)</f>
        <v>0.0614525</v>
      </c>
      <c r="X25" s="7"/>
      <c r="Y25" s="7"/>
      <c r="Z25" s="68" t="n">
        <f aca="false">IF(R25="C4",1,0)</f>
        <v>1</v>
      </c>
      <c r="AA25" s="68" t="n">
        <f aca="false">IF(R25="G2.1",1,0)</f>
        <v>0</v>
      </c>
      <c r="AB25" s="68" t="n">
        <f aca="false">IF(R25="G2.2",1,0)</f>
        <v>0</v>
      </c>
      <c r="AC25" s="68" t="n">
        <f aca="false">IF(R25="E2.1",1,0)</f>
        <v>0</v>
      </c>
      <c r="AD25" s="68" t="n">
        <f aca="false">IF(R25="E2.2",1,0)</f>
        <v>0</v>
      </c>
      <c r="AE25" s="68" t="n">
        <f aca="false">IF(R25="E2.3",1,0)</f>
        <v>0</v>
      </c>
      <c r="AF25" s="68" t="n">
        <f aca="false">IF(R25="E2.4",1,0)</f>
        <v>0</v>
      </c>
      <c r="AG25" s="68" t="n">
        <f aca="false">IF(R25="E2.5",1,0)</f>
        <v>0</v>
      </c>
      <c r="AH25" s="68" t="n">
        <f aca="false">IF(R25="E2.6",1,0)</f>
        <v>0</v>
      </c>
    </row>
    <row r="26" customFormat="false" ht="15.75" hidden="false" customHeight="false" outlineLevel="0" collapsed="false">
      <c r="P26" s="7"/>
      <c r="Q26" s="54" t="str">
        <f aca="false">HLOOKUP($AJ$23,'Daten-Zusammensetzung Bauteil'!$B$4:$BC$14,Database!$B7,FALSE())</f>
        <v>Chromstahl (Kragplattenanschluss) [kg]</v>
      </c>
      <c r="R26" s="55" t="str">
        <f aca="false">MID(HLOOKUP($AJ$23,'Daten-Funktion'!$B$4:$BC$14,Database!$B7,FALSE()),1,2)</f>
        <v>C4</v>
      </c>
      <c r="S26" s="54" t="n">
        <f aca="false">HLOOKUP($AJ$23,'Daten-THGE'!$B$4:$BC$14,Database!$B7,FALSE())</f>
        <v>0.094</v>
      </c>
      <c r="T26" s="54" t="n">
        <f aca="false">HLOOKUP($AJ$23,'Daten-Dichte'!$B$4:$BC$14,Database!$B7,FALSE())</f>
        <v>7900</v>
      </c>
      <c r="U26" s="54" t="n">
        <f aca="false">HLOOKUP($AJ$23,'Daten-Dicke'!$B$4:$BC$14,Database!$B7,FALSE())</f>
        <v>0.0594936708860759</v>
      </c>
      <c r="V26" s="57"/>
      <c r="W26" s="20" t="n">
        <f aca="false">IF(V26=0,T26*U26/100*S26,S26*T26*V26/1000)</f>
        <v>0.4418</v>
      </c>
      <c r="X26" s="7"/>
      <c r="Y26" s="7"/>
      <c r="Z26" s="68" t="n">
        <f aca="false">IF(R26="C4",1,0)</f>
        <v>1</v>
      </c>
      <c r="AA26" s="68" t="n">
        <f aca="false">IF(R26="G2.1",1,0)</f>
        <v>0</v>
      </c>
      <c r="AB26" s="68" t="n">
        <f aca="false">IF(R26="G2.2",1,0)</f>
        <v>0</v>
      </c>
      <c r="AC26" s="68" t="n">
        <f aca="false">IF(R26="E2.1",1,0)</f>
        <v>0</v>
      </c>
      <c r="AD26" s="68" t="n">
        <f aca="false">IF(R26="E2.2",1,0)</f>
        <v>0</v>
      </c>
      <c r="AE26" s="68" t="n">
        <f aca="false">IF(R26="E2.3",1,0)</f>
        <v>0</v>
      </c>
      <c r="AF26" s="68" t="n">
        <f aca="false">IF(R26="E2.4",1,0)</f>
        <v>0</v>
      </c>
      <c r="AG26" s="68" t="n">
        <f aca="false">IF(R26="E2.5",1,0)</f>
        <v>0</v>
      </c>
      <c r="AH26" s="68" t="n">
        <f aca="false">IF(R26="E2.6",1,0)</f>
        <v>0</v>
      </c>
    </row>
    <row r="27" customFormat="false" ht="15.75" hidden="false" customHeight="false" outlineLevel="0" collapsed="false">
      <c r="P27" s="7"/>
      <c r="Q27" s="54" t="str">
        <f aca="false">HLOOKUP($AJ$23,'Daten-Zusammensetzung Bauteil'!$B$4:$BC$14,Database!$B8,FALSE())</f>
        <v>XPS (Kragplattenanschluss)[kg]</v>
      </c>
      <c r="R27" s="55" t="str">
        <f aca="false">MID(HLOOKUP($AJ$23,'Daten-Funktion'!$B$4:$BC$14,Database!$B8,FALSE()),1,2)</f>
        <v>C4</v>
      </c>
      <c r="S27" s="54" t="n">
        <f aca="false">HLOOKUP($AJ$23,'Daten-THGE'!$B$4:$BC$14,Database!$B8,FALSE())</f>
        <v>0.3625</v>
      </c>
      <c r="T27" s="54" t="n">
        <f aca="false">HLOOKUP($AJ$23,'Daten-Dichte'!$B$4:$BC$14,Database!$B8,FALSE())</f>
        <v>35</v>
      </c>
      <c r="U27" s="54" t="n">
        <f aca="false">HLOOKUP($AJ$23,'Daten-Dicke'!$B$4:$BC$14,Database!$B8,FALSE())</f>
        <v>0.857142857142857</v>
      </c>
      <c r="V27" s="57"/>
      <c r="W27" s="20" t="n">
        <f aca="false">IF(V27=0,T27*U27/100*S27,S27*T27*V27/1000)</f>
        <v>0.10875</v>
      </c>
      <c r="X27" s="7"/>
      <c r="Y27" s="7"/>
      <c r="Z27" s="68" t="n">
        <f aca="false">IF(R27="C4",1,0)</f>
        <v>1</v>
      </c>
      <c r="AA27" s="68" t="n">
        <f aca="false">IF(R27="G2.1",1,0)</f>
        <v>0</v>
      </c>
      <c r="AB27" s="68" t="n">
        <f aca="false">IF(R27="G2.2",1,0)</f>
        <v>0</v>
      </c>
      <c r="AC27" s="68" t="n">
        <f aca="false">IF(R27="E2.1",1,0)</f>
        <v>0</v>
      </c>
      <c r="AD27" s="68" t="n">
        <f aca="false">IF(R27="E2.2",1,0)</f>
        <v>0</v>
      </c>
      <c r="AE27" s="68" t="n">
        <f aca="false">IF(R27="E2.3",1,0)</f>
        <v>0</v>
      </c>
      <c r="AF27" s="68" t="n">
        <f aca="false">IF(R27="E2.4",1,0)</f>
        <v>0</v>
      </c>
      <c r="AG27" s="68" t="n">
        <f aca="false">IF(R27="E2.5",1,0)</f>
        <v>0</v>
      </c>
      <c r="AH27" s="68" t="n">
        <f aca="false">IF(R27="E2.6",1,0)</f>
        <v>0</v>
      </c>
    </row>
    <row r="28" customFormat="false" ht="15.75" hidden="false" customHeight="false" outlineLevel="0" collapsed="false">
      <c r="P28" s="7"/>
      <c r="Q28" s="54" t="str">
        <f aca="false">HLOOKUP($AJ$23,'Daten-Zusammensetzung Bauteil'!$B$4:$BC$14,Database!$B9,FALSE())</f>
        <v>Harbetonüberzug [kg]</v>
      </c>
      <c r="R28" s="55" t="str">
        <f aca="false">HLOOKUP($AJ$23,'Daten-Funktion'!$B$4:$BC$14,Database!$B9,FALSE())</f>
        <v>G2.2</v>
      </c>
      <c r="S28" s="54" t="n">
        <f aca="false">HLOOKUP($AJ$23,'Daten-THGE'!$B$4:$BC$14,Database!$B9,FALSE())</f>
        <v>0.00730968858131488</v>
      </c>
      <c r="T28" s="54" t="n">
        <f aca="false">HLOOKUP($AJ$23,'Daten-Dichte'!$B$4:$BC$14,Database!$B9,FALSE())</f>
        <v>2101.81818181818</v>
      </c>
      <c r="U28" s="54" t="n">
        <f aca="false">HLOOKUP($AJ$23,'Daten-Dicke'!$B$4:$BC$14,Database!$B9,FALSE())</f>
        <v>2.75</v>
      </c>
      <c r="V28" s="57"/>
      <c r="W28" s="20" t="n">
        <f aca="false">IF(V28=0,T28*U28/100*S28,S28*T28*V28/1000)</f>
        <v>0.4225</v>
      </c>
      <c r="X28" s="7"/>
      <c r="Y28" s="7"/>
      <c r="Z28" s="68" t="n">
        <f aca="false">IF(R28="C4",1,0)</f>
        <v>0</v>
      </c>
      <c r="AA28" s="68" t="n">
        <f aca="false">IF(R28="G2.1",1,0)</f>
        <v>0</v>
      </c>
      <c r="AB28" s="68" t="n">
        <f aca="false">IF(R28="G2.2",1,0)</f>
        <v>1</v>
      </c>
      <c r="AC28" s="68" t="n">
        <f aca="false">IF(R28="E2.1",1,0)</f>
        <v>0</v>
      </c>
      <c r="AD28" s="68" t="n">
        <f aca="false">IF(R28="E2.2",1,0)</f>
        <v>0</v>
      </c>
      <c r="AE28" s="68" t="n">
        <f aca="false">IF(R28="E2.3",1,0)</f>
        <v>0</v>
      </c>
      <c r="AF28" s="68" t="n">
        <f aca="false">IF(R28="E2.4",1,0)</f>
        <v>0</v>
      </c>
      <c r="AG28" s="68" t="n">
        <f aca="false">IF(R28="E2.5",1,0)</f>
        <v>0</v>
      </c>
      <c r="AH28" s="68" t="n">
        <f aca="false">IF(R28="E2.6",1,0)</f>
        <v>0</v>
      </c>
    </row>
    <row r="29" customFormat="false" ht="15.75" hidden="false" customHeight="false" outlineLevel="0" collapsed="false">
      <c r="N29" s="86"/>
      <c r="O29" s="85"/>
      <c r="P29" s="7"/>
      <c r="Q29" s="54" t="str">
        <f aca="false">HLOOKUP($AJ$23,'Daten-Zusammensetzung Bauteil'!$B$4:$BC$14,Database!$B10,FALSE())</f>
        <v>Metallstabgeländer [kg]</v>
      </c>
      <c r="R29" s="55" t="str">
        <f aca="false">HLOOKUP($AJ$23,'Daten-Funktion'!$B$4:$BC$14,Database!$B10,FALSE())</f>
        <v>E2.6</v>
      </c>
      <c r="S29" s="54" t="n">
        <f aca="false">HLOOKUP($AJ$23,'Daten-THGE'!$B$4:$BC$14,Database!$B10,FALSE())</f>
        <v>0.08775</v>
      </c>
      <c r="T29" s="54" t="n">
        <f aca="false">HLOOKUP($AJ$23,'Daten-Dichte'!$B$4:$BC$14,Database!$B10,FALSE())</f>
        <v>7850</v>
      </c>
      <c r="U29" s="54" t="n">
        <f aca="false">HLOOKUP($AJ$23,'Daten-Dicke'!$B$4:$BC$14,Database!$B10,FALSE())</f>
        <v>0.165764331210191</v>
      </c>
      <c r="V29" s="57"/>
      <c r="W29" s="20" t="n">
        <f aca="false">IF(V29=0,T29*U29/100*S29,S29*T29*V29/1000)</f>
        <v>1.141846875</v>
      </c>
      <c r="X29" s="7"/>
      <c r="Y29" s="7"/>
      <c r="Z29" s="68" t="n">
        <f aca="false">IF(R29="C4",1,0)</f>
        <v>0</v>
      </c>
      <c r="AA29" s="68" t="n">
        <f aca="false">IF(R29="G2.1",1,0)</f>
        <v>0</v>
      </c>
      <c r="AB29" s="68" t="n">
        <f aca="false">IF(R29="G2.2",1,0)</f>
        <v>0</v>
      </c>
      <c r="AC29" s="68" t="n">
        <f aca="false">IF(R29="E2.1",1,0)</f>
        <v>0</v>
      </c>
      <c r="AD29" s="68" t="n">
        <f aca="false">IF(R29="E2.2",1,0)</f>
        <v>0</v>
      </c>
      <c r="AE29" s="68" t="n">
        <f aca="false">IF(R29="E2.3",1,0)</f>
        <v>0</v>
      </c>
      <c r="AF29" s="68" t="n">
        <f aca="false">IF(R29="E2.4",1,0)</f>
        <v>0</v>
      </c>
      <c r="AG29" s="68" t="n">
        <f aca="false">IF(R29="E2.5",1,0)</f>
        <v>0</v>
      </c>
      <c r="AH29" s="68" t="n">
        <f aca="false">IF(R29="E2.6",1,0)</f>
        <v>1</v>
      </c>
      <c r="AI29" s="76"/>
    </row>
    <row r="30" customFormat="false" ht="15" hidden="false" customHeight="false" outlineLevel="0" collapsed="false">
      <c r="Z30" s="81" t="n">
        <f aca="false">IF(X23=0,0,SUMPRODUCT(W23:W29*Z23:Z29)/SUM(W23:W29)*AJ24)</f>
        <v>0</v>
      </c>
      <c r="AA30" s="81" t="n">
        <f aca="false">IF(X23=0,0,SUMPRODUCT(W23:W29*AA23:AA29)/SUM(W23:W29)*AJ24)</f>
        <v>0</v>
      </c>
      <c r="AB30" s="81" t="n">
        <f aca="false">IF(X23=0,0,SUMPRODUCT(W23:W29*AB23:AB29)/SUM(W23:W29))</f>
        <v>0</v>
      </c>
      <c r="AC30" s="81" t="n">
        <f aca="false">IF(X23=0,0,SUMPRODUCT(W23:W29*AC23:AC29)/SUM(W23:W29))</f>
        <v>0</v>
      </c>
      <c r="AD30" s="81" t="n">
        <f aca="false">IF(X23=0,0,SUMPRODUCT(W23:W29*AD23:AD29)/SUM(W23:W29))</f>
        <v>0</v>
      </c>
      <c r="AE30" s="81" t="n">
        <f aca="false">IF(X23=0,0,SUMPRODUCT(W23:W29*AE23:AE29)/SUM(W23:W29))</f>
        <v>0</v>
      </c>
      <c r="AF30" s="81" t="n">
        <f aca="false">IF(X23=0,0,SUMPRODUCT(W23:W29*AF23:AF29)/SUM(W23:W29))</f>
        <v>0</v>
      </c>
      <c r="AG30" s="81" t="n">
        <f aca="false">IF(X23=0,0,SUMPRODUCT(W23:W29*AG23:AG29)/SUM(W23:W29))</f>
        <v>0</v>
      </c>
      <c r="AH30" s="81" t="n">
        <f aca="false">IF(X23=0,0,SUMPRODUCT(W23:W29*AH23:AH29)/SUM(W23:W29)*AJ24)</f>
        <v>0</v>
      </c>
      <c r="AI30" s="87" t="n">
        <f aca="false">SUM(Z30:AH30)</f>
        <v>0</v>
      </c>
    </row>
    <row r="31" customFormat="false" ht="15" hidden="false" customHeight="false" outlineLevel="0" collapsed="false">
      <c r="P31" s="59" t="s">
        <v>265</v>
      </c>
      <c r="Z31" s="86"/>
      <c r="AA31" s="86"/>
      <c r="AB31" s="86"/>
      <c r="AC31" s="86"/>
      <c r="AD31" s="86"/>
      <c r="AE31" s="86"/>
      <c r="AF31" s="86"/>
      <c r="AG31" s="86"/>
      <c r="AH31" s="86"/>
      <c r="AI31" s="76"/>
    </row>
    <row r="32" customFormat="false" ht="20.25" hidden="false" customHeight="false" outlineLevel="0" collapsed="false">
      <c r="P32" s="6" t="s">
        <v>266</v>
      </c>
      <c r="Q32" s="37" t="s">
        <v>257</v>
      </c>
      <c r="R32" s="52"/>
      <c r="S32" s="37" t="s">
        <v>259</v>
      </c>
      <c r="T32" s="37" t="s">
        <v>260</v>
      </c>
      <c r="U32" s="37" t="s">
        <v>261</v>
      </c>
      <c r="V32" s="53" t="s">
        <v>262</v>
      </c>
      <c r="W32" s="37" t="s">
        <v>263</v>
      </c>
      <c r="X32" s="8" t="s">
        <v>102</v>
      </c>
      <c r="Y32" s="7"/>
      <c r="AI32" s="76"/>
    </row>
    <row r="33" customFormat="false" ht="15.75" hidden="false" customHeight="false" outlineLevel="0" collapsed="false">
      <c r="P33" s="37" t="s">
        <v>99</v>
      </c>
      <c r="Q33" s="54" t="str">
        <f aca="false">HLOOKUP($AJ$33,'Daten-Zusammensetzung Bauteil'!$B$4:$BC$14,Database!$B4,FALSE())</f>
        <v>Balkonkragplatte Ortbeton [kg]</v>
      </c>
      <c r="R33" s="55" t="str">
        <f aca="false">MID(HLOOKUP($AJ$33,'Daten-Funktion'!$B$4:$BC$14,Database!$B4,FALSE()),1,2)</f>
        <v>C4</v>
      </c>
      <c r="S33" s="54" t="n">
        <f aca="false">HLOOKUP($AJ$33,'Daten-THGE'!$B$4:$BC$14,Database!$B4,FALSE())</f>
        <v>0.00248</v>
      </c>
      <c r="T33" s="54" t="n">
        <f aca="false">HLOOKUP($AJ$33,'Daten-Dichte'!$B$4:$BC$14,Database!$B4,FALSE())</f>
        <v>2300</v>
      </c>
      <c r="U33" s="54" t="n">
        <f aca="false">HLOOKUP($AJ$33,'Daten-Dicke'!$B$4:$BC$14,Database!$B4,FALSE())</f>
        <v>20.375</v>
      </c>
      <c r="V33" s="9"/>
      <c r="W33" s="20" t="n">
        <f aca="false">IF(V33=0,T33*U33/100*S33,S33*T33*V33/1000)</f>
        <v>1.16219</v>
      </c>
      <c r="X33" s="56" t="n">
        <f aca="false">SUM(W33:W39)*$AJ$34*P37</f>
        <v>0</v>
      </c>
      <c r="Y33" s="37" t="s">
        <v>31</v>
      </c>
      <c r="AI33" s="0" t="str">
        <f aca="false">VLOOKUP($B$22,Database!$Y$29:$AD$31,5,FALSE())</f>
        <v>3a</v>
      </c>
      <c r="AJ33" s="0" t="str">
        <f aca="false">VLOOKUP($P$34,Database!$Y$29:$AD$31,6,FALSE())</f>
        <v>13a</v>
      </c>
    </row>
    <row r="34" customFormat="false" ht="15.75" hidden="false" customHeight="false" outlineLevel="0" collapsed="false">
      <c r="P34" s="53" t="s">
        <v>113</v>
      </c>
      <c r="Q34" s="54" t="str">
        <f aca="false">HLOOKUP($AJ$33,'Daten-Zusammensetzung Bauteil'!$B$4:$BC$14,Database!$B5,FALSE())</f>
        <v>Bewehrungsstahl [kg]</v>
      </c>
      <c r="R34" s="55" t="str">
        <f aca="false">MID(HLOOKUP($AJ$33,'Daten-Funktion'!$B$4:$BC$14,Database!$B5,FALSE()),1,2)</f>
        <v>C4</v>
      </c>
      <c r="S34" s="54" t="n">
        <f aca="false">HLOOKUP($AJ$33,'Daten-THGE'!$B$4:$BC$14,Database!$B5,FALSE())</f>
        <v>0.01705</v>
      </c>
      <c r="T34" s="54" t="n">
        <f aca="false">HLOOKUP($AJ$33,'Daten-Dichte'!$B$4:$BC$14,Database!$B5,FALSE())</f>
        <v>7850</v>
      </c>
      <c r="U34" s="54" t="n">
        <f aca="false">HLOOKUP($AJ$33,'Daten-Dicke'!$B$4:$BC$14,Database!$B5,FALSE())</f>
        <v>0.223328025477707</v>
      </c>
      <c r="V34" s="9"/>
      <c r="W34" s="20" t="n">
        <f aca="false">IF(V34=0,T34*U34/100*S34,S34*T34*V34/1000)</f>
        <v>0.2989078125</v>
      </c>
      <c r="X34" s="54"/>
      <c r="Y34" s="7"/>
      <c r="AJ34" s="0" t="n">
        <f aca="false">IF($P$35=Database!$D$21,1,0)</f>
        <v>0</v>
      </c>
    </row>
    <row r="35" customFormat="false" ht="15.75" hidden="false" customHeight="false" outlineLevel="0" collapsed="false">
      <c r="P35" s="53" t="s">
        <v>100</v>
      </c>
      <c r="Q35" s="54" t="str">
        <f aca="false">HLOOKUP($AJ$33,'Daten-Zusammensetzung Bauteil'!$B$4:$BC$14,Database!$B6,FALSE())</f>
        <v>3-SP Schalung 2.5 cm (Annahme 5xverwendet) [kg]</v>
      </c>
      <c r="R35" s="55" t="str">
        <f aca="false">MID(HLOOKUP($AJ$33,'Daten-Funktion'!$B$4:$BC$14,Database!$B6,FALSE()),1,2)</f>
        <v>C4</v>
      </c>
      <c r="S35" s="54" t="n">
        <f aca="false">HLOOKUP($AJ$33,'Daten-THGE'!$B$4:$BC$14,Database!$B6,FALSE())</f>
        <v>0.013075</v>
      </c>
      <c r="T35" s="54" t="n">
        <f aca="false">HLOOKUP($AJ$33,'Daten-Dichte'!$B$4:$BC$14,Database!$B6,FALSE())</f>
        <v>470</v>
      </c>
      <c r="U35" s="54" t="n">
        <f aca="false">HLOOKUP($AJ$33,'Daten-Dicke'!$B$4:$BC$14,Database!$B6,FALSE())</f>
        <v>1</v>
      </c>
      <c r="V35" s="57"/>
      <c r="W35" s="20" t="n">
        <f aca="false">IF(V35=0,T35*U35/100*S35,S35*T35*V35/1000)</f>
        <v>0.0614525</v>
      </c>
      <c r="X35" s="7"/>
      <c r="Y35" s="7"/>
    </row>
    <row r="36" customFormat="false" ht="15.75" hidden="false" customHeight="false" outlineLevel="0" collapsed="false">
      <c r="P36" s="53" t="s">
        <v>307</v>
      </c>
      <c r="Q36" s="54" t="str">
        <f aca="false">HLOOKUP($AJ$33,'Daten-Zusammensetzung Bauteil'!$B$4:$BC$14,Database!$B7,FALSE())</f>
        <v>Chromstahl (Kragplattenanschluss) [kg]</v>
      </c>
      <c r="R36" s="55" t="str">
        <f aca="false">MID(HLOOKUP($AJ$33,'Daten-Funktion'!$B$4:$BC$14,Database!$B7,FALSE()),1,2)</f>
        <v>C4</v>
      </c>
      <c r="S36" s="54" t="n">
        <f aca="false">HLOOKUP($AJ$33,'Daten-THGE'!$B$4:$BC$14,Database!$B7,FALSE())</f>
        <v>0.094</v>
      </c>
      <c r="T36" s="54" t="n">
        <f aca="false">HLOOKUP($AJ$33,'Daten-Dichte'!$B$4:$BC$14,Database!$B7,FALSE())</f>
        <v>7900</v>
      </c>
      <c r="U36" s="54" t="n">
        <f aca="false">HLOOKUP($AJ$33,'Daten-Dicke'!$B$4:$BC$14,Database!$B7,FALSE())</f>
        <v>0.0594936708860759</v>
      </c>
      <c r="V36" s="57"/>
      <c r="W36" s="20" t="n">
        <f aca="false">IF(V36=0,T36*U36/100*S36,S36*T36*V36/1000)</f>
        <v>0.4418</v>
      </c>
      <c r="X36" s="7"/>
      <c r="Y36" s="7"/>
    </row>
    <row r="37" customFormat="false" ht="15.75" hidden="false" customHeight="false" outlineLevel="0" collapsed="false">
      <c r="P37" s="53" t="n">
        <v>300</v>
      </c>
      <c r="Q37" s="54" t="str">
        <f aca="false">HLOOKUP($AJ$33,'Daten-Zusammensetzung Bauteil'!$B$4:$BC$14,Database!$B8,FALSE())</f>
        <v>XPS (Kragplattenanschluss)[kg]</v>
      </c>
      <c r="R37" s="55" t="str">
        <f aca="false">MID(HLOOKUP($AJ$33,'Daten-Funktion'!$B$4:$BC$14,Database!$B8,FALSE()),1,2)</f>
        <v>C4</v>
      </c>
      <c r="S37" s="54" t="n">
        <f aca="false">HLOOKUP($AJ$33,'Daten-THGE'!$B$4:$BC$14,Database!$B8,FALSE())</f>
        <v>0.3625</v>
      </c>
      <c r="T37" s="54" t="n">
        <f aca="false">HLOOKUP($AJ$33,'Daten-Dichte'!$B$4:$BC$14,Database!$B8,FALSE())</f>
        <v>35</v>
      </c>
      <c r="U37" s="54" t="n">
        <f aca="false">HLOOKUP($AJ$33,'Daten-Dicke'!$B$4:$BC$14,Database!$B8,FALSE())</f>
        <v>0.857142857142857</v>
      </c>
      <c r="V37" s="57"/>
      <c r="W37" s="20" t="n">
        <f aca="false">IF(V37=0,T37*U37/100*S37,S37*T37*V37/1000)</f>
        <v>0.10875</v>
      </c>
      <c r="X37" s="7"/>
      <c r="Y37" s="7"/>
    </row>
    <row r="38" customFormat="false" ht="15.75" hidden="false" customHeight="false" outlineLevel="0" collapsed="false">
      <c r="P38" s="7"/>
      <c r="Q38" s="54" t="str">
        <f aca="false">HLOOKUP($AJ$33,'Daten-Zusammensetzung Bauteil'!$B$4:$BC$14,Database!$B9,FALSE())</f>
        <v>Harbetonüberzug [kg]</v>
      </c>
      <c r="R38" s="55" t="str">
        <f aca="false">HLOOKUP($AJ$33,'Daten-Funktion'!$B$4:$BC$14,Database!$B9,FALSE())</f>
        <v>G2.2</v>
      </c>
      <c r="S38" s="54" t="n">
        <f aca="false">HLOOKUP($AJ$33,'Daten-THGE'!$B$4:$BC$14,Database!$B9,FALSE())</f>
        <v>0.00730968858131488</v>
      </c>
      <c r="T38" s="54" t="n">
        <f aca="false">HLOOKUP($AJ$33,'Daten-Dichte'!$B$4:$BC$14,Database!$B9,FALSE())</f>
        <v>2101.81818181818</v>
      </c>
      <c r="U38" s="54" t="n">
        <f aca="false">HLOOKUP($AJ$33,'Daten-Dicke'!$B$4:$BC$14,Database!$B9,FALSE())</f>
        <v>2.75</v>
      </c>
      <c r="V38" s="57"/>
      <c r="W38" s="20" t="n">
        <f aca="false">IF(V38=0,T38*U38/100*S38,S38*T38*V38/1000)</f>
        <v>0.4225</v>
      </c>
      <c r="X38" s="7"/>
      <c r="Y38" s="7"/>
    </row>
    <row r="39" customFormat="false" ht="15.75" hidden="false" customHeight="false" outlineLevel="0" collapsed="false">
      <c r="P39" s="7"/>
      <c r="Q39" s="54" t="str">
        <f aca="false">HLOOKUP($AJ$33,'Daten-Zusammensetzung Bauteil'!$B$4:$BC$14,Database!$B10,FALSE())</f>
        <v>Metallstabgeländer [kg]</v>
      </c>
      <c r="R39" s="55" t="str">
        <f aca="false">HLOOKUP($AJ$33,'Daten-Funktion'!$B$4:$BC$14,Database!$B10,FALSE())</f>
        <v>E2.6</v>
      </c>
      <c r="S39" s="54" t="n">
        <f aca="false">HLOOKUP($AJ$33,'Daten-THGE'!$B$4:$BC$14,Database!$B10,FALSE())</f>
        <v>0.08775</v>
      </c>
      <c r="T39" s="54" t="n">
        <f aca="false">HLOOKUP($AJ$33,'Daten-Dichte'!$B$4:$BC$14,Database!$B10,FALSE())</f>
        <v>7850</v>
      </c>
      <c r="U39" s="54" t="n">
        <f aca="false">HLOOKUP($AJ$33,'Daten-Dicke'!$B$4:$BC$14,Database!$B10,FALSE())</f>
        <v>0.165764331210191</v>
      </c>
      <c r="V39" s="57"/>
      <c r="W39" s="20" t="n">
        <f aca="false">IF(V39=0,T39*U39/100*S39,S39*T39*V39/1000)</f>
        <v>1.141846875</v>
      </c>
      <c r="X39" s="7"/>
      <c r="Y39" s="7"/>
      <c r="AI39" s="76"/>
    </row>
    <row r="40" customFormat="false" ht="15" hidden="false" customHeight="false" outlineLevel="0" collapsed="false">
      <c r="AI40" s="76"/>
    </row>
    <row r="41" customFormat="false" ht="15" hidden="false" customHeight="false" outlineLevel="0" collapsed="false">
      <c r="Z41" s="86"/>
      <c r="AA41" s="86"/>
      <c r="AB41" s="86"/>
      <c r="AC41" s="86"/>
      <c r="AD41" s="86"/>
      <c r="AE41" s="86"/>
      <c r="AF41" s="86"/>
      <c r="AG41" s="86"/>
      <c r="AH41" s="86"/>
    </row>
  </sheetData>
  <dataValidations count="2">
    <dataValidation allowBlank="true" errorStyle="stop" operator="between" showDropDown="false" showErrorMessage="true" showInputMessage="true" sqref="B11 P15 B22 P34" type="list">
      <formula1>Database!$H$4:$H$6</formula1>
      <formula2>0</formula2>
    </dataValidation>
    <dataValidation allowBlank="true" errorStyle="stop" operator="between" showDropDown="false" showErrorMessage="true" showInputMessage="true" sqref="P16 P35" type="list">
      <formula1>Database!$D$21:$D$22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true"/>
  </sheetPr>
  <dimension ref="C2:AJ10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42" activeCellId="0" sqref="L42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2.99"/>
    <col collapsed="false" customWidth="true" hidden="false" outlineLevel="0" max="3" min="3" style="0" width="16.41"/>
    <col collapsed="false" customWidth="true" hidden="false" outlineLevel="0" max="4" min="4" style="0" width="30.43"/>
    <col collapsed="false" customWidth="true" hidden="false" outlineLevel="0" max="6" min="5" style="0" width="6.01"/>
    <col collapsed="false" customWidth="true" hidden="false" outlineLevel="0" max="8" min="7" style="0" width="21.14"/>
    <col collapsed="false" customWidth="true" hidden="false" outlineLevel="0" max="10" min="9" style="0" width="23.42"/>
    <col collapsed="false" customWidth="true" hidden="false" outlineLevel="0" max="12" min="11" style="0" width="45.86"/>
    <col collapsed="false" customWidth="true" hidden="false" outlineLevel="0" max="13" min="13" style="0" width="15.88"/>
    <col collapsed="false" customWidth="true" hidden="false" outlineLevel="0" max="14" min="14" style="0" width="3.86"/>
    <col collapsed="false" customWidth="true" hidden="false" outlineLevel="0" max="15" min="15" style="0" width="3.42"/>
    <col collapsed="false" customWidth="true" hidden="false" outlineLevel="0" max="16" min="16" style="0" width="3.14"/>
    <col collapsed="false" customWidth="true" hidden="false" outlineLevel="0" max="17" min="17" style="0" width="3.98"/>
    <col collapsed="false" customWidth="true" hidden="false" outlineLevel="0" max="18" min="18" style="0" width="2.99"/>
    <col collapsed="false" customWidth="true" hidden="false" outlineLevel="0" max="19" min="19" style="0" width="15.88"/>
    <col collapsed="false" customWidth="true" hidden="false" outlineLevel="0" max="20" min="20" style="0" width="5.43"/>
    <col collapsed="false" customWidth="true" hidden="false" outlineLevel="0" max="21" min="21" style="0" width="45.42"/>
    <col collapsed="false" customWidth="true" hidden="false" outlineLevel="0" max="23" min="22" style="0" width="25"/>
    <col collapsed="false" customWidth="true" hidden="false" outlineLevel="0" max="25" min="25" style="0" width="15.15"/>
    <col collapsed="false" customWidth="true" hidden="false" outlineLevel="0" max="26" min="26" style="0" width="11.42"/>
    <col collapsed="false" customWidth="true" hidden="false" outlineLevel="0" max="27" min="27" style="0" width="23.15"/>
    <col collapsed="false" customWidth="true" hidden="false" outlineLevel="0" max="28" min="28" style="0" width="10"/>
    <col collapsed="false" customWidth="true" hidden="false" outlineLevel="0" max="29" min="29" style="0" width="7.41"/>
    <col collapsed="false" customWidth="true" hidden="false" outlineLevel="0" max="30" min="30" style="0" width="6.88"/>
    <col collapsed="false" customWidth="true" hidden="false" outlineLevel="0" max="31" min="31" style="0" width="7.41"/>
    <col collapsed="false" customWidth="true" hidden="false" outlineLevel="0" max="32" min="32" style="0" width="13.86"/>
    <col collapsed="false" customWidth="true" hidden="false" outlineLevel="0" max="33" min="33" style="0" width="17"/>
    <col collapsed="false" customWidth="true" hidden="false" outlineLevel="0" max="34" min="34" style="0" width="23.42"/>
  </cols>
  <sheetData>
    <row r="2" customFormat="false" ht="23.25" hidden="false" customHeight="false" outlineLevel="0" collapsed="false">
      <c r="C2" s="35" t="s">
        <v>130</v>
      </c>
      <c r="D2" s="35"/>
      <c r="E2" s="88" t="s">
        <v>131</v>
      </c>
      <c r="F2" s="88"/>
      <c r="G2" s="88"/>
      <c r="H2" s="88"/>
      <c r="I2" s="88"/>
      <c r="J2" s="88"/>
      <c r="K2" s="88"/>
      <c r="L2" s="88"/>
      <c r="M2" s="7"/>
      <c r="N2" s="7"/>
      <c r="O2" s="7"/>
      <c r="P2" s="7"/>
      <c r="Q2" s="7"/>
      <c r="R2" s="7"/>
      <c r="S2" s="7"/>
      <c r="T2" s="7"/>
      <c r="U2" s="89" t="s">
        <v>308</v>
      </c>
      <c r="V2" s="90" t="n">
        <f aca="false">O5*O6*O11*O13*O16*O18*O19*O20</f>
        <v>24960</v>
      </c>
    </row>
    <row r="3" customFormat="false" ht="15.75" hidden="false" customHeight="false" outlineLevel="0" collapsed="false">
      <c r="C3" s="7"/>
      <c r="D3" s="7"/>
      <c r="E3" s="38" t="s">
        <v>304</v>
      </c>
      <c r="F3" s="38" t="s">
        <v>309</v>
      </c>
      <c r="G3" s="38" t="s">
        <v>304</v>
      </c>
      <c r="H3" s="38" t="s">
        <v>309</v>
      </c>
      <c r="I3" s="38" t="s">
        <v>304</v>
      </c>
      <c r="J3" s="38" t="s">
        <v>309</v>
      </c>
      <c r="K3" s="38" t="s">
        <v>304</v>
      </c>
      <c r="L3" s="38" t="s">
        <v>309</v>
      </c>
      <c r="M3" s="38"/>
      <c r="N3" s="7"/>
      <c r="O3" s="7"/>
      <c r="P3" s="7"/>
      <c r="Q3" s="7"/>
      <c r="R3" s="7"/>
      <c r="S3" s="7"/>
      <c r="T3" s="7"/>
      <c r="U3" s="7"/>
      <c r="V3" s="7"/>
    </row>
    <row r="4" customFormat="false" ht="23.25" hidden="false" customHeight="false" outlineLevel="0" collapsed="false">
      <c r="C4" s="7"/>
      <c r="D4" s="7"/>
      <c r="E4" s="38"/>
      <c r="F4" s="38"/>
      <c r="G4" s="38" t="s">
        <v>282</v>
      </c>
      <c r="H4" s="38" t="s">
        <v>282</v>
      </c>
      <c r="I4" s="38" t="s">
        <v>310</v>
      </c>
      <c r="J4" s="38" t="s">
        <v>310</v>
      </c>
      <c r="K4" s="38" t="s">
        <v>311</v>
      </c>
      <c r="L4" s="38" t="s">
        <v>311</v>
      </c>
      <c r="M4" s="38"/>
      <c r="N4" s="7"/>
      <c r="O4" s="7"/>
      <c r="P4" s="7"/>
      <c r="Q4" s="7"/>
      <c r="R4" s="7"/>
      <c r="S4" s="7"/>
      <c r="T4" s="7"/>
      <c r="U4" s="89" t="s">
        <v>312</v>
      </c>
      <c r="V4" s="90" t="n">
        <f aca="false">O59*O60*O65*O67*O70*O72*O73*O74</f>
        <v>620568</v>
      </c>
    </row>
    <row r="5" customFormat="false" ht="15.75" hidden="false" customHeight="false" outlineLevel="0" collapsed="false">
      <c r="C5" s="37" t="s">
        <v>113</v>
      </c>
      <c r="D5" s="39" t="s">
        <v>63</v>
      </c>
      <c r="E5" s="7" t="s">
        <v>134</v>
      </c>
      <c r="F5" s="7" t="s">
        <v>134</v>
      </c>
      <c r="G5" s="7" t="s">
        <v>134</v>
      </c>
      <c r="H5" s="7" t="s">
        <v>134</v>
      </c>
      <c r="I5" s="7" t="s">
        <v>134</v>
      </c>
      <c r="J5" s="7" t="s">
        <v>134</v>
      </c>
      <c r="K5" s="7" t="s">
        <v>134</v>
      </c>
      <c r="L5" s="7" t="s">
        <v>134</v>
      </c>
      <c r="M5" s="7"/>
      <c r="N5" s="7" t="n">
        <v>1</v>
      </c>
      <c r="O5" s="7" t="n">
        <v>1</v>
      </c>
      <c r="P5" s="7" t="n">
        <v>2</v>
      </c>
      <c r="Q5" s="7"/>
      <c r="R5" s="7"/>
      <c r="S5" s="7"/>
      <c r="T5" s="7"/>
      <c r="U5" s="7"/>
      <c r="V5" s="7"/>
    </row>
    <row r="6" customFormat="false" ht="23.25" hidden="false" customHeight="false" outlineLevel="0" collapsed="false">
      <c r="C6" s="7"/>
      <c r="D6" s="39" t="s">
        <v>68</v>
      </c>
      <c r="E6" s="7" t="s">
        <v>133</v>
      </c>
      <c r="F6" s="7" t="s">
        <v>133</v>
      </c>
      <c r="G6" s="7" t="s">
        <v>141</v>
      </c>
      <c r="H6" s="7" t="s">
        <v>141</v>
      </c>
      <c r="I6" s="7" t="s">
        <v>133</v>
      </c>
      <c r="J6" s="7" t="s">
        <v>133</v>
      </c>
      <c r="K6" s="7" t="s">
        <v>141</v>
      </c>
      <c r="L6" s="7" t="s">
        <v>141</v>
      </c>
      <c r="N6" s="7" t="n">
        <v>9</v>
      </c>
      <c r="O6" s="7" t="n">
        <v>16</v>
      </c>
      <c r="P6" s="7" t="n">
        <v>42</v>
      </c>
      <c r="Q6" s="7"/>
      <c r="R6" s="7"/>
      <c r="S6" s="7"/>
      <c r="T6" s="7"/>
      <c r="U6" s="89" t="s">
        <v>313</v>
      </c>
      <c r="V6" s="90" t="n">
        <f aca="false">P5*P6*P11*P13*P16*P18*P19*P20</f>
        <v>13566000</v>
      </c>
    </row>
    <row r="7" customFormat="false" ht="15.75" hidden="false" customHeight="false" outlineLevel="0" collapsed="false">
      <c r="C7" s="7"/>
      <c r="D7" s="39" t="s">
        <v>73</v>
      </c>
      <c r="E7" s="7" t="s">
        <v>135</v>
      </c>
      <c r="F7" s="7" t="s">
        <v>135</v>
      </c>
      <c r="G7" s="7" t="s">
        <v>135</v>
      </c>
      <c r="H7" s="7" t="s">
        <v>135</v>
      </c>
      <c r="I7" s="7" t="s">
        <v>135</v>
      </c>
      <c r="J7" s="7" t="s">
        <v>135</v>
      </c>
      <c r="K7" s="7" t="s">
        <v>135</v>
      </c>
      <c r="L7" s="7" t="s">
        <v>135</v>
      </c>
      <c r="N7" s="7"/>
      <c r="O7" s="7"/>
      <c r="P7" s="7"/>
      <c r="Q7" s="7"/>
      <c r="R7" s="7"/>
      <c r="S7" s="7"/>
      <c r="T7" s="7"/>
      <c r="U7" s="7"/>
      <c r="V7" s="7"/>
    </row>
    <row r="8" customFormat="false" ht="20.25" hidden="false" customHeight="false" outlineLevel="0" collapsed="false">
      <c r="C8" s="7"/>
      <c r="D8" s="7" t="s">
        <v>76</v>
      </c>
      <c r="E8" s="7" t="s">
        <v>136</v>
      </c>
      <c r="F8" s="7" t="s">
        <v>136</v>
      </c>
      <c r="G8" s="7" t="s">
        <v>136</v>
      </c>
      <c r="H8" s="7" t="s">
        <v>136</v>
      </c>
      <c r="I8" s="7" t="s">
        <v>136</v>
      </c>
      <c r="J8" s="7" t="s">
        <v>136</v>
      </c>
      <c r="K8" s="7" t="s">
        <v>136</v>
      </c>
      <c r="L8" s="7" t="s">
        <v>136</v>
      </c>
      <c r="N8" s="7"/>
      <c r="O8" s="7"/>
      <c r="P8" s="7"/>
      <c r="Q8" s="7"/>
      <c r="R8" s="7"/>
      <c r="S8" s="6" t="s">
        <v>314</v>
      </c>
      <c r="T8" s="7"/>
      <c r="U8" s="7"/>
      <c r="V8" s="7"/>
    </row>
    <row r="9" customFormat="false" ht="15.75" hidden="false" customHeight="false" outlineLevel="0" collapsed="false">
      <c r="E9" s="7" t="s">
        <v>155</v>
      </c>
      <c r="F9" s="7" t="s">
        <v>155</v>
      </c>
      <c r="G9" s="7" t="s">
        <v>148</v>
      </c>
      <c r="H9" s="7" t="s">
        <v>148</v>
      </c>
      <c r="I9" s="7"/>
      <c r="J9" s="7"/>
      <c r="K9" s="7"/>
      <c r="L9" s="7"/>
      <c r="N9" s="7"/>
      <c r="O9" s="7"/>
      <c r="P9" s="7"/>
      <c r="Q9" s="7"/>
      <c r="R9" s="7"/>
      <c r="S9" s="8" t="s">
        <v>315</v>
      </c>
      <c r="T9" s="8" t="n">
        <f aca="false">N5*N6*N11*N13*N16*N18*N19*N20</f>
        <v>1440</v>
      </c>
      <c r="U9" s="7"/>
      <c r="V9" s="7"/>
    </row>
    <row r="10" customFormat="false" ht="15.75" hidden="false" customHeight="false" outlineLevel="0" collapsed="false">
      <c r="E10" s="7" t="s">
        <v>159</v>
      </c>
      <c r="F10" s="7" t="s">
        <v>160</v>
      </c>
      <c r="G10" s="7" t="s">
        <v>159</v>
      </c>
      <c r="H10" s="7" t="s">
        <v>160</v>
      </c>
      <c r="I10" s="7" t="s">
        <v>159</v>
      </c>
      <c r="J10" s="7" t="s">
        <v>160</v>
      </c>
      <c r="K10" s="7" t="s">
        <v>159</v>
      </c>
      <c r="L10" s="7" t="s">
        <v>160</v>
      </c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15.75" hidden="false" customHeight="false" outlineLevel="0" collapsed="false">
      <c r="C11" s="7"/>
      <c r="D11" s="7" t="s">
        <v>80</v>
      </c>
      <c r="E11" s="7" t="s">
        <v>165</v>
      </c>
      <c r="F11" s="7" t="s">
        <v>166</v>
      </c>
      <c r="G11" s="7" t="s">
        <v>165</v>
      </c>
      <c r="H11" s="7" t="s">
        <v>166</v>
      </c>
      <c r="I11" s="7" t="s">
        <v>165</v>
      </c>
      <c r="J11" s="7" t="s">
        <v>166</v>
      </c>
      <c r="K11" s="7" t="s">
        <v>165</v>
      </c>
      <c r="L11" s="7" t="s">
        <v>166</v>
      </c>
      <c r="N11" s="7" t="n">
        <v>2</v>
      </c>
      <c r="O11" s="7" t="n">
        <v>4</v>
      </c>
      <c r="P11" s="7" t="n">
        <v>38</v>
      </c>
      <c r="Q11" s="7"/>
      <c r="R11" s="7"/>
      <c r="S11" s="7"/>
      <c r="T11" s="7"/>
      <c r="U11" s="7"/>
      <c r="V11" s="7"/>
    </row>
    <row r="12" customFormat="false" ht="15.75" hidden="false" customHeight="false" outlineLevel="0" collapsed="false">
      <c r="E12" s="7" t="s">
        <v>139</v>
      </c>
      <c r="F12" s="7" t="s">
        <v>139</v>
      </c>
      <c r="G12" s="7" t="s">
        <v>139</v>
      </c>
      <c r="H12" s="7" t="s">
        <v>139</v>
      </c>
      <c r="I12" s="7" t="s">
        <v>139</v>
      </c>
      <c r="J12" s="7" t="s">
        <v>139</v>
      </c>
      <c r="K12" s="7" t="s">
        <v>139</v>
      </c>
      <c r="L12" s="7" t="s">
        <v>139</v>
      </c>
      <c r="M12" s="7"/>
      <c r="N12" s="7"/>
      <c r="O12" s="7"/>
      <c r="P12" s="7"/>
      <c r="Q12" s="7"/>
      <c r="R12" s="7"/>
      <c r="S12" s="7"/>
      <c r="T12" s="7"/>
      <c r="U12" s="7"/>
      <c r="V12" s="7"/>
    </row>
    <row r="13" customFormat="false" ht="15.75" hidden="false" customHeight="false" outlineLevel="0" collapsed="false">
      <c r="C13" s="7"/>
      <c r="D13" s="7" t="s">
        <v>316</v>
      </c>
      <c r="E13" s="7" t="s">
        <v>136</v>
      </c>
      <c r="F13" s="7" t="s">
        <v>136</v>
      </c>
      <c r="G13" s="7" t="s">
        <v>136</v>
      </c>
      <c r="H13" s="7" t="s">
        <v>136</v>
      </c>
      <c r="I13" s="7" t="s">
        <v>136</v>
      </c>
      <c r="J13" s="7" t="s">
        <v>136</v>
      </c>
      <c r="K13" s="7" t="s">
        <v>136</v>
      </c>
      <c r="L13" s="7" t="s">
        <v>136</v>
      </c>
      <c r="M13" s="7"/>
      <c r="N13" s="7" t="n">
        <v>5</v>
      </c>
      <c r="O13" s="7" t="n">
        <v>13</v>
      </c>
      <c r="P13" s="7" t="n">
        <v>25</v>
      </c>
      <c r="Q13" s="7"/>
      <c r="R13" s="7"/>
      <c r="S13" s="7"/>
      <c r="T13" s="7"/>
      <c r="U13" s="7"/>
      <c r="V13" s="7"/>
    </row>
    <row r="14" customFormat="false" ht="15.75" hidden="false" customHeight="false" outlineLevel="0" collapsed="false">
      <c r="E14" s="7" t="s">
        <v>148</v>
      </c>
      <c r="F14" s="7" t="s">
        <v>148</v>
      </c>
      <c r="G14" s="7" t="s">
        <v>148</v>
      </c>
      <c r="H14" s="7" t="s">
        <v>148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customFormat="false" ht="15.75" hidden="false" customHeight="false" outlineLevel="0" collapsed="false">
      <c r="E15" s="7" t="s">
        <v>159</v>
      </c>
      <c r="F15" s="7" t="s">
        <v>160</v>
      </c>
      <c r="G15" s="7" t="s">
        <v>159</v>
      </c>
      <c r="H15" s="7" t="s">
        <v>160</v>
      </c>
      <c r="I15" s="7" t="s">
        <v>159</v>
      </c>
      <c r="J15" s="7" t="s">
        <v>160</v>
      </c>
      <c r="K15" s="7" t="s">
        <v>159</v>
      </c>
      <c r="L15" s="7" t="s">
        <v>160</v>
      </c>
      <c r="M15" s="7"/>
      <c r="N15" s="7"/>
      <c r="O15" s="7"/>
      <c r="P15" s="7"/>
      <c r="Q15" s="7"/>
      <c r="R15" s="7"/>
      <c r="S15" s="7"/>
      <c r="T15" s="7"/>
      <c r="U15" s="7"/>
      <c r="V15" s="7"/>
    </row>
    <row r="16" customFormat="false" ht="15.75" hidden="false" customHeight="false" outlineLevel="0" collapsed="false">
      <c r="C16" s="7"/>
      <c r="D16" s="7" t="s">
        <v>83</v>
      </c>
      <c r="E16" s="7" t="s">
        <v>167</v>
      </c>
      <c r="F16" s="7" t="s">
        <v>169</v>
      </c>
      <c r="G16" s="7" t="s">
        <v>167</v>
      </c>
      <c r="H16" s="7" t="s">
        <v>169</v>
      </c>
      <c r="I16" s="7" t="s">
        <v>167</v>
      </c>
      <c r="J16" s="7" t="s">
        <v>169</v>
      </c>
      <c r="K16" s="7" t="s">
        <v>167</v>
      </c>
      <c r="L16" s="7" t="s">
        <v>169</v>
      </c>
      <c r="M16" s="7"/>
      <c r="N16" s="7" t="n">
        <v>4</v>
      </c>
      <c r="O16" s="7" t="n">
        <v>5</v>
      </c>
      <c r="P16" s="7" t="n">
        <v>17</v>
      </c>
      <c r="Q16" s="7"/>
      <c r="R16" s="7"/>
      <c r="S16" s="7"/>
      <c r="T16" s="7"/>
      <c r="U16" s="7"/>
      <c r="V16" s="7"/>
    </row>
    <row r="17" customFormat="false" ht="15.75" hidden="false" customHeight="false" outlineLevel="0" collapsed="false">
      <c r="E17" s="7" t="s">
        <v>144</v>
      </c>
      <c r="F17" s="7" t="s">
        <v>170</v>
      </c>
      <c r="G17" s="7" t="s">
        <v>144</v>
      </c>
      <c r="H17" s="7" t="s">
        <v>170</v>
      </c>
      <c r="I17" s="7" t="s">
        <v>144</v>
      </c>
      <c r="J17" s="7" t="s">
        <v>170</v>
      </c>
      <c r="K17" s="7" t="s">
        <v>144</v>
      </c>
      <c r="L17" s="7" t="s">
        <v>170</v>
      </c>
      <c r="N17" s="7"/>
      <c r="O17" s="7"/>
      <c r="P17" s="7"/>
      <c r="Q17" s="7"/>
      <c r="R17" s="7"/>
      <c r="S17" s="7"/>
      <c r="T17" s="7"/>
      <c r="U17" s="7"/>
      <c r="V17" s="7"/>
    </row>
    <row r="18" customFormat="false" ht="15.75" hidden="false" customHeight="false" outlineLevel="0" collapsed="false">
      <c r="C18" s="7"/>
      <c r="D18" s="7" t="s">
        <v>92</v>
      </c>
      <c r="E18" s="7" t="s">
        <v>168</v>
      </c>
      <c r="F18" s="7" t="s">
        <v>171</v>
      </c>
      <c r="G18" s="7" t="s">
        <v>168</v>
      </c>
      <c r="H18" s="7" t="s">
        <v>171</v>
      </c>
      <c r="I18" s="7" t="s">
        <v>168</v>
      </c>
      <c r="J18" s="7" t="s">
        <v>171</v>
      </c>
      <c r="K18" s="7" t="s">
        <v>168</v>
      </c>
      <c r="L18" s="7" t="s">
        <v>171</v>
      </c>
      <c r="N18" s="7" t="n">
        <v>2</v>
      </c>
      <c r="O18" s="7" t="n">
        <v>3</v>
      </c>
      <c r="P18" s="7" t="n">
        <v>5</v>
      </c>
      <c r="Q18" s="7"/>
      <c r="R18" s="7"/>
      <c r="S18" s="7"/>
      <c r="T18" s="7"/>
      <c r="U18" s="20"/>
      <c r="V18" s="7"/>
    </row>
    <row r="19" customFormat="false" ht="15.75" hidden="false" customHeight="false" outlineLevel="0" collapsed="false">
      <c r="C19" s="7"/>
      <c r="D19" s="39" t="s">
        <v>99</v>
      </c>
      <c r="E19" s="7" t="s">
        <v>137</v>
      </c>
      <c r="F19" s="7" t="s">
        <v>137</v>
      </c>
      <c r="G19" s="7" t="s">
        <v>137</v>
      </c>
      <c r="H19" s="7" t="s">
        <v>137</v>
      </c>
      <c r="I19" s="7" t="s">
        <v>137</v>
      </c>
      <c r="J19" s="7" t="s">
        <v>137</v>
      </c>
      <c r="K19" s="7" t="s">
        <v>137</v>
      </c>
      <c r="L19" s="7" t="s">
        <v>137</v>
      </c>
      <c r="N19" s="7" t="n">
        <v>2</v>
      </c>
      <c r="O19" s="7" t="n">
        <v>2</v>
      </c>
      <c r="P19" s="7" t="n">
        <v>2</v>
      </c>
      <c r="Q19" s="7"/>
      <c r="R19" s="7"/>
      <c r="S19" s="7"/>
      <c r="T19" s="7"/>
      <c r="U19" s="7"/>
      <c r="V19" s="7"/>
    </row>
    <row r="20" customFormat="false" ht="15.75" hidden="false" customHeight="false" outlineLevel="0" collapsed="false">
      <c r="C20" s="7"/>
      <c r="D20" s="39" t="s">
        <v>97</v>
      </c>
      <c r="E20" s="7" t="s">
        <v>138</v>
      </c>
      <c r="F20" s="7" t="s">
        <v>138</v>
      </c>
      <c r="G20" s="7" t="s">
        <v>138</v>
      </c>
      <c r="H20" s="7" t="s">
        <v>138</v>
      </c>
      <c r="I20" s="7" t="s">
        <v>138</v>
      </c>
      <c r="J20" s="7" t="s">
        <v>138</v>
      </c>
      <c r="K20" s="7" t="s">
        <v>138</v>
      </c>
      <c r="L20" s="7" t="s">
        <v>138</v>
      </c>
      <c r="N20" s="7" t="n">
        <v>1</v>
      </c>
      <c r="O20" s="7" t="n">
        <v>1</v>
      </c>
      <c r="P20" s="7" t="n">
        <v>1</v>
      </c>
      <c r="Q20" s="7"/>
      <c r="R20" s="7"/>
      <c r="S20" s="7"/>
      <c r="T20" s="7"/>
      <c r="U20" s="7"/>
      <c r="V20" s="7"/>
    </row>
    <row r="21" customFormat="false" ht="15.75" hidden="false" customHeight="false" outlineLevel="0" collapsed="false">
      <c r="C21" s="7"/>
      <c r="D21" s="7"/>
      <c r="E21" s="7"/>
      <c r="F21" s="7"/>
      <c r="G21" s="7"/>
      <c r="H21" s="7"/>
      <c r="I21" s="7"/>
      <c r="J21" s="7"/>
      <c r="K21" s="7"/>
      <c r="L21" s="7"/>
      <c r="N21" s="7"/>
      <c r="O21" s="7"/>
      <c r="P21" s="7"/>
      <c r="Q21" s="7"/>
      <c r="R21" s="7"/>
      <c r="S21" s="7"/>
      <c r="T21" s="7"/>
      <c r="U21" s="7"/>
      <c r="V21" s="7"/>
    </row>
    <row r="22" customFormat="false" ht="15.75" hidden="false" customHeight="false" outlineLevel="0" collapsed="false">
      <c r="C22" s="37" t="s">
        <v>104</v>
      </c>
      <c r="D22" s="39" t="s">
        <v>63</v>
      </c>
      <c r="E22" s="7" t="s">
        <v>134</v>
      </c>
      <c r="F22" s="7" t="s">
        <v>134</v>
      </c>
      <c r="G22" s="7" t="s">
        <v>134</v>
      </c>
      <c r="H22" s="7" t="s">
        <v>134</v>
      </c>
      <c r="I22" s="7" t="s">
        <v>134</v>
      </c>
      <c r="J22" s="7" t="s">
        <v>134</v>
      </c>
      <c r="K22" s="7" t="s">
        <v>134</v>
      </c>
      <c r="L22" s="7" t="s">
        <v>134</v>
      </c>
      <c r="M22" s="7"/>
      <c r="N22" s="7" t="n">
        <v>1</v>
      </c>
      <c r="O22" s="7"/>
      <c r="P22" s="7"/>
      <c r="Q22" s="7"/>
      <c r="R22" s="7"/>
      <c r="S22" s="7"/>
      <c r="T22" s="7"/>
      <c r="U22" s="7"/>
      <c r="V22" s="7"/>
    </row>
    <row r="23" customFormat="false" ht="15.75" hidden="false" customHeight="false" outlineLevel="0" collapsed="false">
      <c r="C23" s="7"/>
      <c r="D23" s="39" t="s">
        <v>68</v>
      </c>
      <c r="E23" s="7" t="s">
        <v>133</v>
      </c>
      <c r="F23" s="7" t="s">
        <v>133</v>
      </c>
      <c r="G23" s="7" t="s">
        <v>141</v>
      </c>
      <c r="H23" s="7" t="s">
        <v>141</v>
      </c>
      <c r="I23" s="7" t="s">
        <v>133</v>
      </c>
      <c r="J23" s="7" t="s">
        <v>133</v>
      </c>
      <c r="K23" s="7" t="s">
        <v>141</v>
      </c>
      <c r="L23" s="7" t="s">
        <v>141</v>
      </c>
      <c r="N23" s="7" t="n">
        <v>9</v>
      </c>
      <c r="O23" s="7"/>
      <c r="P23" s="7"/>
      <c r="Q23" s="7"/>
      <c r="R23" s="7"/>
      <c r="S23" s="7"/>
      <c r="T23" s="7"/>
      <c r="U23" s="7"/>
      <c r="V23" s="7"/>
      <c r="AB23" s="38"/>
      <c r="AC23" s="38"/>
      <c r="AD23" s="38"/>
      <c r="AE23" s="38"/>
      <c r="AF23" s="38"/>
      <c r="AG23" s="38"/>
    </row>
    <row r="24" customFormat="false" ht="15.75" hidden="false" customHeight="false" outlineLevel="0" collapsed="false">
      <c r="C24" s="7"/>
      <c r="D24" s="39" t="s">
        <v>73</v>
      </c>
      <c r="E24" s="7" t="s">
        <v>135</v>
      </c>
      <c r="F24" s="7" t="s">
        <v>135</v>
      </c>
      <c r="G24" s="7" t="s">
        <v>135</v>
      </c>
      <c r="H24" s="7" t="s">
        <v>135</v>
      </c>
      <c r="I24" s="7" t="s">
        <v>135</v>
      </c>
      <c r="J24" s="7" t="s">
        <v>135</v>
      </c>
      <c r="K24" s="7" t="s">
        <v>135</v>
      </c>
      <c r="L24" s="7" t="s">
        <v>135</v>
      </c>
      <c r="N24" s="7"/>
      <c r="O24" s="7"/>
      <c r="P24" s="7"/>
      <c r="Q24" s="7"/>
      <c r="R24" s="7"/>
      <c r="S24" s="7"/>
      <c r="T24" s="7"/>
      <c r="U24" s="7"/>
      <c r="V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false" outlineLevel="0" collapsed="false">
      <c r="C25" s="7"/>
      <c r="D25" s="7" t="s">
        <v>76</v>
      </c>
      <c r="E25" s="7" t="s">
        <v>142</v>
      </c>
      <c r="F25" s="7" t="s">
        <v>142</v>
      </c>
      <c r="G25" s="7" t="s">
        <v>142</v>
      </c>
      <c r="H25" s="7" t="s">
        <v>142</v>
      </c>
      <c r="I25" s="7" t="s">
        <v>142</v>
      </c>
      <c r="J25" s="7" t="s">
        <v>142</v>
      </c>
      <c r="K25" s="7" t="s">
        <v>142</v>
      </c>
      <c r="L25" s="7" t="s">
        <v>142</v>
      </c>
      <c r="N25" s="7"/>
      <c r="O25" s="7"/>
      <c r="P25" s="7"/>
      <c r="Q25" s="7"/>
      <c r="R25" s="7"/>
      <c r="S25" s="7"/>
      <c r="T25" s="7"/>
      <c r="U25" s="7"/>
      <c r="V25" s="7"/>
      <c r="AE25" s="7"/>
      <c r="AF25" s="7"/>
      <c r="AG25" s="7"/>
      <c r="AH25" s="7"/>
    </row>
    <row r="26" customFormat="false" ht="15.75" hidden="false" customHeight="false" outlineLevel="0" collapsed="false">
      <c r="C26" s="7"/>
      <c r="E26" s="7" t="s">
        <v>155</v>
      </c>
      <c r="F26" s="7" t="s">
        <v>155</v>
      </c>
      <c r="G26" s="7" t="s">
        <v>148</v>
      </c>
      <c r="H26" s="7" t="s">
        <v>148</v>
      </c>
      <c r="I26" s="7"/>
      <c r="J26" s="7"/>
      <c r="K26" s="7"/>
      <c r="L26" s="7"/>
      <c r="N26" s="7"/>
      <c r="O26" s="7"/>
      <c r="P26" s="7"/>
      <c r="Q26" s="7"/>
      <c r="R26" s="7"/>
      <c r="S26" s="8" t="s">
        <v>315</v>
      </c>
      <c r="T26" s="8" t="n">
        <f aca="false">N22*N23*N28*N30*N33*N35*N36*N37</f>
        <v>90</v>
      </c>
      <c r="U26" s="7"/>
      <c r="V26" s="7"/>
      <c r="AE26" s="7"/>
      <c r="AF26" s="7"/>
      <c r="AG26" s="7"/>
      <c r="AH26" s="7"/>
      <c r="AI26" s="7"/>
    </row>
    <row r="27" customFormat="false" ht="15.75" hidden="false" customHeight="false" outlineLevel="0" collapsed="false">
      <c r="C27" s="7"/>
      <c r="E27" s="7" t="s">
        <v>159</v>
      </c>
      <c r="F27" s="7" t="s">
        <v>160</v>
      </c>
      <c r="G27" s="7" t="s">
        <v>159</v>
      </c>
      <c r="H27" s="7" t="s">
        <v>160</v>
      </c>
      <c r="I27" s="7" t="s">
        <v>159</v>
      </c>
      <c r="J27" s="7" t="s">
        <v>160</v>
      </c>
      <c r="K27" s="7" t="s">
        <v>159</v>
      </c>
      <c r="L27" s="7" t="s">
        <v>160</v>
      </c>
      <c r="N27" s="7"/>
      <c r="O27" s="7"/>
      <c r="P27" s="7"/>
      <c r="Q27" s="7"/>
      <c r="R27" s="7"/>
      <c r="S27" s="7"/>
      <c r="T27" s="7"/>
      <c r="U27" s="7"/>
      <c r="V27" s="7"/>
      <c r="AE27" s="7"/>
      <c r="AF27" s="7"/>
      <c r="AG27" s="7"/>
      <c r="AH27" s="7"/>
      <c r="AI27" s="7"/>
    </row>
    <row r="28" customFormat="false" ht="15.75" hidden="false" customHeight="false" outlineLevel="0" collapsed="false">
      <c r="C28" s="7"/>
      <c r="D28" s="7" t="s">
        <v>80</v>
      </c>
      <c r="E28" s="7" t="s">
        <v>145</v>
      </c>
      <c r="F28" s="7" t="s">
        <v>145</v>
      </c>
      <c r="G28" s="7" t="s">
        <v>145</v>
      </c>
      <c r="H28" s="7" t="s">
        <v>145</v>
      </c>
      <c r="I28" s="7" t="s">
        <v>145</v>
      </c>
      <c r="J28" s="7" t="s">
        <v>145</v>
      </c>
      <c r="K28" s="7" t="s">
        <v>145</v>
      </c>
      <c r="L28" s="7" t="s">
        <v>145</v>
      </c>
      <c r="N28" s="7" t="n">
        <v>1</v>
      </c>
      <c r="O28" s="7"/>
      <c r="P28" s="7"/>
      <c r="Q28" s="7"/>
      <c r="R28" s="7"/>
      <c r="S28" s="7"/>
      <c r="T28" s="7"/>
      <c r="U28" s="7"/>
      <c r="V28" s="7"/>
      <c r="AB28" s="7"/>
      <c r="AC28" s="7"/>
      <c r="AD28" s="7"/>
      <c r="AE28" s="7"/>
      <c r="AF28" s="7"/>
      <c r="AG28" s="7"/>
    </row>
    <row r="29" customFormat="false" ht="15.75" hidden="false" customHeight="false" outlineLevel="0" collapsed="false">
      <c r="C29" s="7"/>
      <c r="E29" s="7" t="s">
        <v>146</v>
      </c>
      <c r="F29" s="7" t="s">
        <v>146</v>
      </c>
      <c r="G29" s="7" t="s">
        <v>146</v>
      </c>
      <c r="H29" s="7" t="s">
        <v>146</v>
      </c>
      <c r="I29" s="7" t="s">
        <v>146</v>
      </c>
      <c r="J29" s="7" t="s">
        <v>146</v>
      </c>
      <c r="K29" s="7" t="s">
        <v>146</v>
      </c>
      <c r="L29" s="7" t="s">
        <v>146</v>
      </c>
      <c r="N29" s="7"/>
      <c r="O29" s="7"/>
      <c r="P29" s="7"/>
      <c r="Q29" s="7"/>
      <c r="R29" s="7"/>
      <c r="S29" s="7"/>
      <c r="T29" s="7"/>
      <c r="U29" s="7"/>
      <c r="V29" s="7"/>
      <c r="AB29" s="7"/>
      <c r="AC29" s="7"/>
      <c r="AD29" s="7"/>
      <c r="AE29" s="7"/>
      <c r="AF29" s="7"/>
      <c r="AG29" s="7"/>
    </row>
    <row r="30" customFormat="false" ht="15.75" hidden="false" customHeight="false" outlineLevel="0" collapsed="false">
      <c r="C30" s="7"/>
      <c r="D30" s="7" t="s">
        <v>316</v>
      </c>
      <c r="E30" s="7" t="s">
        <v>142</v>
      </c>
      <c r="F30" s="7" t="s">
        <v>142</v>
      </c>
      <c r="G30" s="7" t="s">
        <v>142</v>
      </c>
      <c r="H30" s="7" t="s">
        <v>142</v>
      </c>
      <c r="I30" s="7" t="s">
        <v>142</v>
      </c>
      <c r="J30" s="7" t="s">
        <v>142</v>
      </c>
      <c r="K30" s="7" t="s">
        <v>142</v>
      </c>
      <c r="L30" s="7" t="s">
        <v>142</v>
      </c>
      <c r="N30" s="7" t="n">
        <v>5</v>
      </c>
      <c r="O30" s="7"/>
      <c r="P30" s="7"/>
      <c r="Q30" s="7"/>
      <c r="R30" s="7"/>
      <c r="S30" s="7"/>
      <c r="T30" s="7"/>
      <c r="U30" s="7"/>
      <c r="V30" s="7"/>
      <c r="AD30" s="7"/>
      <c r="AE30" s="7"/>
      <c r="AF30" s="7"/>
      <c r="AG30" s="7"/>
    </row>
    <row r="31" customFormat="false" ht="15.75" hidden="false" customHeight="false" outlineLevel="0" collapsed="false">
      <c r="C31" s="7"/>
      <c r="E31" s="7" t="s">
        <v>148</v>
      </c>
      <c r="F31" s="7" t="s">
        <v>148</v>
      </c>
      <c r="G31" s="7" t="s">
        <v>148</v>
      </c>
      <c r="H31" s="7" t="s">
        <v>148</v>
      </c>
      <c r="I31" s="7"/>
      <c r="J31" s="7"/>
      <c r="K31" s="7"/>
      <c r="L31" s="7"/>
      <c r="N31" s="7"/>
      <c r="O31" s="7"/>
      <c r="P31" s="7"/>
      <c r="Q31" s="7"/>
      <c r="R31" s="7"/>
      <c r="S31" s="7"/>
      <c r="T31" s="7"/>
      <c r="U31" s="7"/>
      <c r="V31" s="7"/>
      <c r="AB31" s="7"/>
      <c r="AC31" s="7"/>
      <c r="AD31" s="7"/>
      <c r="AE31" s="7"/>
      <c r="AF31" s="7"/>
      <c r="AG31" s="7"/>
    </row>
    <row r="32" customFormat="false" ht="15.75" hidden="false" customHeight="false" outlineLevel="0" collapsed="false">
      <c r="C32" s="7"/>
      <c r="E32" s="7" t="s">
        <v>159</v>
      </c>
      <c r="F32" s="7" t="s">
        <v>160</v>
      </c>
      <c r="G32" s="7" t="s">
        <v>159</v>
      </c>
      <c r="H32" s="7" t="s">
        <v>160</v>
      </c>
      <c r="I32" s="7" t="s">
        <v>159</v>
      </c>
      <c r="J32" s="7" t="s">
        <v>160</v>
      </c>
      <c r="K32" s="7" t="s">
        <v>159</v>
      </c>
      <c r="L32" s="7" t="s">
        <v>160</v>
      </c>
      <c r="N32" s="7"/>
      <c r="O32" s="7"/>
      <c r="P32" s="7"/>
      <c r="Q32" s="7"/>
      <c r="R32" s="7"/>
      <c r="S32" s="7"/>
      <c r="T32" s="7"/>
      <c r="U32" s="7"/>
      <c r="V32" s="7"/>
      <c r="AB32" s="7"/>
      <c r="AC32" s="7"/>
      <c r="AD32" s="7"/>
      <c r="AE32" s="7"/>
      <c r="AF32" s="7"/>
      <c r="AG32" s="7"/>
    </row>
    <row r="33" customFormat="false" ht="15.75" hidden="false" customHeight="false" outlineLevel="0" collapsed="false">
      <c r="D33" s="7" t="s">
        <v>83</v>
      </c>
      <c r="E33" s="7" t="s">
        <v>143</v>
      </c>
      <c r="F33" s="7" t="s">
        <v>143</v>
      </c>
      <c r="G33" s="7" t="s">
        <v>143</v>
      </c>
      <c r="H33" s="7" t="s">
        <v>143</v>
      </c>
      <c r="I33" s="7" t="s">
        <v>143</v>
      </c>
      <c r="J33" s="7" t="s">
        <v>143</v>
      </c>
      <c r="K33" s="7" t="s">
        <v>143</v>
      </c>
      <c r="L33" s="7" t="s">
        <v>143</v>
      </c>
      <c r="N33" s="7" t="n">
        <v>1</v>
      </c>
      <c r="O33" s="7"/>
      <c r="P33" s="7"/>
      <c r="Q33" s="7"/>
      <c r="R33" s="7"/>
      <c r="S33" s="7"/>
      <c r="T33" s="7"/>
      <c r="U33" s="7"/>
      <c r="V33" s="7"/>
      <c r="AB33" s="7"/>
      <c r="AC33" s="7"/>
      <c r="AD33" s="7"/>
      <c r="AE33" s="7"/>
      <c r="AF33" s="7"/>
      <c r="AG33" s="7"/>
    </row>
    <row r="34" customFormat="false" ht="15.75" hidden="false" customHeight="false" outlineLevel="0" collapsed="false">
      <c r="C34" s="7"/>
      <c r="E34" s="7" t="s">
        <v>144</v>
      </c>
      <c r="F34" s="7" t="s">
        <v>144</v>
      </c>
      <c r="G34" s="7" t="s">
        <v>144</v>
      </c>
      <c r="H34" s="7" t="s">
        <v>144</v>
      </c>
      <c r="I34" s="7" t="s">
        <v>144</v>
      </c>
      <c r="J34" s="7" t="s">
        <v>144</v>
      </c>
      <c r="K34" s="7" t="s">
        <v>144</v>
      </c>
      <c r="L34" s="7" t="s">
        <v>144</v>
      </c>
      <c r="N34" s="7"/>
      <c r="O34" s="7"/>
      <c r="P34" s="7"/>
      <c r="Q34" s="7"/>
      <c r="R34" s="7"/>
      <c r="S34" s="7"/>
      <c r="T34" s="7"/>
      <c r="U34" s="7"/>
      <c r="V34" s="7"/>
      <c r="AB34" s="7"/>
      <c r="AC34" s="7"/>
      <c r="AD34" s="7"/>
      <c r="AE34" s="7"/>
      <c r="AF34" s="7"/>
      <c r="AG34" s="7"/>
    </row>
    <row r="35" customFormat="false" ht="15.75" hidden="false" customHeight="false" outlineLevel="0" collapsed="false">
      <c r="C35" s="7"/>
      <c r="D35" s="7" t="s">
        <v>92</v>
      </c>
      <c r="E35" s="7" t="s">
        <v>147</v>
      </c>
      <c r="F35" s="7" t="s">
        <v>147</v>
      </c>
      <c r="G35" s="7" t="s">
        <v>147</v>
      </c>
      <c r="H35" s="7" t="s">
        <v>147</v>
      </c>
      <c r="I35" s="7" t="s">
        <v>147</v>
      </c>
      <c r="J35" s="7" t="s">
        <v>147</v>
      </c>
      <c r="K35" s="7" t="s">
        <v>147</v>
      </c>
      <c r="L35" s="7" t="s">
        <v>147</v>
      </c>
      <c r="N35" s="7" t="n">
        <v>1</v>
      </c>
      <c r="O35" s="7"/>
      <c r="P35" s="7"/>
      <c r="Q35" s="7"/>
      <c r="R35" s="7"/>
      <c r="S35" s="7"/>
      <c r="T35" s="7"/>
      <c r="U35" s="7"/>
      <c r="V35" s="7"/>
      <c r="AB35" s="7"/>
      <c r="AC35" s="7"/>
      <c r="AD35" s="7"/>
      <c r="AE35" s="7"/>
      <c r="AF35" s="7"/>
      <c r="AG35" s="7"/>
    </row>
    <row r="36" customFormat="false" ht="15.75" hidden="false" customHeight="false" outlineLevel="0" collapsed="false">
      <c r="C36" s="7"/>
      <c r="D36" s="39" t="s">
        <v>99</v>
      </c>
      <c r="E36" s="7" t="s">
        <v>137</v>
      </c>
      <c r="F36" s="7" t="s">
        <v>137</v>
      </c>
      <c r="G36" s="7" t="s">
        <v>137</v>
      </c>
      <c r="H36" s="7" t="s">
        <v>137</v>
      </c>
      <c r="I36" s="7" t="s">
        <v>137</v>
      </c>
      <c r="J36" s="7" t="s">
        <v>137</v>
      </c>
      <c r="K36" s="7" t="s">
        <v>137</v>
      </c>
      <c r="L36" s="7" t="s">
        <v>137</v>
      </c>
      <c r="N36" s="7" t="n">
        <v>2</v>
      </c>
      <c r="O36" s="7"/>
      <c r="P36" s="7"/>
      <c r="Q36" s="7"/>
      <c r="R36" s="7"/>
      <c r="S36" s="7"/>
      <c r="T36" s="7"/>
      <c r="U36" s="7"/>
      <c r="V36" s="7"/>
    </row>
    <row r="37" customFormat="false" ht="15.75" hidden="false" customHeight="false" outlineLevel="0" collapsed="false">
      <c r="C37" s="7"/>
      <c r="D37" s="39" t="s">
        <v>97</v>
      </c>
      <c r="E37" s="7" t="s">
        <v>138</v>
      </c>
      <c r="F37" s="7" t="s">
        <v>138</v>
      </c>
      <c r="G37" s="7" t="s">
        <v>138</v>
      </c>
      <c r="H37" s="7" t="s">
        <v>138</v>
      </c>
      <c r="I37" s="7" t="s">
        <v>138</v>
      </c>
      <c r="J37" s="7" t="s">
        <v>138</v>
      </c>
      <c r="K37" s="7" t="s">
        <v>138</v>
      </c>
      <c r="L37" s="7" t="s">
        <v>138</v>
      </c>
      <c r="N37" s="7" t="n">
        <v>1</v>
      </c>
      <c r="O37" s="7"/>
      <c r="P37" s="7"/>
      <c r="Q37" s="7"/>
      <c r="R37" s="7"/>
      <c r="S37" s="7"/>
      <c r="T37" s="7"/>
      <c r="U37" s="7"/>
      <c r="V37" s="7"/>
    </row>
    <row r="38" customFormat="false" ht="15.75" hidden="false" customHeight="false" outlineLevel="0" collapsed="false">
      <c r="C38" s="7"/>
      <c r="D38" s="7"/>
      <c r="N38" s="7"/>
      <c r="O38" s="7"/>
      <c r="P38" s="7"/>
      <c r="Q38" s="7"/>
      <c r="R38" s="7"/>
      <c r="S38" s="7"/>
      <c r="T38" s="7"/>
      <c r="U38" s="7"/>
      <c r="V38" s="7"/>
    </row>
    <row r="39" customFormat="false" ht="15.75" hidden="false" customHeight="false" outlineLevel="0" collapsed="false">
      <c r="C39" s="37" t="s">
        <v>26</v>
      </c>
      <c r="D39" s="39" t="s">
        <v>63</v>
      </c>
      <c r="E39" s="7" t="s">
        <v>134</v>
      </c>
      <c r="F39" s="7" t="s">
        <v>134</v>
      </c>
      <c r="G39" s="7" t="s">
        <v>134</v>
      </c>
      <c r="H39" s="7" t="s">
        <v>134</v>
      </c>
      <c r="I39" s="7" t="s">
        <v>134</v>
      </c>
      <c r="J39" s="7" t="s">
        <v>134</v>
      </c>
      <c r="K39" s="7" t="s">
        <v>134</v>
      </c>
      <c r="L39" s="7" t="s">
        <v>134</v>
      </c>
      <c r="N39" s="7" t="n">
        <v>1</v>
      </c>
      <c r="O39" s="7"/>
      <c r="P39" s="7"/>
      <c r="Q39" s="7"/>
      <c r="R39" s="7"/>
      <c r="S39" s="7"/>
      <c r="T39" s="7"/>
      <c r="U39" s="7"/>
      <c r="V39" s="7"/>
    </row>
    <row r="40" customFormat="false" ht="15.75" hidden="false" customHeight="false" outlineLevel="0" collapsed="false">
      <c r="C40" s="7"/>
      <c r="D40" s="39" t="s">
        <v>68</v>
      </c>
      <c r="E40" s="7" t="s">
        <v>133</v>
      </c>
      <c r="F40" s="7" t="s">
        <v>133</v>
      </c>
      <c r="G40" s="7" t="s">
        <v>141</v>
      </c>
      <c r="H40" s="7" t="s">
        <v>141</v>
      </c>
      <c r="I40" s="7" t="s">
        <v>133</v>
      </c>
      <c r="J40" s="7" t="s">
        <v>133</v>
      </c>
      <c r="K40" s="7" t="s">
        <v>141</v>
      </c>
      <c r="L40" s="7" t="s">
        <v>141</v>
      </c>
      <c r="N40" s="7" t="n">
        <v>9</v>
      </c>
      <c r="O40" s="7"/>
      <c r="P40" s="7"/>
      <c r="Q40" s="7"/>
      <c r="R40" s="7"/>
      <c r="S40" s="7"/>
      <c r="T40" s="7"/>
      <c r="U40" s="7"/>
      <c r="V40" s="7"/>
    </row>
    <row r="41" customFormat="false" ht="15.75" hidden="false" customHeight="false" outlineLevel="0" collapsed="false">
      <c r="C41" s="7"/>
      <c r="D41" s="39" t="s">
        <v>73</v>
      </c>
      <c r="E41" s="7" t="s">
        <v>135</v>
      </c>
      <c r="F41" s="7" t="s">
        <v>135</v>
      </c>
      <c r="G41" s="7" t="s">
        <v>135</v>
      </c>
      <c r="H41" s="7" t="s">
        <v>135</v>
      </c>
      <c r="I41" s="7" t="s">
        <v>135</v>
      </c>
      <c r="J41" s="7" t="s">
        <v>135</v>
      </c>
      <c r="K41" s="7" t="s">
        <v>135</v>
      </c>
      <c r="L41" s="7" t="s">
        <v>135</v>
      </c>
      <c r="N41" s="7"/>
      <c r="O41" s="7"/>
      <c r="P41" s="7"/>
      <c r="Q41" s="7"/>
      <c r="R41" s="7"/>
      <c r="S41" s="7"/>
      <c r="T41" s="7"/>
      <c r="U41" s="7"/>
      <c r="V41" s="7"/>
    </row>
    <row r="42" customFormat="false" ht="15.75" hidden="false" customHeight="false" outlineLevel="0" collapsed="false">
      <c r="C42" s="7"/>
      <c r="D42" s="7" t="s">
        <v>76</v>
      </c>
      <c r="E42" s="7" t="s">
        <v>149</v>
      </c>
      <c r="F42" s="7" t="s">
        <v>149</v>
      </c>
      <c r="G42" s="7" t="s">
        <v>149</v>
      </c>
      <c r="H42" s="7" t="s">
        <v>149</v>
      </c>
      <c r="I42" s="7" t="s">
        <v>149</v>
      </c>
      <c r="J42" s="7" t="s">
        <v>149</v>
      </c>
      <c r="K42" s="7" t="s">
        <v>149</v>
      </c>
      <c r="L42" s="7" t="s">
        <v>149</v>
      </c>
      <c r="N42" s="7"/>
      <c r="O42" s="7"/>
      <c r="P42" s="7"/>
      <c r="Q42" s="7"/>
      <c r="R42" s="7"/>
      <c r="S42" s="7"/>
      <c r="T42" s="7"/>
      <c r="U42" s="7"/>
      <c r="V42" s="7"/>
    </row>
    <row r="43" customFormat="false" ht="15.75" hidden="false" customHeight="false" outlineLevel="0" collapsed="false">
      <c r="C43" s="7"/>
      <c r="E43" s="7" t="s">
        <v>154</v>
      </c>
      <c r="F43" s="7" t="s">
        <v>154</v>
      </c>
      <c r="G43" s="7" t="s">
        <v>154</v>
      </c>
      <c r="H43" s="7" t="s">
        <v>154</v>
      </c>
      <c r="I43" s="7"/>
      <c r="J43" s="7"/>
      <c r="K43" s="7"/>
      <c r="L43" s="7"/>
      <c r="N43" s="7"/>
      <c r="O43" s="7"/>
      <c r="P43" s="7"/>
      <c r="Q43" s="7"/>
      <c r="R43" s="7"/>
      <c r="S43" s="8" t="s">
        <v>315</v>
      </c>
      <c r="T43" s="8" t="n">
        <f aca="false">N39*N40*N45*N47*N50*N52*N53*N54</f>
        <v>180</v>
      </c>
      <c r="U43" s="7"/>
      <c r="V43" s="7"/>
    </row>
    <row r="44" customFormat="false" ht="15.75" hidden="false" customHeight="false" outlineLevel="0" collapsed="false">
      <c r="C44" s="7"/>
      <c r="E44" s="7" t="s">
        <v>159</v>
      </c>
      <c r="F44" s="7" t="s">
        <v>160</v>
      </c>
      <c r="G44" s="7" t="s">
        <v>159</v>
      </c>
      <c r="H44" s="7" t="s">
        <v>160</v>
      </c>
      <c r="I44" s="7" t="s">
        <v>159</v>
      </c>
      <c r="J44" s="7" t="s">
        <v>160</v>
      </c>
      <c r="K44" s="7" t="s">
        <v>159</v>
      </c>
      <c r="L44" s="7" t="s">
        <v>160</v>
      </c>
      <c r="N44" s="7"/>
      <c r="O44" s="7"/>
      <c r="P44" s="7"/>
      <c r="Q44" s="7"/>
      <c r="R44" s="7"/>
      <c r="S44" s="7"/>
      <c r="T44" s="7"/>
      <c r="U44" s="7"/>
      <c r="V44" s="7"/>
    </row>
    <row r="45" customFormat="false" ht="15.75" hidden="false" customHeight="false" outlineLevel="0" collapsed="false">
      <c r="C45" s="7"/>
      <c r="D45" s="7" t="s">
        <v>80</v>
      </c>
      <c r="E45" s="7" t="s">
        <v>151</v>
      </c>
      <c r="F45" s="7" t="s">
        <v>151</v>
      </c>
      <c r="G45" s="7" t="s">
        <v>151</v>
      </c>
      <c r="H45" s="7" t="s">
        <v>151</v>
      </c>
      <c r="I45" s="7" t="s">
        <v>151</v>
      </c>
      <c r="J45" s="7" t="s">
        <v>151</v>
      </c>
      <c r="K45" s="7" t="s">
        <v>151</v>
      </c>
      <c r="L45" s="7" t="s">
        <v>151</v>
      </c>
      <c r="N45" s="7" t="n">
        <v>2</v>
      </c>
      <c r="O45" s="7"/>
      <c r="P45" s="7"/>
      <c r="Q45" s="7"/>
      <c r="R45" s="7"/>
      <c r="S45" s="7"/>
      <c r="T45" s="7"/>
      <c r="U45" s="7"/>
      <c r="V45" s="7"/>
    </row>
    <row r="46" customFormat="false" ht="15.75" hidden="false" customHeight="false" outlineLevel="0" collapsed="false">
      <c r="C46" s="7"/>
      <c r="E46" s="7" t="s">
        <v>152</v>
      </c>
      <c r="F46" s="7" t="s">
        <v>152</v>
      </c>
      <c r="G46" s="7" t="s">
        <v>152</v>
      </c>
      <c r="H46" s="7" t="s">
        <v>152</v>
      </c>
      <c r="I46" s="7" t="s">
        <v>152</v>
      </c>
      <c r="J46" s="7" t="s">
        <v>152</v>
      </c>
      <c r="K46" s="7" t="s">
        <v>152</v>
      </c>
      <c r="L46" s="7" t="s">
        <v>152</v>
      </c>
      <c r="N46" s="7"/>
      <c r="O46" s="7"/>
      <c r="P46" s="7"/>
      <c r="Q46" s="7"/>
      <c r="R46" s="7"/>
      <c r="S46" s="7"/>
      <c r="T46" s="7"/>
      <c r="U46" s="7"/>
      <c r="V46" s="7"/>
    </row>
    <row r="47" customFormat="false" ht="15.75" hidden="false" customHeight="false" outlineLevel="0" collapsed="false">
      <c r="C47" s="7"/>
      <c r="D47" s="7" t="s">
        <v>316</v>
      </c>
      <c r="E47" s="7" t="s">
        <v>149</v>
      </c>
      <c r="F47" s="7" t="s">
        <v>149</v>
      </c>
      <c r="G47" s="7" t="s">
        <v>149</v>
      </c>
      <c r="H47" s="7" t="s">
        <v>149</v>
      </c>
      <c r="I47" s="7" t="s">
        <v>149</v>
      </c>
      <c r="J47" s="7" t="s">
        <v>149</v>
      </c>
      <c r="K47" s="7" t="s">
        <v>149</v>
      </c>
      <c r="L47" s="7" t="s">
        <v>149</v>
      </c>
      <c r="N47" s="7" t="n">
        <v>5</v>
      </c>
      <c r="O47" s="7"/>
      <c r="P47" s="7"/>
      <c r="Q47" s="7"/>
      <c r="R47" s="7"/>
      <c r="S47" s="7"/>
      <c r="T47" s="7"/>
      <c r="U47" s="7"/>
      <c r="V47" s="7"/>
    </row>
    <row r="48" customFormat="false" ht="15.75" hidden="false" customHeight="false" outlineLevel="0" collapsed="false">
      <c r="C48" s="7"/>
      <c r="E48" s="7" t="s">
        <v>154</v>
      </c>
      <c r="F48" s="7" t="s">
        <v>154</v>
      </c>
      <c r="G48" s="7" t="s">
        <v>154</v>
      </c>
      <c r="H48" s="7" t="s">
        <v>154</v>
      </c>
      <c r="I48" s="7"/>
      <c r="J48" s="7"/>
      <c r="K48" s="7"/>
      <c r="L48" s="7"/>
      <c r="N48" s="7"/>
      <c r="O48" s="7"/>
      <c r="P48" s="7"/>
      <c r="Q48" s="7"/>
      <c r="R48" s="7"/>
      <c r="S48" s="7"/>
      <c r="T48" s="7"/>
      <c r="U48" s="7"/>
      <c r="V48" s="7"/>
    </row>
    <row r="49" customFormat="false" ht="15.75" hidden="false" customHeight="false" outlineLevel="0" collapsed="false">
      <c r="C49" s="7"/>
      <c r="E49" s="7" t="s">
        <v>159</v>
      </c>
      <c r="F49" s="7" t="s">
        <v>160</v>
      </c>
      <c r="G49" s="7" t="s">
        <v>159</v>
      </c>
      <c r="H49" s="7" t="s">
        <v>160</v>
      </c>
      <c r="I49" s="7" t="s">
        <v>159</v>
      </c>
      <c r="J49" s="7" t="s">
        <v>160</v>
      </c>
      <c r="K49" s="7" t="s">
        <v>159</v>
      </c>
      <c r="L49" s="7" t="s">
        <v>160</v>
      </c>
      <c r="N49" s="7"/>
      <c r="O49" s="7"/>
      <c r="P49" s="7"/>
      <c r="Q49" s="7"/>
      <c r="R49" s="7"/>
      <c r="S49" s="7"/>
      <c r="T49" s="7"/>
      <c r="U49" s="7"/>
      <c r="V49" s="7"/>
    </row>
    <row r="50" customFormat="false" ht="15.75" hidden="false" customHeight="false" outlineLevel="0" collapsed="false">
      <c r="C50" s="7"/>
      <c r="D50" s="7" t="s">
        <v>83</v>
      </c>
      <c r="E50" s="7" t="s">
        <v>143</v>
      </c>
      <c r="F50" s="7" t="s">
        <v>143</v>
      </c>
      <c r="G50" s="7" t="s">
        <v>143</v>
      </c>
      <c r="H50" s="7" t="s">
        <v>143</v>
      </c>
      <c r="I50" s="7" t="s">
        <v>143</v>
      </c>
      <c r="J50" s="7" t="s">
        <v>143</v>
      </c>
      <c r="K50" s="7" t="s">
        <v>143</v>
      </c>
      <c r="L50" s="7" t="s">
        <v>143</v>
      </c>
      <c r="N50" s="7" t="n">
        <v>1</v>
      </c>
      <c r="O50" s="7"/>
      <c r="P50" s="7"/>
      <c r="Q50" s="7"/>
      <c r="R50" s="7"/>
      <c r="S50" s="7"/>
      <c r="T50" s="7"/>
      <c r="U50" s="7"/>
      <c r="V50" s="7"/>
    </row>
    <row r="51" customFormat="false" ht="15.75" hidden="false" customHeight="false" outlineLevel="0" collapsed="false">
      <c r="C51" s="7"/>
      <c r="E51" s="7" t="s">
        <v>144</v>
      </c>
      <c r="F51" s="7" t="s">
        <v>144</v>
      </c>
      <c r="G51" s="7" t="s">
        <v>144</v>
      </c>
      <c r="H51" s="7" t="s">
        <v>144</v>
      </c>
      <c r="I51" s="7" t="s">
        <v>144</v>
      </c>
      <c r="J51" s="7" t="s">
        <v>144</v>
      </c>
      <c r="K51" s="7" t="s">
        <v>144</v>
      </c>
      <c r="L51" s="7" t="s">
        <v>144</v>
      </c>
      <c r="N51" s="7"/>
      <c r="O51" s="7"/>
      <c r="P51" s="7"/>
      <c r="Q51" s="7"/>
      <c r="R51" s="7"/>
      <c r="S51" s="7"/>
      <c r="T51" s="7"/>
      <c r="U51" s="7"/>
      <c r="V51" s="7"/>
    </row>
    <row r="52" customFormat="false" ht="15.75" hidden="false" customHeight="false" outlineLevel="0" collapsed="false">
      <c r="C52" s="7"/>
      <c r="D52" s="7" t="s">
        <v>92</v>
      </c>
      <c r="E52" s="7" t="s">
        <v>147</v>
      </c>
      <c r="F52" s="7" t="s">
        <v>147</v>
      </c>
      <c r="G52" s="7" t="s">
        <v>147</v>
      </c>
      <c r="H52" s="7" t="s">
        <v>147</v>
      </c>
      <c r="I52" s="7" t="s">
        <v>147</v>
      </c>
      <c r="J52" s="7" t="s">
        <v>147</v>
      </c>
      <c r="K52" s="7" t="s">
        <v>147</v>
      </c>
      <c r="L52" s="7" t="s">
        <v>147</v>
      </c>
      <c r="N52" s="7" t="n">
        <v>1</v>
      </c>
      <c r="O52" s="7"/>
      <c r="P52" s="7"/>
      <c r="Q52" s="7"/>
      <c r="R52" s="7"/>
      <c r="S52" s="7"/>
      <c r="T52" s="7"/>
      <c r="U52" s="7"/>
      <c r="V52" s="7"/>
    </row>
    <row r="53" customFormat="false" ht="15.75" hidden="false" customHeight="false" outlineLevel="0" collapsed="false">
      <c r="C53" s="7"/>
      <c r="D53" s="39" t="s">
        <v>99</v>
      </c>
      <c r="E53" s="7" t="s">
        <v>137</v>
      </c>
      <c r="F53" s="7" t="s">
        <v>137</v>
      </c>
      <c r="G53" s="7" t="s">
        <v>137</v>
      </c>
      <c r="H53" s="7" t="s">
        <v>137</v>
      </c>
      <c r="I53" s="7" t="s">
        <v>137</v>
      </c>
      <c r="J53" s="7" t="s">
        <v>137</v>
      </c>
      <c r="K53" s="7" t="s">
        <v>137</v>
      </c>
      <c r="L53" s="7" t="s">
        <v>137</v>
      </c>
      <c r="N53" s="7" t="n">
        <v>2</v>
      </c>
      <c r="O53" s="7"/>
      <c r="P53" s="7"/>
      <c r="Q53" s="7"/>
      <c r="R53" s="7"/>
      <c r="S53" s="7"/>
      <c r="T53" s="7"/>
      <c r="U53" s="7"/>
      <c r="V53" s="7"/>
    </row>
    <row r="54" customFormat="false" ht="15.75" hidden="false" customHeight="false" outlineLevel="0" collapsed="false">
      <c r="C54" s="7"/>
      <c r="D54" s="39" t="s">
        <v>97</v>
      </c>
      <c r="E54" s="7" t="s">
        <v>138</v>
      </c>
      <c r="F54" s="7" t="s">
        <v>138</v>
      </c>
      <c r="G54" s="7" t="s">
        <v>138</v>
      </c>
      <c r="H54" s="7" t="s">
        <v>138</v>
      </c>
      <c r="I54" s="7" t="s">
        <v>138</v>
      </c>
      <c r="J54" s="7" t="s">
        <v>138</v>
      </c>
      <c r="K54" s="7" t="s">
        <v>138</v>
      </c>
      <c r="L54" s="7" t="s">
        <v>138</v>
      </c>
      <c r="N54" s="7" t="n">
        <v>1</v>
      </c>
      <c r="O54" s="7"/>
      <c r="P54" s="7"/>
      <c r="Q54" s="7"/>
      <c r="R54" s="7"/>
      <c r="S54" s="7"/>
      <c r="T54" s="7"/>
      <c r="U54" s="7"/>
      <c r="V54" s="7"/>
    </row>
    <row r="55" customFormat="false" ht="15.75" hidden="false" customHeight="false" outlineLevel="0" collapsed="false">
      <c r="C55" s="7"/>
      <c r="D55" s="7"/>
      <c r="N55" s="7"/>
      <c r="O55" s="7"/>
      <c r="P55" s="7"/>
      <c r="Q55" s="7"/>
      <c r="R55" s="7"/>
      <c r="S55" s="7"/>
      <c r="T55" s="7"/>
      <c r="U55" s="7"/>
      <c r="V55" s="7"/>
    </row>
    <row r="56" customFormat="false" ht="20.25" hidden="false" customHeight="false" outlineLevel="0" collapsed="false">
      <c r="C56" s="35" t="s">
        <v>173</v>
      </c>
      <c r="D56" s="35"/>
      <c r="N56" s="7"/>
      <c r="O56" s="7"/>
      <c r="P56" s="7"/>
      <c r="Q56" s="7"/>
      <c r="R56" s="7"/>
      <c r="S56" s="7"/>
      <c r="T56" s="7"/>
      <c r="U56" s="7"/>
      <c r="V56" s="7"/>
    </row>
    <row r="57" customFormat="false" ht="15.75" hidden="false" customHeight="false" outlineLevel="0" collapsed="false">
      <c r="C57" s="7"/>
      <c r="D57" s="7"/>
      <c r="N57" s="7"/>
      <c r="O57" s="7"/>
      <c r="P57" s="7"/>
      <c r="Q57" s="7"/>
      <c r="R57" s="7"/>
      <c r="S57" s="7"/>
      <c r="T57" s="7"/>
      <c r="U57" s="7"/>
      <c r="V57" s="7"/>
    </row>
    <row r="58" customFormat="false" ht="20.25" hidden="false" customHeight="false" outlineLevel="0" collapsed="false">
      <c r="C58" s="7"/>
      <c r="D58" s="7"/>
      <c r="N58" s="7"/>
      <c r="O58" s="7"/>
      <c r="P58" s="7"/>
      <c r="Q58" s="7"/>
      <c r="R58" s="7"/>
      <c r="S58" s="6" t="s">
        <v>317</v>
      </c>
      <c r="T58" s="7"/>
      <c r="U58" s="7"/>
      <c r="V58" s="7"/>
    </row>
    <row r="59" customFormat="false" ht="15.75" hidden="false" customHeight="false" outlineLevel="0" collapsed="false">
      <c r="C59" s="37" t="s">
        <v>113</v>
      </c>
      <c r="D59" s="39" t="s">
        <v>63</v>
      </c>
      <c r="E59" s="0" t="s">
        <v>178</v>
      </c>
      <c r="N59" s="7" t="n">
        <v>1</v>
      </c>
      <c r="O59" s="7" t="n">
        <v>1</v>
      </c>
      <c r="P59" s="7"/>
      <c r="Q59" s="7"/>
      <c r="R59" s="7"/>
      <c r="S59" s="8" t="s">
        <v>315</v>
      </c>
      <c r="T59" s="8" t="n">
        <f aca="false">N59*N60*N65*N67*N70*N72*N73*N74</f>
        <v>7200</v>
      </c>
      <c r="U59" s="7"/>
      <c r="V59" s="7"/>
    </row>
    <row r="60" customFormat="false" ht="15.75" hidden="false" customHeight="false" outlineLevel="0" collapsed="false">
      <c r="C60" s="7"/>
      <c r="D60" s="39" t="s">
        <v>68</v>
      </c>
      <c r="E60" s="0" t="s">
        <v>179</v>
      </c>
      <c r="N60" s="7" t="n">
        <v>9</v>
      </c>
      <c r="O60" s="7" t="n">
        <v>27</v>
      </c>
      <c r="P60" s="7"/>
      <c r="Q60" s="7"/>
      <c r="R60" s="7"/>
      <c r="S60" s="7"/>
      <c r="T60" s="7"/>
      <c r="U60" s="7"/>
      <c r="V60" s="7"/>
    </row>
    <row r="61" customFormat="false" ht="15.75" hidden="false" customHeight="false" outlineLevel="0" collapsed="false">
      <c r="C61" s="7"/>
      <c r="D61" s="39" t="s">
        <v>73</v>
      </c>
      <c r="E61" s="0" t="s">
        <v>182</v>
      </c>
      <c r="F61" s="0" t="s">
        <v>183</v>
      </c>
      <c r="N61" s="7"/>
      <c r="O61" s="7"/>
      <c r="P61" s="7"/>
      <c r="Q61" s="7"/>
      <c r="R61" s="7"/>
      <c r="S61" s="7"/>
      <c r="T61" s="7"/>
      <c r="U61" s="7"/>
      <c r="V61" s="7"/>
    </row>
    <row r="62" customFormat="false" ht="15.75" hidden="false" customHeight="false" outlineLevel="0" collapsed="false">
      <c r="C62" s="7"/>
      <c r="D62" s="7" t="s">
        <v>76</v>
      </c>
      <c r="E62" s="0" t="s">
        <v>136</v>
      </c>
      <c r="S62" s="7"/>
      <c r="T62" s="7"/>
    </row>
    <row r="63" customFormat="false" ht="15.75" hidden="false" customHeight="false" outlineLevel="0" collapsed="false">
      <c r="E63" s="0" t="s">
        <v>154</v>
      </c>
      <c r="S63" s="7"/>
      <c r="T63" s="7"/>
    </row>
    <row r="64" customFormat="false" ht="15.75" hidden="false" customHeight="false" outlineLevel="0" collapsed="false">
      <c r="E64" s="0" t="s">
        <v>186</v>
      </c>
      <c r="F64" s="0" t="s">
        <v>187</v>
      </c>
      <c r="S64" s="7"/>
      <c r="T64" s="7"/>
    </row>
    <row r="65" customFormat="false" ht="15.75" hidden="false" customHeight="false" outlineLevel="0" collapsed="false">
      <c r="C65" s="7"/>
      <c r="D65" s="7" t="s">
        <v>80</v>
      </c>
      <c r="E65" s="0" t="s">
        <v>165</v>
      </c>
      <c r="F65" s="0" t="s">
        <v>166</v>
      </c>
      <c r="N65" s="0" t="n">
        <v>16</v>
      </c>
      <c r="O65" s="0" t="n">
        <v>34</v>
      </c>
      <c r="S65" s="7"/>
      <c r="T65" s="7"/>
      <c r="U65" s="7"/>
    </row>
    <row r="66" customFormat="false" ht="15.75" hidden="false" customHeight="false" outlineLevel="0" collapsed="false">
      <c r="E66" s="0" t="s">
        <v>188</v>
      </c>
      <c r="F66" s="0" t="s">
        <v>146</v>
      </c>
      <c r="G66" s="0" t="s">
        <v>189</v>
      </c>
      <c r="H66" s="0" t="s">
        <v>190</v>
      </c>
      <c r="I66" s="0" t="s">
        <v>191</v>
      </c>
      <c r="J66" s="0" t="s">
        <v>192</v>
      </c>
      <c r="K66" s="0" t="s">
        <v>193</v>
      </c>
      <c r="L66" s="0" t="s">
        <v>152</v>
      </c>
      <c r="S66" s="7"/>
      <c r="T66" s="7"/>
      <c r="U66" s="7"/>
    </row>
    <row r="67" customFormat="false" ht="15.75" hidden="false" customHeight="false" outlineLevel="0" collapsed="false">
      <c r="C67" s="7"/>
      <c r="D67" s="7" t="s">
        <v>316</v>
      </c>
      <c r="E67" s="0" t="s">
        <v>136</v>
      </c>
      <c r="N67" s="0" t="n">
        <v>5</v>
      </c>
      <c r="O67" s="0" t="n">
        <v>13</v>
      </c>
      <c r="S67" s="7"/>
      <c r="T67" s="7"/>
    </row>
    <row r="68" customFormat="false" ht="15.75" hidden="false" customHeight="false" outlineLevel="0" collapsed="false">
      <c r="E68" s="0" t="s">
        <v>154</v>
      </c>
      <c r="S68" s="7"/>
      <c r="T68" s="7"/>
    </row>
    <row r="69" customFormat="false" ht="15.75" hidden="false" customHeight="false" outlineLevel="0" collapsed="false">
      <c r="E69" s="0" t="s">
        <v>186</v>
      </c>
      <c r="F69" s="0" t="s">
        <v>187</v>
      </c>
      <c r="S69" s="7"/>
      <c r="T69" s="7"/>
      <c r="U69" s="7"/>
    </row>
    <row r="70" customFormat="false" ht="15.75" hidden="false" customHeight="false" outlineLevel="0" collapsed="false">
      <c r="C70" s="7"/>
      <c r="D70" s="7" t="s">
        <v>83</v>
      </c>
      <c r="E70" s="0" t="s">
        <v>167</v>
      </c>
      <c r="G70" s="0" t="s">
        <v>200</v>
      </c>
      <c r="I70" s="0" t="s">
        <v>169</v>
      </c>
      <c r="N70" s="0" t="n">
        <v>5</v>
      </c>
      <c r="O70" s="0" t="n">
        <v>13</v>
      </c>
      <c r="S70" s="7"/>
      <c r="T70" s="7"/>
      <c r="U70" s="7"/>
    </row>
    <row r="71" customFormat="false" ht="15.75" hidden="false" customHeight="false" outlineLevel="0" collapsed="false">
      <c r="E71" s="0" t="s">
        <v>195</v>
      </c>
      <c r="F71" s="0" t="s">
        <v>203</v>
      </c>
      <c r="G71" s="0" t="s">
        <v>195</v>
      </c>
      <c r="H71" s="0" t="s">
        <v>203</v>
      </c>
      <c r="I71" s="0" t="s">
        <v>196</v>
      </c>
      <c r="S71" s="7"/>
      <c r="T71" s="7"/>
      <c r="U71" s="7"/>
    </row>
    <row r="72" customFormat="false" ht="15.75" hidden="false" customHeight="false" outlineLevel="0" collapsed="false">
      <c r="C72" s="7"/>
      <c r="D72" s="7" t="s">
        <v>92</v>
      </c>
      <c r="E72" s="0" t="s">
        <v>180</v>
      </c>
      <c r="N72" s="0" t="n">
        <v>1</v>
      </c>
      <c r="O72" s="0" t="n">
        <v>2</v>
      </c>
      <c r="S72" s="7"/>
      <c r="T72" s="7"/>
      <c r="U72" s="7"/>
    </row>
    <row r="73" customFormat="false" ht="15.75" hidden="false" customHeight="false" outlineLevel="0" collapsed="false">
      <c r="C73" s="7"/>
      <c r="D73" s="39" t="s">
        <v>99</v>
      </c>
      <c r="E73" s="0" t="s">
        <v>137</v>
      </c>
      <c r="N73" s="0" t="n">
        <v>2</v>
      </c>
      <c r="O73" s="0" t="n">
        <v>2</v>
      </c>
      <c r="S73" s="7"/>
      <c r="T73" s="7"/>
    </row>
    <row r="74" customFormat="false" ht="15.75" hidden="false" customHeight="false" outlineLevel="0" collapsed="false">
      <c r="C74" s="7"/>
      <c r="D74" s="39" t="s">
        <v>97</v>
      </c>
      <c r="E74" s="0" t="s">
        <v>138</v>
      </c>
      <c r="N74" s="0" t="n">
        <v>1</v>
      </c>
      <c r="O74" s="0" t="n">
        <v>1</v>
      </c>
      <c r="S74" s="7"/>
      <c r="T74" s="7"/>
    </row>
    <row r="75" customFormat="false" ht="15.75" hidden="false" customHeight="false" outlineLevel="0" collapsed="false">
      <c r="C75" s="7"/>
      <c r="D75" s="7"/>
      <c r="S75" s="7"/>
      <c r="T75" s="7"/>
    </row>
    <row r="76" customFormat="false" ht="15.75" hidden="false" customHeight="false" outlineLevel="0" collapsed="false">
      <c r="C76" s="37" t="s">
        <v>104</v>
      </c>
      <c r="D76" s="39" t="s">
        <v>63</v>
      </c>
      <c r="E76" s="0" t="s">
        <v>178</v>
      </c>
      <c r="N76" s="0" t="n">
        <v>1</v>
      </c>
      <c r="S76" s="8" t="s">
        <v>315</v>
      </c>
      <c r="T76" s="8" t="n">
        <f aca="false">N76*N77*N82*N84*N87*N89*N90*N91</f>
        <v>2160</v>
      </c>
    </row>
    <row r="77" customFormat="false" ht="15.75" hidden="false" customHeight="false" outlineLevel="0" collapsed="false">
      <c r="C77" s="7"/>
      <c r="D77" s="39" t="s">
        <v>68</v>
      </c>
      <c r="E77" s="0" t="s">
        <v>179</v>
      </c>
      <c r="N77" s="0" t="n">
        <v>9</v>
      </c>
      <c r="S77" s="7"/>
      <c r="T77" s="7"/>
    </row>
    <row r="78" customFormat="false" ht="15.75" hidden="false" customHeight="false" outlineLevel="0" collapsed="false">
      <c r="C78" s="7"/>
      <c r="D78" s="39" t="s">
        <v>73</v>
      </c>
      <c r="E78" s="0" t="s">
        <v>182</v>
      </c>
      <c r="F78" s="0" t="s">
        <v>183</v>
      </c>
      <c r="S78" s="7"/>
      <c r="T78" s="7"/>
    </row>
    <row r="79" customFormat="false" ht="15.75" hidden="false" customHeight="false" outlineLevel="0" collapsed="false">
      <c r="C79" s="7"/>
      <c r="D79" s="7" t="s">
        <v>76</v>
      </c>
      <c r="E79" s="0" t="s">
        <v>142</v>
      </c>
      <c r="S79" s="7"/>
      <c r="T79" s="7"/>
    </row>
    <row r="80" customFormat="false" ht="15.75" hidden="false" customHeight="false" outlineLevel="0" collapsed="false">
      <c r="C80" s="7"/>
      <c r="E80" s="0" t="s">
        <v>154</v>
      </c>
      <c r="S80" s="7"/>
      <c r="T80" s="7"/>
      <c r="U80" s="7"/>
    </row>
    <row r="81" customFormat="false" ht="15.75" hidden="false" customHeight="false" outlineLevel="0" collapsed="false">
      <c r="C81" s="7"/>
      <c r="E81" s="0" t="s">
        <v>186</v>
      </c>
      <c r="F81" s="0" t="s">
        <v>187</v>
      </c>
      <c r="S81" s="7"/>
      <c r="T81" s="7"/>
      <c r="U81" s="7"/>
    </row>
    <row r="82" customFormat="false" ht="15.75" hidden="false" customHeight="false" outlineLevel="0" collapsed="false">
      <c r="C82" s="7"/>
      <c r="D82" s="7" t="s">
        <v>80</v>
      </c>
      <c r="E82" s="0" t="s">
        <v>145</v>
      </c>
      <c r="N82" s="0" t="n">
        <v>4</v>
      </c>
      <c r="S82" s="7"/>
      <c r="T82" s="7"/>
    </row>
    <row r="83" customFormat="false" ht="15.75" hidden="false" customHeight="false" outlineLevel="0" collapsed="false">
      <c r="C83" s="7"/>
      <c r="E83" s="0" t="s">
        <v>188</v>
      </c>
      <c r="F83" s="0" t="s">
        <v>139</v>
      </c>
      <c r="G83" s="0" t="s">
        <v>191</v>
      </c>
      <c r="H83" s="0" t="s">
        <v>152</v>
      </c>
      <c r="N83" s="7"/>
      <c r="S83" s="7"/>
      <c r="T83" s="7"/>
    </row>
    <row r="84" customFormat="false" ht="15.75" hidden="false" customHeight="false" outlineLevel="0" collapsed="false">
      <c r="C84" s="7"/>
      <c r="D84" s="7" t="s">
        <v>316</v>
      </c>
      <c r="E84" s="0" t="s">
        <v>142</v>
      </c>
      <c r="N84" s="7" t="n">
        <v>5</v>
      </c>
      <c r="S84" s="7"/>
      <c r="T84" s="7"/>
    </row>
    <row r="85" customFormat="false" ht="15.75" hidden="false" customHeight="false" outlineLevel="0" collapsed="false">
      <c r="C85" s="7"/>
      <c r="E85" s="0" t="s">
        <v>154</v>
      </c>
      <c r="S85" s="7"/>
      <c r="T85" s="7"/>
      <c r="U85" s="7"/>
    </row>
    <row r="86" customFormat="false" ht="15.75" hidden="false" customHeight="false" outlineLevel="0" collapsed="false">
      <c r="C86" s="7"/>
      <c r="E86" s="0" t="s">
        <v>186</v>
      </c>
      <c r="F86" s="0" t="s">
        <v>187</v>
      </c>
      <c r="S86" s="7"/>
      <c r="T86" s="7"/>
      <c r="U86" s="7"/>
    </row>
    <row r="87" customFormat="false" ht="15.75" hidden="false" customHeight="false" outlineLevel="0" collapsed="false">
      <c r="D87" s="7" t="s">
        <v>83</v>
      </c>
      <c r="E87" s="0" t="s">
        <v>150</v>
      </c>
      <c r="H87" s="0" t="s">
        <v>143</v>
      </c>
      <c r="N87" s="0" t="n">
        <v>6</v>
      </c>
      <c r="S87" s="7"/>
      <c r="T87" s="7"/>
      <c r="U87" s="7"/>
    </row>
    <row r="88" customFormat="false" ht="15.75" hidden="false" customHeight="false" outlineLevel="0" collapsed="false">
      <c r="C88" s="7"/>
      <c r="E88" s="0" t="s">
        <v>144</v>
      </c>
      <c r="F88" s="0" t="s">
        <v>195</v>
      </c>
      <c r="G88" s="0" t="s">
        <v>203</v>
      </c>
      <c r="H88" s="0" t="s">
        <v>195</v>
      </c>
      <c r="I88" s="0" t="s">
        <v>203</v>
      </c>
      <c r="S88" s="7"/>
      <c r="T88" s="7"/>
      <c r="U88" s="7"/>
    </row>
    <row r="89" customFormat="false" ht="15.75" hidden="false" customHeight="false" outlineLevel="0" collapsed="false">
      <c r="C89" s="7"/>
      <c r="D89" s="7" t="s">
        <v>92</v>
      </c>
      <c r="E89" s="0" t="s">
        <v>181</v>
      </c>
      <c r="N89" s="0" t="n">
        <v>1</v>
      </c>
      <c r="S89" s="7"/>
      <c r="T89" s="7"/>
    </row>
    <row r="90" customFormat="false" ht="15.75" hidden="false" customHeight="false" outlineLevel="0" collapsed="false">
      <c r="C90" s="7"/>
      <c r="D90" s="39" t="s">
        <v>99</v>
      </c>
      <c r="E90" s="0" t="s">
        <v>137</v>
      </c>
      <c r="N90" s="0" t="n">
        <v>2</v>
      </c>
      <c r="S90" s="7"/>
      <c r="T90" s="7"/>
    </row>
    <row r="91" customFormat="false" ht="15.75" hidden="false" customHeight="false" outlineLevel="0" collapsed="false">
      <c r="C91" s="7"/>
      <c r="D91" s="39" t="s">
        <v>97</v>
      </c>
      <c r="E91" s="0" t="s">
        <v>138</v>
      </c>
      <c r="N91" s="0" t="n">
        <v>1</v>
      </c>
      <c r="S91" s="7"/>
      <c r="T91" s="7"/>
    </row>
    <row r="92" customFormat="false" ht="15.75" hidden="false" customHeight="false" outlineLevel="0" collapsed="false">
      <c r="C92" s="7"/>
      <c r="D92" s="7"/>
      <c r="S92" s="7"/>
      <c r="T92" s="7"/>
    </row>
    <row r="93" customFormat="false" ht="15.75" hidden="false" customHeight="false" outlineLevel="0" collapsed="false">
      <c r="C93" s="37" t="s">
        <v>26</v>
      </c>
      <c r="D93" s="39" t="s">
        <v>63</v>
      </c>
      <c r="E93" s="0" t="s">
        <v>178</v>
      </c>
      <c r="N93" s="0" t="n">
        <v>1</v>
      </c>
      <c r="S93" s="8" t="s">
        <v>315</v>
      </c>
      <c r="T93" s="8" t="n">
        <f aca="false">N93*N94*N99*N101*N104*N106*N107*N108</f>
        <v>2160</v>
      </c>
    </row>
    <row r="94" customFormat="false" ht="15.75" hidden="false" customHeight="false" outlineLevel="0" collapsed="false">
      <c r="C94" s="7"/>
      <c r="D94" s="39" t="s">
        <v>68</v>
      </c>
      <c r="E94" s="0" t="s">
        <v>179</v>
      </c>
      <c r="N94" s="0" t="n">
        <v>9</v>
      </c>
    </row>
    <row r="95" customFormat="false" ht="15.75" hidden="false" customHeight="false" outlineLevel="0" collapsed="false">
      <c r="C95" s="7"/>
      <c r="D95" s="39" t="s">
        <v>73</v>
      </c>
      <c r="E95" s="0" t="s">
        <v>182</v>
      </c>
      <c r="F95" s="0" t="s">
        <v>183</v>
      </c>
    </row>
    <row r="96" customFormat="false" ht="15.75" hidden="false" customHeight="false" outlineLevel="0" collapsed="false">
      <c r="C96" s="7"/>
      <c r="D96" s="7" t="s">
        <v>76</v>
      </c>
      <c r="E96" s="0" t="s">
        <v>149</v>
      </c>
    </row>
    <row r="97" customFormat="false" ht="15.75" hidden="false" customHeight="false" outlineLevel="0" collapsed="false">
      <c r="C97" s="7"/>
      <c r="E97" s="0" t="s">
        <v>154</v>
      </c>
    </row>
    <row r="98" customFormat="false" ht="15.75" hidden="false" customHeight="false" outlineLevel="0" collapsed="false">
      <c r="C98" s="7"/>
      <c r="E98" s="0" t="s">
        <v>186</v>
      </c>
      <c r="F98" s="0" t="s">
        <v>187</v>
      </c>
    </row>
    <row r="99" customFormat="false" ht="15.75" hidden="false" customHeight="false" outlineLevel="0" collapsed="false">
      <c r="C99" s="7"/>
      <c r="D99" s="7" t="s">
        <v>80</v>
      </c>
      <c r="E99" s="0" t="s">
        <v>217</v>
      </c>
      <c r="H99" s="0" t="s">
        <v>151</v>
      </c>
      <c r="J99" s="0" t="s">
        <v>218</v>
      </c>
      <c r="N99" s="0" t="n">
        <v>12</v>
      </c>
    </row>
    <row r="100" customFormat="false" ht="15.75" hidden="false" customHeight="false" outlineLevel="0" collapsed="false">
      <c r="C100" s="7"/>
      <c r="E100" s="0" t="s">
        <v>191</v>
      </c>
      <c r="F100" s="0" t="s">
        <v>192</v>
      </c>
      <c r="G100" s="0" t="s">
        <v>152</v>
      </c>
      <c r="H100" s="0" t="s">
        <v>191</v>
      </c>
      <c r="I100" s="0" t="s">
        <v>192</v>
      </c>
      <c r="J100" s="0" t="s">
        <v>219</v>
      </c>
      <c r="K100" s="0" t="s">
        <v>190</v>
      </c>
    </row>
    <row r="101" customFormat="false" ht="15.75" hidden="false" customHeight="false" outlineLevel="0" collapsed="false">
      <c r="C101" s="7"/>
      <c r="D101" s="7" t="s">
        <v>316</v>
      </c>
      <c r="E101" s="0" t="s">
        <v>149</v>
      </c>
      <c r="N101" s="0" t="n">
        <v>5</v>
      </c>
    </row>
    <row r="102" customFormat="false" ht="15.75" hidden="false" customHeight="false" outlineLevel="0" collapsed="false">
      <c r="C102" s="7"/>
      <c r="E102" s="0" t="s">
        <v>155</v>
      </c>
      <c r="F102" s="0" t="s">
        <v>148</v>
      </c>
    </row>
    <row r="103" customFormat="false" ht="15.75" hidden="false" customHeight="false" outlineLevel="0" collapsed="false">
      <c r="C103" s="7"/>
      <c r="E103" s="0" t="s">
        <v>186</v>
      </c>
      <c r="F103" s="0" t="s">
        <v>187</v>
      </c>
    </row>
    <row r="104" customFormat="false" ht="15.75" hidden="false" customHeight="false" outlineLevel="0" collapsed="false">
      <c r="C104" s="7"/>
      <c r="D104" s="7" t="s">
        <v>83</v>
      </c>
      <c r="E104" s="0" t="s">
        <v>143</v>
      </c>
      <c r="N104" s="0" t="n">
        <v>2</v>
      </c>
    </row>
    <row r="105" customFormat="false" ht="15.75" hidden="false" customHeight="false" outlineLevel="0" collapsed="false">
      <c r="C105" s="7"/>
      <c r="E105" s="0" t="s">
        <v>195</v>
      </c>
      <c r="F105" s="0" t="s">
        <v>203</v>
      </c>
    </row>
    <row r="106" customFormat="false" ht="15.75" hidden="false" customHeight="false" outlineLevel="0" collapsed="false">
      <c r="C106" s="7"/>
      <c r="D106" s="7" t="s">
        <v>92</v>
      </c>
      <c r="E106" s="0" t="s">
        <v>181</v>
      </c>
      <c r="N106" s="0" t="n">
        <v>1</v>
      </c>
    </row>
    <row r="107" customFormat="false" ht="15.75" hidden="false" customHeight="false" outlineLevel="0" collapsed="false">
      <c r="C107" s="7"/>
      <c r="D107" s="39" t="s">
        <v>99</v>
      </c>
      <c r="E107" s="0" t="s">
        <v>137</v>
      </c>
      <c r="N107" s="0" t="n">
        <v>2</v>
      </c>
    </row>
    <row r="108" customFormat="false" ht="15.75" hidden="false" customHeight="false" outlineLevel="0" collapsed="false">
      <c r="C108" s="7"/>
      <c r="D108" s="39" t="s">
        <v>97</v>
      </c>
      <c r="E108" s="0" t="s">
        <v>138</v>
      </c>
      <c r="N108" s="0" t="n">
        <v>1</v>
      </c>
    </row>
  </sheetData>
  <mergeCells count="3">
    <mergeCell ref="C2:D2"/>
    <mergeCell ref="E2:L2"/>
    <mergeCell ref="C56:D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B2:BV55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R36" activeCellId="0" sqref="R36"/>
    </sheetView>
  </sheetViews>
  <sheetFormatPr defaultColWidth="10.921875" defaultRowHeight="15" zeroHeight="false" outlineLevelRow="0" outlineLevelCol="0"/>
  <cols>
    <col collapsed="false" customWidth="true" hidden="false" outlineLevel="0" max="4" min="4" style="0" width="31.15"/>
    <col collapsed="false" customWidth="true" hidden="false" outlineLevel="0" max="11" min="11" style="0" width="12.14"/>
    <col collapsed="false" customWidth="true" hidden="false" outlineLevel="0" max="12" min="12" style="0" width="44.42"/>
    <col collapsed="false" customWidth="true" hidden="false" outlineLevel="0" max="18" min="18" style="0" width="28.42"/>
    <col collapsed="false" customWidth="true" hidden="false" outlineLevel="0" max="27" min="27" style="0" width="48.01"/>
    <col collapsed="false" customWidth="true" hidden="false" outlineLevel="0" max="28" min="28" style="0" width="103.42"/>
    <col collapsed="false" customWidth="true" hidden="false" outlineLevel="0" max="37" min="37" style="0" width="51.86"/>
    <col collapsed="false" customWidth="true" hidden="false" outlineLevel="0" max="48" min="48" style="0" width="19.42"/>
    <col collapsed="false" customWidth="true" hidden="false" outlineLevel="0" max="49" min="49" style="0" width="51.13"/>
    <col collapsed="false" customWidth="true" hidden="false" outlineLevel="0" max="64" min="64" style="0" width="28.86"/>
    <col collapsed="false" customWidth="true" hidden="false" outlineLevel="0" max="73" min="73" style="0" width="12.42"/>
    <col collapsed="false" customWidth="true" hidden="false" outlineLevel="0" max="74" min="74" style="0" width="64.43"/>
  </cols>
  <sheetData>
    <row r="2" customFormat="false" ht="15" hidden="false" customHeight="false" outlineLevel="0" collapsed="false">
      <c r="E2" s="91" t="s">
        <v>318</v>
      </c>
      <c r="F2" s="92" t="s">
        <v>104</v>
      </c>
      <c r="G2" s="93" t="s">
        <v>26</v>
      </c>
      <c r="M2" s="91" t="s">
        <v>318</v>
      </c>
      <c r="N2" s="92" t="s">
        <v>104</v>
      </c>
      <c r="O2" s="93" t="s">
        <v>26</v>
      </c>
      <c r="S2" s="91" t="s">
        <v>318</v>
      </c>
      <c r="T2" s="92" t="s">
        <v>104</v>
      </c>
      <c r="U2" s="93" t="s">
        <v>26</v>
      </c>
      <c r="AA2" s="91" t="s">
        <v>318</v>
      </c>
      <c r="AB2" s="92" t="s">
        <v>104</v>
      </c>
      <c r="AC2" s="93" t="s">
        <v>26</v>
      </c>
      <c r="AK2" s="91" t="s">
        <v>318</v>
      </c>
      <c r="AL2" s="92" t="s">
        <v>104</v>
      </c>
      <c r="AM2" s="93" t="s">
        <v>26</v>
      </c>
      <c r="AW2" s="91" t="s">
        <v>318</v>
      </c>
      <c r="AX2" s="92" t="s">
        <v>104</v>
      </c>
      <c r="AY2" s="93" t="s">
        <v>26</v>
      </c>
    </row>
    <row r="3" customFormat="false" ht="15" hidden="false" customHeight="false" outlineLevel="0" collapsed="false">
      <c r="E3" s="94" t="s">
        <v>319</v>
      </c>
      <c r="F3" s="95" t="s">
        <v>319</v>
      </c>
      <c r="G3" s="96" t="s">
        <v>319</v>
      </c>
      <c r="M3" s="94" t="s">
        <v>319</v>
      </c>
      <c r="N3" s="95" t="s">
        <v>319</v>
      </c>
      <c r="O3" s="96" t="s">
        <v>319</v>
      </c>
      <c r="S3" s="94" t="s">
        <v>319</v>
      </c>
      <c r="T3" s="95" t="s">
        <v>319</v>
      </c>
      <c r="U3" s="96" t="s">
        <v>319</v>
      </c>
      <c r="AA3" s="94" t="s">
        <v>319</v>
      </c>
      <c r="AB3" s="95" t="s">
        <v>319</v>
      </c>
      <c r="AC3" s="96" t="s">
        <v>319</v>
      </c>
      <c r="AK3" s="94" t="s">
        <v>319</v>
      </c>
      <c r="AL3" s="95" t="s">
        <v>319</v>
      </c>
      <c r="AM3" s="96" t="s">
        <v>319</v>
      </c>
      <c r="AW3" s="94" t="s">
        <v>319</v>
      </c>
      <c r="AX3" s="95" t="s">
        <v>319</v>
      </c>
      <c r="AY3" s="96" t="s">
        <v>319</v>
      </c>
      <c r="BK3" s="91" t="s">
        <v>318</v>
      </c>
      <c r="BL3" s="92" t="s">
        <v>104</v>
      </c>
      <c r="BM3" s="93" t="s">
        <v>26</v>
      </c>
    </row>
    <row r="4" customFormat="false" ht="15" hidden="false" customHeight="false" outlineLevel="0" collapsed="false">
      <c r="B4" s="0" t="s">
        <v>320</v>
      </c>
      <c r="E4" s="97" t="s">
        <v>321</v>
      </c>
      <c r="F4" s="97"/>
      <c r="G4" s="97"/>
      <c r="J4" s="0" t="s">
        <v>322</v>
      </c>
      <c r="M4" s="97" t="s">
        <v>321</v>
      </c>
      <c r="N4" s="97"/>
      <c r="O4" s="97"/>
      <c r="R4" s="0" t="s">
        <v>323</v>
      </c>
      <c r="S4" s="97" t="s">
        <v>321</v>
      </c>
      <c r="T4" s="97"/>
      <c r="U4" s="97"/>
      <c r="Y4" s="0" t="s">
        <v>324</v>
      </c>
      <c r="AA4" s="97" t="s">
        <v>321</v>
      </c>
      <c r="AB4" s="97"/>
      <c r="AC4" s="97"/>
      <c r="AI4" s="0" t="s">
        <v>325</v>
      </c>
      <c r="AK4" s="97" t="s">
        <v>321</v>
      </c>
      <c r="AL4" s="97"/>
      <c r="AM4" s="97"/>
      <c r="AU4" s="0" t="s">
        <v>326</v>
      </c>
      <c r="AW4" s="97" t="s">
        <v>321</v>
      </c>
      <c r="AX4" s="97"/>
      <c r="AY4" s="97"/>
      <c r="BK4" s="94" t="s">
        <v>319</v>
      </c>
      <c r="BL4" s="95" t="s">
        <v>319</v>
      </c>
      <c r="BM4" s="96" t="s">
        <v>319</v>
      </c>
    </row>
    <row r="5" customFormat="false" ht="15" hidden="false" customHeight="false" outlineLevel="0" collapsed="false">
      <c r="H5" s="0" t="s">
        <v>259</v>
      </c>
      <c r="AB5" s="98" t="s">
        <v>327</v>
      </c>
      <c r="AC5" s="98"/>
      <c r="AD5" s="98"/>
      <c r="AE5" s="98"/>
      <c r="AF5" s="98"/>
      <c r="AG5" s="98"/>
      <c r="AH5" s="98"/>
      <c r="AX5" s="98" t="s">
        <v>281</v>
      </c>
      <c r="AY5" s="98"/>
      <c r="AZ5" s="98"/>
      <c r="BA5" s="98"/>
      <c r="BB5" s="98"/>
      <c r="BC5" s="98"/>
      <c r="BD5" s="98"/>
      <c r="BE5" s="98"/>
      <c r="BF5" s="98"/>
      <c r="BG5" s="98"/>
      <c r="BK5" s="97" t="s">
        <v>321</v>
      </c>
      <c r="BL5" s="97"/>
      <c r="BM5" s="97"/>
    </row>
    <row r="6" customFormat="false" ht="23.25" hidden="false" customHeight="true" outlineLevel="0" collapsed="false">
      <c r="B6" s="99" t="s">
        <v>328</v>
      </c>
      <c r="C6" s="100" t="s">
        <v>329</v>
      </c>
      <c r="D6" s="101" t="s">
        <v>330</v>
      </c>
      <c r="J6" s="102" t="s">
        <v>133</v>
      </c>
      <c r="K6" s="103" t="s">
        <v>329</v>
      </c>
      <c r="L6" s="101" t="s">
        <v>331</v>
      </c>
      <c r="M6" s="104" t="s">
        <v>67</v>
      </c>
      <c r="R6" s="99" t="s">
        <v>135</v>
      </c>
      <c r="S6" s="105" t="s">
        <v>329</v>
      </c>
      <c r="T6" s="106" t="s">
        <v>332</v>
      </c>
      <c r="Y6" s="41"/>
      <c r="Z6" s="107"/>
      <c r="AA6" s="107"/>
      <c r="AB6" s="108" t="s">
        <v>148</v>
      </c>
      <c r="AC6" s="108" t="s">
        <v>154</v>
      </c>
      <c r="AD6" s="108" t="s">
        <v>186</v>
      </c>
      <c r="AE6" s="108" t="s">
        <v>187</v>
      </c>
      <c r="AF6" s="108" t="s">
        <v>159</v>
      </c>
      <c r="AG6" s="108" t="s">
        <v>160</v>
      </c>
      <c r="AL6" s="98" t="s">
        <v>333</v>
      </c>
      <c r="AM6" s="98"/>
      <c r="AN6" s="98"/>
      <c r="AO6" s="98"/>
      <c r="AP6" s="98"/>
      <c r="AQ6" s="98"/>
      <c r="AR6" s="98"/>
      <c r="AU6" s="98" t="s">
        <v>334</v>
      </c>
      <c r="AV6" s="98"/>
      <c r="AW6" s="98"/>
      <c r="AX6" s="109" t="s">
        <v>219</v>
      </c>
      <c r="AY6" s="109" t="s">
        <v>188</v>
      </c>
      <c r="AZ6" s="109" t="s">
        <v>139</v>
      </c>
      <c r="BA6" s="109" t="s">
        <v>146</v>
      </c>
      <c r="BB6" s="109" t="s">
        <v>189</v>
      </c>
      <c r="BC6" s="109" t="s">
        <v>190</v>
      </c>
      <c r="BD6" s="109" t="s">
        <v>191</v>
      </c>
      <c r="BE6" s="109" t="s">
        <v>192</v>
      </c>
      <c r="BF6" s="109" t="s">
        <v>193</v>
      </c>
      <c r="BG6" s="109" t="s">
        <v>152</v>
      </c>
      <c r="BJ6" s="97" t="s">
        <v>335</v>
      </c>
      <c r="BK6" s="97"/>
      <c r="BL6" s="97"/>
      <c r="BM6" s="110"/>
      <c r="BP6" s="0" t="s">
        <v>99</v>
      </c>
      <c r="BT6" s="0" t="s">
        <v>97</v>
      </c>
    </row>
    <row r="7" customFormat="false" ht="48.75" hidden="false" customHeight="true" outlineLevel="0" collapsed="false">
      <c r="B7" s="99"/>
      <c r="C7" s="100"/>
      <c r="D7" s="101"/>
      <c r="J7" s="102"/>
      <c r="K7" s="103"/>
      <c r="L7" s="101"/>
      <c r="M7" s="111" t="s">
        <v>67</v>
      </c>
      <c r="R7" s="99"/>
      <c r="S7" s="105"/>
      <c r="T7" s="106"/>
      <c r="U7" s="91"/>
      <c r="Y7" s="112"/>
      <c r="Z7" s="113"/>
      <c r="AA7" s="113"/>
      <c r="AB7" s="114" t="s">
        <v>336</v>
      </c>
      <c r="AC7" s="114" t="s">
        <v>337</v>
      </c>
      <c r="AD7" s="114" t="s">
        <v>338</v>
      </c>
      <c r="AE7" s="114" t="s">
        <v>338</v>
      </c>
      <c r="AF7" s="114" t="s">
        <v>339</v>
      </c>
      <c r="AG7" s="114" t="s">
        <v>339</v>
      </c>
      <c r="AI7" s="98" t="s">
        <v>334</v>
      </c>
      <c r="AJ7" s="98"/>
      <c r="AK7" s="98"/>
      <c r="AL7" s="109" t="s">
        <v>144</v>
      </c>
      <c r="AM7" s="109" t="s">
        <v>195</v>
      </c>
      <c r="AN7" s="109" t="s">
        <v>203</v>
      </c>
      <c r="AO7" s="109" t="s">
        <v>340</v>
      </c>
      <c r="AP7" s="109" t="s">
        <v>196</v>
      </c>
      <c r="AQ7" s="109" t="s">
        <v>170</v>
      </c>
      <c r="AR7" s="109" t="s">
        <v>341</v>
      </c>
      <c r="AU7" s="112"/>
      <c r="AV7" s="112"/>
      <c r="AW7" s="112"/>
      <c r="AX7" s="0" t="s">
        <v>342</v>
      </c>
      <c r="AY7" s="0" t="s">
        <v>343</v>
      </c>
      <c r="AZ7" s="0" t="s">
        <v>343</v>
      </c>
      <c r="BA7" s="0" t="s">
        <v>344</v>
      </c>
      <c r="BB7" s="0" t="s">
        <v>345</v>
      </c>
      <c r="BC7" s="0" t="s">
        <v>346</v>
      </c>
      <c r="BD7" s="0" t="s">
        <v>347</v>
      </c>
      <c r="BE7" s="0" t="s">
        <v>348</v>
      </c>
      <c r="BF7" s="0" t="s">
        <v>349</v>
      </c>
      <c r="BG7" s="0" t="s">
        <v>350</v>
      </c>
      <c r="BJ7" s="99" t="s">
        <v>168</v>
      </c>
      <c r="BK7" s="101" t="s">
        <v>351</v>
      </c>
      <c r="BL7" s="101" t="s">
        <v>352</v>
      </c>
      <c r="BM7" s="115" t="s">
        <v>353</v>
      </c>
      <c r="BP7" s="116" t="s">
        <v>137</v>
      </c>
      <c r="BQ7" s="101" t="s">
        <v>99</v>
      </c>
      <c r="BR7" s="101" t="s">
        <v>354</v>
      </c>
      <c r="BT7" s="116" t="s">
        <v>138</v>
      </c>
      <c r="BU7" s="117" t="s">
        <v>355</v>
      </c>
      <c r="BV7" s="118" t="s">
        <v>356</v>
      </c>
    </row>
    <row r="8" customFormat="false" ht="28.5" hidden="false" customHeight="true" outlineLevel="0" collapsed="false">
      <c r="B8" s="99"/>
      <c r="C8" s="100"/>
      <c r="D8" s="101"/>
      <c r="J8" s="102"/>
      <c r="K8" s="103"/>
      <c r="L8" s="101"/>
      <c r="M8" s="119" t="s">
        <v>67</v>
      </c>
      <c r="R8" s="99"/>
      <c r="S8" s="105"/>
      <c r="T8" s="106"/>
      <c r="U8" s="92"/>
      <c r="Z8" s="120"/>
      <c r="AA8" s="120"/>
      <c r="AB8" s="114" t="s">
        <v>357</v>
      </c>
      <c r="AC8" s="114" t="s">
        <v>358</v>
      </c>
      <c r="AD8" s="114" t="s">
        <v>359</v>
      </c>
      <c r="AE8" s="114" t="s">
        <v>360</v>
      </c>
      <c r="AF8" s="114" t="s">
        <v>361</v>
      </c>
      <c r="AG8" s="114" t="s">
        <v>362</v>
      </c>
      <c r="AI8" s="112"/>
      <c r="AJ8" s="112"/>
      <c r="AK8" s="112"/>
      <c r="AL8" s="0" t="s">
        <v>363</v>
      </c>
      <c r="AM8" s="0" t="s">
        <v>364</v>
      </c>
      <c r="AN8" s="0" t="s">
        <v>365</v>
      </c>
      <c r="AO8" s="0" t="s">
        <v>366</v>
      </c>
      <c r="AP8" s="0" t="s">
        <v>367</v>
      </c>
      <c r="AQ8" s="0" t="s">
        <v>368</v>
      </c>
      <c r="AR8" s="0" t="s">
        <v>369</v>
      </c>
      <c r="AX8" s="121" t="s">
        <v>370</v>
      </c>
      <c r="AY8" s="121" t="s">
        <v>371</v>
      </c>
      <c r="AZ8" s="121" t="s">
        <v>372</v>
      </c>
      <c r="BA8" s="121" t="s">
        <v>373</v>
      </c>
      <c r="BB8" s="121" t="s">
        <v>374</v>
      </c>
      <c r="BC8" s="121" t="s">
        <v>375</v>
      </c>
      <c r="BD8" s="121" t="s">
        <v>376</v>
      </c>
      <c r="BE8" s="121" t="s">
        <v>377</v>
      </c>
      <c r="BF8" s="121" t="s">
        <v>378</v>
      </c>
      <c r="BG8" s="121" t="s">
        <v>379</v>
      </c>
      <c r="BJ8" s="99"/>
      <c r="BK8" s="101"/>
      <c r="BL8" s="101"/>
      <c r="BM8" s="115"/>
      <c r="BP8" s="116"/>
      <c r="BQ8" s="101"/>
      <c r="BR8" s="101"/>
      <c r="BT8" s="116"/>
      <c r="BU8" s="117"/>
      <c r="BV8" s="118"/>
    </row>
    <row r="9" customFormat="false" ht="37.5" hidden="false" customHeight="true" outlineLevel="0" collapsed="false">
      <c r="B9" s="99" t="s">
        <v>134</v>
      </c>
      <c r="C9" s="100" t="s">
        <v>380</v>
      </c>
      <c r="D9" s="101" t="s">
        <v>330</v>
      </c>
      <c r="E9" s="122"/>
      <c r="F9" s="51"/>
      <c r="G9" s="51"/>
      <c r="J9" s="102"/>
      <c r="K9" s="103"/>
      <c r="L9" s="101"/>
      <c r="R9" s="99"/>
      <c r="S9" s="105"/>
      <c r="T9" s="106"/>
      <c r="U9" s="93"/>
      <c r="X9" s="123" t="s">
        <v>381</v>
      </c>
      <c r="Y9" s="124" t="s">
        <v>136</v>
      </c>
      <c r="Z9" s="101" t="s">
        <v>382</v>
      </c>
      <c r="AA9" s="101" t="s">
        <v>383</v>
      </c>
      <c r="AB9" s="125" t="s">
        <v>384</v>
      </c>
      <c r="AC9" s="126"/>
      <c r="AD9" s="126"/>
      <c r="AE9" s="126"/>
      <c r="AF9" s="127"/>
      <c r="AG9" s="127"/>
      <c r="AL9" s="121" t="s">
        <v>385</v>
      </c>
      <c r="AM9" s="121" t="s">
        <v>386</v>
      </c>
      <c r="AN9" s="121" t="s">
        <v>387</v>
      </c>
      <c r="AO9" s="121" t="s">
        <v>388</v>
      </c>
      <c r="AP9" s="121" t="s">
        <v>389</v>
      </c>
      <c r="AQ9" s="121" t="s">
        <v>390</v>
      </c>
      <c r="AR9" s="121" t="s">
        <v>391</v>
      </c>
      <c r="AU9" s="99" t="s">
        <v>165</v>
      </c>
      <c r="AV9" s="101" t="s">
        <v>351</v>
      </c>
      <c r="AW9" s="101" t="s">
        <v>352</v>
      </c>
      <c r="AX9" s="128"/>
      <c r="AY9" s="129"/>
      <c r="AZ9" s="130" t="s">
        <v>392</v>
      </c>
      <c r="BA9" s="129"/>
      <c r="BB9" s="129"/>
      <c r="BC9" s="129"/>
      <c r="BD9" s="129"/>
      <c r="BE9" s="129"/>
      <c r="BF9" s="129"/>
      <c r="BG9" s="129"/>
      <c r="BJ9" s="99"/>
      <c r="BK9" s="101"/>
      <c r="BL9" s="101"/>
      <c r="BM9" s="115"/>
      <c r="BP9" s="116"/>
      <c r="BQ9" s="101"/>
      <c r="BR9" s="101"/>
      <c r="BT9" s="116"/>
      <c r="BU9" s="117"/>
      <c r="BV9" s="118"/>
    </row>
    <row r="10" customFormat="false" ht="15" hidden="false" customHeight="true" outlineLevel="0" collapsed="false">
      <c r="B10" s="99"/>
      <c r="C10" s="100"/>
      <c r="D10" s="101"/>
      <c r="E10" s="111"/>
      <c r="F10" s="51"/>
      <c r="G10" s="51"/>
      <c r="J10" s="102"/>
      <c r="K10" s="103"/>
      <c r="L10" s="101"/>
      <c r="R10" s="99"/>
      <c r="S10" s="105"/>
      <c r="T10" s="106"/>
      <c r="X10" s="123"/>
      <c r="Y10" s="124"/>
      <c r="Z10" s="101"/>
      <c r="AA10" s="101"/>
      <c r="AB10" s="125"/>
      <c r="AC10" s="126"/>
      <c r="AD10" s="126"/>
      <c r="AE10" s="126"/>
      <c r="AF10" s="127"/>
      <c r="AG10" s="127"/>
      <c r="AI10" s="99" t="s">
        <v>167</v>
      </c>
      <c r="AJ10" s="101" t="s">
        <v>393</v>
      </c>
      <c r="AK10" s="101" t="s">
        <v>383</v>
      </c>
      <c r="AL10" s="131" t="s">
        <v>394</v>
      </c>
      <c r="AM10" s="129"/>
      <c r="AN10" s="129"/>
      <c r="AO10" s="73"/>
      <c r="AP10" s="132"/>
      <c r="AQ10" s="73"/>
      <c r="AR10" s="73"/>
      <c r="AU10" s="99"/>
      <c r="AV10" s="101"/>
      <c r="AW10" s="101"/>
      <c r="AX10" s="128"/>
      <c r="AY10" s="129"/>
      <c r="AZ10" s="130"/>
      <c r="BA10" s="129"/>
      <c r="BB10" s="129"/>
      <c r="BC10" s="129"/>
      <c r="BD10" s="129"/>
      <c r="BE10" s="129"/>
      <c r="BF10" s="129"/>
      <c r="BG10" s="129"/>
      <c r="BJ10" s="99"/>
      <c r="BK10" s="101"/>
      <c r="BL10" s="101" t="s">
        <v>395</v>
      </c>
      <c r="BM10" s="115"/>
      <c r="BP10" s="116"/>
      <c r="BQ10" s="101"/>
      <c r="BR10" s="101"/>
    </row>
    <row r="11" customFormat="false" ht="49.5" hidden="false" customHeight="true" outlineLevel="0" collapsed="false">
      <c r="B11" s="99"/>
      <c r="C11" s="100"/>
      <c r="D11" s="101"/>
      <c r="E11" s="119"/>
      <c r="F11" s="51"/>
      <c r="G11" s="51"/>
      <c r="J11" s="102" t="s">
        <v>141</v>
      </c>
      <c r="K11" s="133" t="s">
        <v>380</v>
      </c>
      <c r="L11" s="101" t="s">
        <v>331</v>
      </c>
      <c r="M11" s="104" t="s">
        <v>132</v>
      </c>
      <c r="N11" s="76"/>
      <c r="O11" s="76"/>
      <c r="R11" s="99"/>
      <c r="S11" s="105"/>
      <c r="T11" s="106"/>
      <c r="X11" s="123"/>
      <c r="Y11" s="124"/>
      <c r="Z11" s="101"/>
      <c r="AA11" s="101"/>
      <c r="AB11" s="125"/>
      <c r="AC11" s="126"/>
      <c r="AD11" s="126"/>
      <c r="AE11" s="126"/>
      <c r="AF11" s="127"/>
      <c r="AG11" s="127"/>
      <c r="AI11" s="99"/>
      <c r="AJ11" s="101"/>
      <c r="AK11" s="101"/>
      <c r="AL11" s="131"/>
      <c r="AM11" s="129"/>
      <c r="AN11" s="129"/>
      <c r="AO11" s="73"/>
      <c r="AP11" s="132"/>
      <c r="AQ11" s="73"/>
      <c r="AR11" s="73"/>
      <c r="AU11" s="99"/>
      <c r="AV11" s="101"/>
      <c r="AW11" s="101"/>
      <c r="AX11" s="128"/>
      <c r="AY11" s="129"/>
      <c r="AZ11" s="130"/>
      <c r="BA11" s="129"/>
      <c r="BB11" s="129"/>
      <c r="BC11" s="129"/>
      <c r="BD11" s="129"/>
      <c r="BE11" s="129"/>
      <c r="BF11" s="129"/>
      <c r="BG11" s="129"/>
      <c r="BJ11" s="99"/>
      <c r="BK11" s="101"/>
      <c r="BL11" s="101"/>
      <c r="BM11" s="115"/>
      <c r="BP11" s="116"/>
      <c r="BQ11" s="101"/>
      <c r="BR11" s="101"/>
    </row>
    <row r="12" customFormat="false" ht="33.75" hidden="false" customHeight="true" outlineLevel="0" collapsed="false">
      <c r="B12" s="99"/>
      <c r="C12" s="100"/>
      <c r="D12" s="101" t="s">
        <v>396</v>
      </c>
      <c r="J12" s="102"/>
      <c r="K12" s="133"/>
      <c r="L12" s="101" t="s">
        <v>397</v>
      </c>
      <c r="M12" s="111" t="s">
        <v>132</v>
      </c>
      <c r="R12" s="99"/>
      <c r="S12" s="105"/>
      <c r="T12" s="106"/>
      <c r="X12" s="123"/>
      <c r="Y12" s="124"/>
      <c r="Z12" s="101"/>
      <c r="AA12" s="101" t="s">
        <v>398</v>
      </c>
      <c r="AB12" s="125"/>
      <c r="AC12" s="126"/>
      <c r="AD12" s="126"/>
      <c r="AE12" s="126"/>
      <c r="AF12" s="127"/>
      <c r="AG12" s="127"/>
      <c r="AI12" s="99"/>
      <c r="AJ12" s="101"/>
      <c r="AK12" s="101"/>
      <c r="AL12" s="131"/>
      <c r="AM12" s="129"/>
      <c r="AN12" s="129"/>
      <c r="AO12" s="73"/>
      <c r="AP12" s="132"/>
      <c r="AQ12" s="73"/>
      <c r="AR12" s="73"/>
      <c r="AU12" s="99"/>
      <c r="AV12" s="101"/>
      <c r="AW12" s="101" t="s">
        <v>398</v>
      </c>
      <c r="AX12" s="128"/>
      <c r="AY12" s="129"/>
      <c r="AZ12" s="130"/>
      <c r="BA12" s="129"/>
      <c r="BB12" s="129"/>
      <c r="BC12" s="129"/>
      <c r="BD12" s="129"/>
      <c r="BE12" s="129"/>
      <c r="BF12" s="129"/>
      <c r="BG12" s="129"/>
      <c r="BJ12" s="99"/>
      <c r="BK12" s="101"/>
      <c r="BL12" s="101"/>
      <c r="BM12" s="115"/>
      <c r="BP12" s="116"/>
      <c r="BQ12" s="101"/>
      <c r="BR12" s="101"/>
    </row>
    <row r="13" customFormat="false" ht="39" hidden="false" customHeight="true" outlineLevel="0" collapsed="false">
      <c r="B13" s="99" t="s">
        <v>178</v>
      </c>
      <c r="C13" s="100" t="s">
        <v>380</v>
      </c>
      <c r="D13" s="101" t="s">
        <v>330</v>
      </c>
      <c r="E13" s="129"/>
      <c r="F13" s="134"/>
      <c r="G13" s="135"/>
      <c r="J13" s="102"/>
      <c r="K13" s="133"/>
      <c r="L13" s="101"/>
      <c r="M13" s="119" t="s">
        <v>132</v>
      </c>
      <c r="R13" s="99" t="s">
        <v>182</v>
      </c>
      <c r="S13" s="105" t="s">
        <v>380</v>
      </c>
      <c r="T13" s="136" t="s">
        <v>399</v>
      </c>
      <c r="U13" s="137"/>
      <c r="X13" s="123"/>
      <c r="Y13" s="124"/>
      <c r="Z13" s="101"/>
      <c r="AA13" s="101"/>
      <c r="AB13" s="125"/>
      <c r="AC13" s="126"/>
      <c r="AD13" s="126"/>
      <c r="AE13" s="126"/>
      <c r="AF13" s="127"/>
      <c r="AG13" s="127"/>
      <c r="AI13" s="99"/>
      <c r="AJ13" s="101"/>
      <c r="AK13" s="101" t="s">
        <v>398</v>
      </c>
      <c r="AL13" s="131"/>
      <c r="AM13" s="129"/>
      <c r="AN13" s="129"/>
      <c r="AO13" s="73"/>
      <c r="AP13" s="132"/>
      <c r="AQ13" s="73"/>
      <c r="AR13" s="73"/>
      <c r="AU13" s="99"/>
      <c r="AV13" s="101"/>
      <c r="AW13" s="101"/>
      <c r="AX13" s="128"/>
      <c r="AY13" s="129"/>
      <c r="AZ13" s="130"/>
      <c r="BA13" s="129"/>
      <c r="BB13" s="129"/>
      <c r="BC13" s="129"/>
      <c r="BD13" s="129"/>
      <c r="BE13" s="129"/>
      <c r="BF13" s="129"/>
      <c r="BG13" s="129"/>
      <c r="BJ13" s="99" t="s">
        <v>171</v>
      </c>
      <c r="BK13" s="101" t="s">
        <v>400</v>
      </c>
      <c r="BL13" s="101" t="s">
        <v>401</v>
      </c>
      <c r="BM13" s="115" t="s">
        <v>402</v>
      </c>
      <c r="BP13" s="116"/>
      <c r="BQ13" s="101"/>
      <c r="BR13" s="101"/>
    </row>
    <row r="14" customFormat="false" ht="34.5" hidden="false" customHeight="true" outlineLevel="0" collapsed="false">
      <c r="B14" s="99"/>
      <c r="C14" s="100"/>
      <c r="D14" s="101" t="s">
        <v>403</v>
      </c>
      <c r="E14" s="129"/>
      <c r="F14" s="134"/>
      <c r="G14" s="135"/>
      <c r="J14" s="102" t="s">
        <v>179</v>
      </c>
      <c r="K14" s="133" t="s">
        <v>380</v>
      </c>
      <c r="L14" s="138" t="s">
        <v>404</v>
      </c>
      <c r="M14" s="137"/>
      <c r="R14" s="99"/>
      <c r="S14" s="105"/>
      <c r="T14" s="136"/>
      <c r="U14" s="139"/>
      <c r="X14" s="123"/>
      <c r="Y14" s="124"/>
      <c r="Z14" s="101"/>
      <c r="AA14" s="101"/>
      <c r="AB14" s="125"/>
      <c r="AC14" s="126"/>
      <c r="AD14" s="126"/>
      <c r="AE14" s="126"/>
      <c r="AF14" s="127"/>
      <c r="AG14" s="127"/>
      <c r="AI14" s="99"/>
      <c r="AJ14" s="101"/>
      <c r="AK14" s="101"/>
      <c r="AL14" s="131"/>
      <c r="AM14" s="129"/>
      <c r="AN14" s="129"/>
      <c r="AO14" s="73"/>
      <c r="AP14" s="132"/>
      <c r="AQ14" s="73"/>
      <c r="AR14" s="73"/>
      <c r="AU14" s="99"/>
      <c r="AV14" s="101"/>
      <c r="AW14" s="101"/>
      <c r="AX14" s="128"/>
      <c r="AY14" s="129"/>
      <c r="AZ14" s="130"/>
      <c r="BA14" s="129"/>
      <c r="BB14" s="129"/>
      <c r="BC14" s="129"/>
      <c r="BD14" s="129"/>
      <c r="BE14" s="129"/>
      <c r="BF14" s="129"/>
      <c r="BG14" s="129"/>
      <c r="BJ14" s="99"/>
      <c r="BK14" s="101"/>
      <c r="BL14" s="101"/>
      <c r="BM14" s="115"/>
    </row>
    <row r="15" customFormat="false" ht="15" hidden="false" customHeight="true" outlineLevel="0" collapsed="false">
      <c r="J15" s="102"/>
      <c r="K15" s="133"/>
      <c r="L15" s="138"/>
      <c r="M15" s="137"/>
      <c r="R15" s="99"/>
      <c r="S15" s="105"/>
      <c r="T15" s="136"/>
      <c r="U15" s="47"/>
      <c r="X15" s="123"/>
      <c r="Y15" s="124" t="s">
        <v>142</v>
      </c>
      <c r="Z15" s="101" t="s">
        <v>405</v>
      </c>
      <c r="AA15" s="101" t="s">
        <v>406</v>
      </c>
      <c r="AB15" s="140" t="s">
        <v>384</v>
      </c>
      <c r="AC15" s="141"/>
      <c r="AD15" s="141"/>
      <c r="AE15" s="141"/>
      <c r="AF15" s="142"/>
      <c r="AG15" s="142"/>
      <c r="AI15" s="99"/>
      <c r="AJ15" s="101"/>
      <c r="AK15" s="101"/>
      <c r="AL15" s="131"/>
      <c r="AM15" s="129"/>
      <c r="AN15" s="129"/>
      <c r="AO15" s="73"/>
      <c r="AP15" s="132"/>
      <c r="AQ15" s="73"/>
      <c r="AR15" s="73"/>
      <c r="AU15" s="99" t="s">
        <v>166</v>
      </c>
      <c r="AV15" s="101" t="s">
        <v>407</v>
      </c>
      <c r="AW15" s="133" t="s">
        <v>408</v>
      </c>
      <c r="AX15" s="128"/>
      <c r="AY15" s="129"/>
      <c r="AZ15" s="143" t="s">
        <v>409</v>
      </c>
      <c r="BA15" s="129"/>
      <c r="BB15" s="129"/>
      <c r="BC15" s="129"/>
      <c r="BD15" s="129"/>
      <c r="BE15" s="129"/>
      <c r="BF15" s="129"/>
      <c r="BG15" s="129"/>
      <c r="BJ15" s="99"/>
      <c r="BK15" s="101"/>
      <c r="BL15" s="101" t="s">
        <v>395</v>
      </c>
      <c r="BM15" s="115"/>
    </row>
    <row r="16" customFormat="false" ht="30.75" hidden="false" customHeight="true" outlineLevel="0" collapsed="false">
      <c r="J16" s="102"/>
      <c r="K16" s="133"/>
      <c r="L16" s="138"/>
      <c r="M16" s="137"/>
      <c r="R16" s="99"/>
      <c r="S16" s="105"/>
      <c r="T16" s="136"/>
      <c r="X16" s="123"/>
      <c r="Y16" s="124"/>
      <c r="Z16" s="101"/>
      <c r="AA16" s="101"/>
      <c r="AB16" s="140"/>
      <c r="AC16" s="141"/>
      <c r="AD16" s="141"/>
      <c r="AE16" s="141"/>
      <c r="AF16" s="142"/>
      <c r="AG16" s="142"/>
      <c r="AI16" s="99" t="s">
        <v>200</v>
      </c>
      <c r="AJ16" s="101" t="s">
        <v>410</v>
      </c>
      <c r="AK16" s="101" t="s">
        <v>411</v>
      </c>
      <c r="AL16" s="144"/>
      <c r="AM16" s="129"/>
      <c r="AN16" s="129"/>
      <c r="AO16" s="73"/>
      <c r="AP16" s="73"/>
      <c r="AQ16" s="73"/>
      <c r="AR16" s="73"/>
      <c r="AU16" s="99"/>
      <c r="AV16" s="101"/>
      <c r="AW16" s="133"/>
      <c r="AX16" s="128"/>
      <c r="AY16" s="129"/>
      <c r="AZ16" s="143"/>
      <c r="BA16" s="129"/>
      <c r="BB16" s="129"/>
      <c r="BC16" s="129"/>
      <c r="BD16" s="129"/>
      <c r="BE16" s="129"/>
      <c r="BF16" s="129"/>
      <c r="BG16" s="129"/>
      <c r="BJ16" s="99"/>
      <c r="BK16" s="101"/>
      <c r="BL16" s="101"/>
      <c r="BM16" s="115"/>
    </row>
    <row r="17" customFormat="false" ht="15" hidden="false" customHeight="true" outlineLevel="0" collapsed="false">
      <c r="J17" s="102"/>
      <c r="K17" s="133"/>
      <c r="L17" s="138"/>
      <c r="M17" s="139"/>
      <c r="R17" s="99"/>
      <c r="S17" s="105"/>
      <c r="T17" s="136"/>
      <c r="X17" s="123"/>
      <c r="Y17" s="124"/>
      <c r="Z17" s="101"/>
      <c r="AA17" s="101" t="s">
        <v>412</v>
      </c>
      <c r="AB17" s="140"/>
      <c r="AC17" s="141"/>
      <c r="AD17" s="141"/>
      <c r="AE17" s="141"/>
      <c r="AF17" s="142"/>
      <c r="AG17" s="142"/>
      <c r="AI17" s="99"/>
      <c r="AJ17" s="101"/>
      <c r="AK17" s="101"/>
      <c r="AL17" s="144"/>
      <c r="AM17" s="129"/>
      <c r="AN17" s="129"/>
      <c r="AO17" s="73"/>
      <c r="AP17" s="73"/>
      <c r="AQ17" s="73"/>
      <c r="AR17" s="73"/>
      <c r="AU17" s="99"/>
      <c r="AV17" s="101"/>
      <c r="AW17" s="101" t="s">
        <v>398</v>
      </c>
      <c r="AX17" s="128"/>
      <c r="AY17" s="129"/>
      <c r="AZ17" s="143"/>
      <c r="BA17" s="129"/>
      <c r="BB17" s="129"/>
      <c r="BC17" s="129"/>
      <c r="BD17" s="129"/>
      <c r="BE17" s="129"/>
      <c r="BF17" s="129"/>
      <c r="BG17" s="129"/>
      <c r="BJ17" s="99"/>
      <c r="BK17" s="101"/>
      <c r="BL17" s="101"/>
      <c r="BM17" s="115"/>
    </row>
    <row r="18" customFormat="false" ht="15" hidden="false" customHeight="true" outlineLevel="0" collapsed="false">
      <c r="J18" s="102"/>
      <c r="K18" s="133"/>
      <c r="L18" s="138"/>
      <c r="M18" s="139"/>
      <c r="R18" s="99"/>
      <c r="S18" s="105"/>
      <c r="T18" s="136"/>
      <c r="X18" s="123"/>
      <c r="Y18" s="124"/>
      <c r="Z18" s="101"/>
      <c r="AA18" s="101"/>
      <c r="AB18" s="140"/>
      <c r="AC18" s="141"/>
      <c r="AD18" s="141"/>
      <c r="AE18" s="141"/>
      <c r="AF18" s="142"/>
      <c r="AG18" s="142"/>
      <c r="AI18" s="99"/>
      <c r="AJ18" s="101"/>
      <c r="AK18" s="101" t="s">
        <v>398</v>
      </c>
      <c r="AL18" s="144"/>
      <c r="AM18" s="129"/>
      <c r="AN18" s="129"/>
      <c r="AO18" s="73"/>
      <c r="AP18" s="73"/>
      <c r="AQ18" s="73"/>
      <c r="AR18" s="73"/>
      <c r="AU18" s="99"/>
      <c r="AV18" s="101"/>
      <c r="AW18" s="101"/>
      <c r="AX18" s="128"/>
      <c r="AY18" s="129"/>
      <c r="AZ18" s="143"/>
      <c r="BA18" s="129"/>
      <c r="BB18" s="129"/>
      <c r="BC18" s="129"/>
      <c r="BD18" s="129"/>
      <c r="BE18" s="129"/>
      <c r="BF18" s="129"/>
      <c r="BG18" s="129"/>
      <c r="BJ18" s="99" t="s">
        <v>180</v>
      </c>
      <c r="BK18" s="101" t="s">
        <v>413</v>
      </c>
      <c r="BL18" s="101" t="s">
        <v>414</v>
      </c>
      <c r="BM18" s="129"/>
    </row>
    <row r="19" customFormat="false" ht="15" hidden="false" customHeight="true" outlineLevel="0" collapsed="false">
      <c r="J19" s="102"/>
      <c r="K19" s="133"/>
      <c r="L19" s="101" t="s">
        <v>415</v>
      </c>
      <c r="M19" s="47"/>
      <c r="R19" s="99"/>
      <c r="S19" s="105"/>
      <c r="T19" s="136"/>
      <c r="X19" s="123"/>
      <c r="Y19" s="124"/>
      <c r="Z19" s="101"/>
      <c r="AA19" s="101"/>
      <c r="AB19" s="140"/>
      <c r="AC19" s="141"/>
      <c r="AD19" s="141"/>
      <c r="AE19" s="141"/>
      <c r="AF19" s="142"/>
      <c r="AG19" s="142"/>
      <c r="AI19" s="99"/>
      <c r="AJ19" s="101"/>
      <c r="AK19" s="101"/>
      <c r="AL19" s="144"/>
      <c r="AM19" s="129"/>
      <c r="AN19" s="129"/>
      <c r="AO19" s="73"/>
      <c r="AP19" s="73"/>
      <c r="AQ19" s="73"/>
      <c r="AR19" s="73"/>
      <c r="AU19" s="99"/>
      <c r="AV19" s="101"/>
      <c r="AW19" s="101"/>
      <c r="AX19" s="128"/>
      <c r="AY19" s="129"/>
      <c r="AZ19" s="143"/>
      <c r="BA19" s="129"/>
      <c r="BB19" s="129"/>
      <c r="BC19" s="129"/>
      <c r="BD19" s="129"/>
      <c r="BE19" s="129"/>
      <c r="BF19" s="129"/>
      <c r="BG19" s="129"/>
      <c r="BJ19" s="99"/>
      <c r="BK19" s="101"/>
      <c r="BL19" s="101"/>
      <c r="BM19" s="129"/>
    </row>
    <row r="20" customFormat="false" ht="15" hidden="false" customHeight="true" outlineLevel="0" collapsed="false">
      <c r="J20" s="102"/>
      <c r="K20" s="133"/>
      <c r="L20" s="101"/>
      <c r="M20" s="47"/>
      <c r="R20" s="99"/>
      <c r="S20" s="105"/>
      <c r="T20" s="136"/>
      <c r="X20" s="123"/>
      <c r="Y20" s="124" t="s">
        <v>149</v>
      </c>
      <c r="Z20" s="101" t="s">
        <v>416</v>
      </c>
      <c r="AA20" s="101" t="s">
        <v>417</v>
      </c>
      <c r="AB20" s="145"/>
      <c r="AC20" s="146"/>
      <c r="AD20" s="147"/>
      <c r="AE20" s="147"/>
      <c r="AF20" s="146"/>
      <c r="AG20" s="146"/>
      <c r="AI20" s="99"/>
      <c r="AJ20" s="101"/>
      <c r="AK20" s="101"/>
      <c r="AL20" s="144"/>
      <c r="AM20" s="129"/>
      <c r="AN20" s="129"/>
      <c r="AO20" s="73"/>
      <c r="AP20" s="73"/>
      <c r="AQ20" s="73"/>
      <c r="AR20" s="73"/>
      <c r="AU20" s="99" t="s">
        <v>145</v>
      </c>
      <c r="AV20" s="101" t="s">
        <v>418</v>
      </c>
      <c r="AW20" s="148" t="s">
        <v>419</v>
      </c>
      <c r="AX20" s="128"/>
      <c r="AY20" s="134"/>
      <c r="AZ20" s="134"/>
      <c r="BA20" s="149"/>
      <c r="BB20" s="73"/>
      <c r="BC20" s="73"/>
      <c r="BD20" s="134"/>
      <c r="BE20" s="73"/>
      <c r="BF20" s="73"/>
      <c r="BG20" s="134"/>
      <c r="BJ20" s="99"/>
      <c r="BK20" s="101"/>
      <c r="BL20" s="101" t="s">
        <v>395</v>
      </c>
      <c r="BM20" s="129"/>
    </row>
    <row r="21" customFormat="false" ht="15" hidden="false" customHeight="true" outlineLevel="0" collapsed="false">
      <c r="R21" s="99"/>
      <c r="S21" s="105"/>
      <c r="T21" s="136"/>
      <c r="X21" s="123"/>
      <c r="Y21" s="124"/>
      <c r="Z21" s="101"/>
      <c r="AA21" s="101"/>
      <c r="AB21" s="145"/>
      <c r="AC21" s="146"/>
      <c r="AD21" s="147"/>
      <c r="AE21" s="147"/>
      <c r="AF21" s="146"/>
      <c r="AG21" s="146"/>
      <c r="AI21" s="99" t="s">
        <v>150</v>
      </c>
      <c r="AJ21" s="101" t="s">
        <v>420</v>
      </c>
      <c r="AK21" s="101" t="s">
        <v>421</v>
      </c>
      <c r="AL21" s="150"/>
      <c r="AM21" s="135"/>
      <c r="AN21" s="135"/>
      <c r="AO21" s="73"/>
      <c r="AP21" s="73"/>
      <c r="AQ21" s="73"/>
      <c r="AR21" s="73"/>
      <c r="AU21" s="99"/>
      <c r="AV21" s="101"/>
      <c r="AW21" s="101" t="s">
        <v>412</v>
      </c>
      <c r="AX21" s="128"/>
      <c r="AY21" s="134"/>
      <c r="AZ21" s="134"/>
      <c r="BA21" s="149"/>
      <c r="BB21" s="73"/>
      <c r="BC21" s="73"/>
      <c r="BD21" s="134"/>
      <c r="BE21" s="73"/>
      <c r="BF21" s="73"/>
      <c r="BG21" s="134"/>
      <c r="BJ21" s="99"/>
      <c r="BK21" s="101"/>
      <c r="BL21" s="101"/>
      <c r="BM21" s="129"/>
    </row>
    <row r="22" customFormat="false" ht="15" hidden="false" customHeight="true" outlineLevel="0" collapsed="false">
      <c r="R22" s="99" t="s">
        <v>183</v>
      </c>
      <c r="S22" s="105" t="s">
        <v>380</v>
      </c>
      <c r="T22" s="136" t="s">
        <v>422</v>
      </c>
      <c r="U22" s="137"/>
      <c r="X22" s="123"/>
      <c r="Y22" s="124"/>
      <c r="Z22" s="101"/>
      <c r="AA22" s="101"/>
      <c r="AB22" s="145"/>
      <c r="AC22" s="146"/>
      <c r="AD22" s="147"/>
      <c r="AE22" s="147"/>
      <c r="AF22" s="146"/>
      <c r="AG22" s="146"/>
      <c r="AI22" s="99"/>
      <c r="AJ22" s="101"/>
      <c r="AK22" s="101"/>
      <c r="AL22" s="150"/>
      <c r="AM22" s="135"/>
      <c r="AN22" s="135"/>
      <c r="AO22" s="73"/>
      <c r="AP22" s="73"/>
      <c r="AQ22" s="73"/>
      <c r="AR22" s="73"/>
      <c r="AU22" s="99"/>
      <c r="AV22" s="101"/>
      <c r="AW22" s="101"/>
      <c r="AX22" s="128"/>
      <c r="AY22" s="134"/>
      <c r="AZ22" s="134"/>
      <c r="BA22" s="149"/>
      <c r="BB22" s="73"/>
      <c r="BC22" s="73"/>
      <c r="BD22" s="134"/>
      <c r="BE22" s="73"/>
      <c r="BF22" s="73"/>
      <c r="BG22" s="134"/>
      <c r="BJ22" s="99"/>
      <c r="BK22" s="101"/>
      <c r="BL22" s="101"/>
      <c r="BM22" s="129"/>
    </row>
    <row r="23" customFormat="false" ht="15" hidden="false" customHeight="true" outlineLevel="0" collapsed="false">
      <c r="R23" s="99"/>
      <c r="S23" s="105"/>
      <c r="T23" s="136"/>
      <c r="U23" s="139"/>
      <c r="X23" s="123"/>
      <c r="Y23" s="124"/>
      <c r="Z23" s="101"/>
      <c r="AA23" s="101"/>
      <c r="AB23" s="145"/>
      <c r="AC23" s="146"/>
      <c r="AD23" s="147"/>
      <c r="AE23" s="147"/>
      <c r="AF23" s="146"/>
      <c r="AG23" s="146"/>
      <c r="AI23" s="99"/>
      <c r="AJ23" s="101"/>
      <c r="AK23" s="101"/>
      <c r="AL23" s="150"/>
      <c r="AM23" s="135"/>
      <c r="AN23" s="135"/>
      <c r="AO23" s="73"/>
      <c r="AP23" s="73"/>
      <c r="AQ23" s="73"/>
      <c r="AR23" s="73"/>
      <c r="AU23" s="99"/>
      <c r="AV23" s="101"/>
      <c r="AW23" s="101"/>
      <c r="AX23" s="128"/>
      <c r="AY23" s="134"/>
      <c r="AZ23" s="134"/>
      <c r="BA23" s="149"/>
      <c r="BB23" s="73"/>
      <c r="BC23" s="73"/>
      <c r="BD23" s="134"/>
      <c r="BE23" s="73"/>
      <c r="BF23" s="73"/>
      <c r="BG23" s="134"/>
      <c r="BJ23" s="99" t="s">
        <v>147</v>
      </c>
      <c r="BK23" s="101" t="s">
        <v>423</v>
      </c>
      <c r="BL23" s="101" t="s">
        <v>424</v>
      </c>
      <c r="BM23" s="151"/>
    </row>
    <row r="24" customFormat="false" ht="15" hidden="false" customHeight="false" outlineLevel="0" collapsed="false">
      <c r="R24" s="99"/>
      <c r="S24" s="105"/>
      <c r="T24" s="136"/>
      <c r="U24" s="47"/>
      <c r="X24" s="123"/>
      <c r="Y24" s="124"/>
      <c r="Z24" s="101"/>
      <c r="AA24" s="101"/>
      <c r="AB24" s="145"/>
      <c r="AC24" s="146"/>
      <c r="AD24" s="147"/>
      <c r="AE24" s="147"/>
      <c r="AF24" s="146"/>
      <c r="AG24" s="146"/>
      <c r="AI24" s="99"/>
      <c r="AJ24" s="101"/>
      <c r="AK24" s="101"/>
      <c r="AL24" s="150"/>
      <c r="AM24" s="135"/>
      <c r="AN24" s="135"/>
      <c r="AO24" s="73"/>
      <c r="AP24" s="73"/>
      <c r="AQ24" s="73"/>
      <c r="AR24" s="73"/>
      <c r="AU24" s="99"/>
      <c r="AV24" s="101"/>
      <c r="AW24" s="101"/>
      <c r="AX24" s="128"/>
      <c r="AY24" s="134"/>
      <c r="AZ24" s="134"/>
      <c r="BA24" s="149"/>
      <c r="BB24" s="73"/>
      <c r="BC24" s="73"/>
      <c r="BD24" s="134"/>
      <c r="BE24" s="73"/>
      <c r="BF24" s="73"/>
      <c r="BG24" s="134"/>
      <c r="BJ24" s="99"/>
      <c r="BK24" s="101"/>
      <c r="BL24" s="101"/>
      <c r="BM24" s="151"/>
    </row>
    <row r="25" customFormat="false" ht="15" hidden="false" customHeight="true" outlineLevel="0" collapsed="false">
      <c r="R25" s="99"/>
      <c r="S25" s="105"/>
      <c r="T25" s="136"/>
      <c r="X25" s="123"/>
      <c r="Y25" s="124"/>
      <c r="Z25" s="101"/>
      <c r="AA25" s="114" t="s">
        <v>412</v>
      </c>
      <c r="AB25" s="145"/>
      <c r="AC25" s="146"/>
      <c r="AD25" s="147"/>
      <c r="AE25" s="147"/>
      <c r="AF25" s="146"/>
      <c r="AG25" s="146"/>
      <c r="AI25" s="99"/>
      <c r="AJ25" s="101"/>
      <c r="AK25" s="101"/>
      <c r="AL25" s="150"/>
      <c r="AM25" s="135"/>
      <c r="AN25" s="135"/>
      <c r="AO25" s="73"/>
      <c r="AP25" s="73"/>
      <c r="AQ25" s="73"/>
      <c r="AR25" s="73"/>
      <c r="AU25" s="99" t="s">
        <v>217</v>
      </c>
      <c r="AV25" s="101" t="s">
        <v>425</v>
      </c>
      <c r="AW25" s="101" t="s">
        <v>426</v>
      </c>
      <c r="AX25" s="128"/>
      <c r="AY25" s="73"/>
      <c r="AZ25" s="73"/>
      <c r="BA25" s="73"/>
      <c r="BB25" s="73"/>
      <c r="BC25" s="73"/>
      <c r="BD25" s="135"/>
      <c r="BE25" s="135"/>
      <c r="BF25" s="73"/>
      <c r="BG25" s="135"/>
      <c r="BJ25" s="99"/>
      <c r="BK25" s="101"/>
      <c r="BL25" s="101"/>
      <c r="BM25" s="151"/>
    </row>
    <row r="26" customFormat="false" ht="15" hidden="false" customHeight="true" outlineLevel="0" collapsed="false">
      <c r="R26" s="99"/>
      <c r="S26" s="105"/>
      <c r="T26" s="136"/>
      <c r="X26" s="123"/>
      <c r="Y26" s="124"/>
      <c r="Z26" s="101"/>
      <c r="AA26" s="114"/>
      <c r="AB26" s="145"/>
      <c r="AC26" s="146"/>
      <c r="AD26" s="147"/>
      <c r="AE26" s="147"/>
      <c r="AF26" s="146"/>
      <c r="AG26" s="146"/>
      <c r="AI26" s="124" t="s">
        <v>143</v>
      </c>
      <c r="AJ26" s="152" t="s">
        <v>427</v>
      </c>
      <c r="AK26" s="101" t="s">
        <v>428</v>
      </c>
      <c r="AL26" s="151"/>
      <c r="AM26" s="139"/>
      <c r="AN26" s="139"/>
      <c r="AO26" s="73"/>
      <c r="AP26" s="73"/>
      <c r="AQ26" s="73"/>
      <c r="AR26" s="73"/>
      <c r="AU26" s="99"/>
      <c r="AV26" s="101"/>
      <c r="AW26" s="101"/>
      <c r="AX26" s="128"/>
      <c r="AY26" s="73"/>
      <c r="AZ26" s="73"/>
      <c r="BA26" s="73"/>
      <c r="BB26" s="73"/>
      <c r="BC26" s="73"/>
      <c r="BD26" s="135"/>
      <c r="BE26" s="135"/>
      <c r="BF26" s="73"/>
      <c r="BG26" s="135"/>
      <c r="BJ26" s="99"/>
      <c r="BK26" s="101"/>
      <c r="BL26" s="101" t="s">
        <v>429</v>
      </c>
      <c r="BM26" s="153"/>
    </row>
    <row r="27" customFormat="false" ht="15" hidden="false" customHeight="true" outlineLevel="0" collapsed="false">
      <c r="R27" s="99"/>
      <c r="S27" s="105"/>
      <c r="T27" s="136"/>
      <c r="X27" s="123"/>
      <c r="Y27" s="124"/>
      <c r="Z27" s="101"/>
      <c r="AA27" s="114"/>
      <c r="AB27" s="145"/>
      <c r="AC27" s="146"/>
      <c r="AD27" s="147"/>
      <c r="AE27" s="147"/>
      <c r="AF27" s="146"/>
      <c r="AG27" s="146"/>
      <c r="AI27" s="124"/>
      <c r="AJ27" s="152"/>
      <c r="AK27" s="101"/>
      <c r="AL27" s="151"/>
      <c r="AM27" s="139"/>
      <c r="AN27" s="139"/>
      <c r="AO27" s="73"/>
      <c r="AP27" s="73"/>
      <c r="AQ27" s="73"/>
      <c r="AR27" s="73"/>
      <c r="AU27" s="99"/>
      <c r="AV27" s="101"/>
      <c r="AW27" s="101"/>
      <c r="AX27" s="128"/>
      <c r="AY27" s="73"/>
      <c r="AZ27" s="73"/>
      <c r="BA27" s="73"/>
      <c r="BB27" s="73"/>
      <c r="BC27" s="73"/>
      <c r="BD27" s="135"/>
      <c r="BE27" s="135"/>
      <c r="BF27" s="73"/>
      <c r="BG27" s="135"/>
      <c r="BJ27" s="99"/>
      <c r="BK27" s="101"/>
      <c r="BL27" s="101"/>
      <c r="BM27" s="153"/>
    </row>
    <row r="28" customFormat="false" ht="15" hidden="false" customHeight="true" outlineLevel="0" collapsed="false">
      <c r="R28" s="99"/>
      <c r="S28" s="105"/>
      <c r="T28" s="136"/>
      <c r="AI28" s="124"/>
      <c r="AJ28" s="152"/>
      <c r="AK28" s="101"/>
      <c r="AL28" s="151"/>
      <c r="AM28" s="139"/>
      <c r="AN28" s="139"/>
      <c r="AO28" s="73"/>
      <c r="AP28" s="73"/>
      <c r="AQ28" s="73"/>
      <c r="AR28" s="73"/>
      <c r="AU28" s="99" t="s">
        <v>151</v>
      </c>
      <c r="AV28" s="101" t="s">
        <v>430</v>
      </c>
      <c r="AW28" s="101" t="s">
        <v>431</v>
      </c>
      <c r="AX28" s="73"/>
      <c r="AY28" s="73"/>
      <c r="AZ28" s="73"/>
      <c r="BA28" s="73"/>
      <c r="BB28" s="73"/>
      <c r="BC28" s="73"/>
      <c r="BD28" s="135"/>
      <c r="BE28" s="135"/>
      <c r="BF28" s="73"/>
      <c r="BG28" s="154"/>
      <c r="BJ28" s="99" t="s">
        <v>181</v>
      </c>
      <c r="BK28" s="101" t="s">
        <v>423</v>
      </c>
      <c r="BL28" s="101" t="s">
        <v>432</v>
      </c>
      <c r="BM28" s="134"/>
    </row>
    <row r="29" customFormat="false" ht="15" hidden="false" customHeight="true" outlineLevel="0" collapsed="false">
      <c r="R29" s="99"/>
      <c r="S29" s="105"/>
      <c r="T29" s="136"/>
      <c r="AI29" s="124"/>
      <c r="AJ29" s="152"/>
      <c r="AK29" s="155" t="s">
        <v>412</v>
      </c>
      <c r="AL29" s="93"/>
      <c r="AM29" s="47"/>
      <c r="AN29" s="47"/>
      <c r="AO29" s="73"/>
      <c r="AP29" s="73"/>
      <c r="AQ29" s="73"/>
      <c r="AR29" s="73"/>
      <c r="AU29" s="99"/>
      <c r="AV29" s="101"/>
      <c r="AW29" s="101"/>
      <c r="AX29" s="73"/>
      <c r="AY29" s="73"/>
      <c r="AZ29" s="73"/>
      <c r="BA29" s="73"/>
      <c r="BB29" s="73"/>
      <c r="BC29" s="73"/>
      <c r="BD29" s="135"/>
      <c r="BE29" s="135"/>
      <c r="BF29" s="73"/>
      <c r="BG29" s="154"/>
      <c r="BJ29" s="99"/>
      <c r="BK29" s="101"/>
      <c r="BL29" s="101"/>
      <c r="BM29" s="134"/>
    </row>
    <row r="30" customFormat="false" ht="15" hidden="false" customHeight="true" outlineLevel="0" collapsed="false">
      <c r="R30" s="99"/>
      <c r="S30" s="105"/>
      <c r="T30" s="136"/>
      <c r="AA30" s="91" t="s">
        <v>318</v>
      </c>
      <c r="AB30" s="92" t="s">
        <v>104</v>
      </c>
      <c r="AC30" s="93" t="s">
        <v>26</v>
      </c>
      <c r="AI30" s="124"/>
      <c r="AJ30" s="152"/>
      <c r="AK30" s="155"/>
      <c r="AL30" s="93"/>
      <c r="AM30" s="47"/>
      <c r="AN30" s="47"/>
      <c r="AO30" s="73"/>
      <c r="AP30" s="73"/>
      <c r="AQ30" s="73"/>
      <c r="AR30" s="73"/>
      <c r="AU30" s="99"/>
      <c r="AV30" s="101"/>
      <c r="AW30" s="101"/>
      <c r="AX30" s="73"/>
      <c r="AY30" s="73"/>
      <c r="AZ30" s="73"/>
      <c r="BA30" s="73"/>
      <c r="BB30" s="73"/>
      <c r="BC30" s="73"/>
      <c r="BD30" s="135"/>
      <c r="BE30" s="135"/>
      <c r="BF30" s="73"/>
      <c r="BG30" s="154"/>
      <c r="BJ30" s="99"/>
      <c r="BK30" s="101"/>
      <c r="BL30" s="101"/>
      <c r="BM30" s="134"/>
    </row>
    <row r="31" customFormat="false" ht="15" hidden="false" customHeight="true" outlineLevel="0" collapsed="false">
      <c r="R31" s="99"/>
      <c r="S31" s="105"/>
      <c r="T31" s="136"/>
      <c r="Y31" s="0" t="s">
        <v>433</v>
      </c>
      <c r="AA31" s="94" t="s">
        <v>319</v>
      </c>
      <c r="AB31" s="95" t="s">
        <v>319</v>
      </c>
      <c r="AC31" s="96" t="s">
        <v>319</v>
      </c>
      <c r="AI31" s="124"/>
      <c r="AJ31" s="152"/>
      <c r="AK31" s="155"/>
      <c r="AL31" s="93"/>
      <c r="AM31" s="47"/>
      <c r="AN31" s="47"/>
      <c r="AO31" s="73"/>
      <c r="AP31" s="73"/>
      <c r="AQ31" s="73"/>
      <c r="AR31" s="73"/>
      <c r="AU31" s="99" t="s">
        <v>218</v>
      </c>
      <c r="AV31" s="156" t="s">
        <v>434</v>
      </c>
      <c r="AW31" s="157" t="s">
        <v>435</v>
      </c>
      <c r="AX31" s="150"/>
      <c r="AY31" s="73"/>
      <c r="AZ31" s="73"/>
      <c r="BA31" s="73"/>
      <c r="BB31" s="73"/>
      <c r="BC31" s="135"/>
      <c r="BD31" s="73"/>
      <c r="BE31" s="73"/>
      <c r="BF31" s="73"/>
      <c r="BG31" s="73"/>
      <c r="BJ31" s="99"/>
      <c r="BK31" s="101"/>
      <c r="BL31" s="101" t="s">
        <v>429</v>
      </c>
      <c r="BM31" s="135"/>
    </row>
    <row r="32" customFormat="false" ht="15" hidden="false" customHeight="true" outlineLevel="0" collapsed="false">
      <c r="AA32" s="97" t="s">
        <v>321</v>
      </c>
      <c r="AB32" s="97"/>
      <c r="AC32" s="97"/>
      <c r="AI32" s="124" t="s">
        <v>169</v>
      </c>
      <c r="AJ32" s="158" t="s">
        <v>436</v>
      </c>
      <c r="AK32" s="101" t="s">
        <v>437</v>
      </c>
      <c r="AL32" s="132"/>
      <c r="AM32" s="132"/>
      <c r="AN32" s="132"/>
      <c r="AO32" s="73"/>
      <c r="AP32" s="129"/>
      <c r="AQ32" s="143" t="s">
        <v>438</v>
      </c>
      <c r="AR32" s="73"/>
      <c r="AU32" s="99"/>
      <c r="AV32" s="156"/>
      <c r="AW32" s="157"/>
      <c r="AX32" s="150"/>
      <c r="AY32" s="73"/>
      <c r="AZ32" s="73"/>
      <c r="BA32" s="73"/>
      <c r="BB32" s="73"/>
      <c r="BC32" s="135"/>
      <c r="BD32" s="73"/>
      <c r="BE32" s="73"/>
      <c r="BF32" s="73"/>
      <c r="BG32" s="73"/>
      <c r="BJ32" s="99"/>
      <c r="BK32" s="101"/>
      <c r="BL32" s="101"/>
      <c r="BM32" s="135"/>
    </row>
    <row r="33" customFormat="false" ht="15" hidden="false" customHeight="false" outlineLevel="0" collapsed="false">
      <c r="AB33" s="98" t="s">
        <v>327</v>
      </c>
      <c r="AC33" s="98"/>
      <c r="AD33" s="98"/>
      <c r="AE33" s="98"/>
      <c r="AF33" s="98"/>
      <c r="AG33" s="98"/>
      <c r="AH33" s="98"/>
      <c r="AI33" s="124"/>
      <c r="AJ33" s="158"/>
      <c r="AK33" s="101"/>
      <c r="AL33" s="132"/>
      <c r="AM33" s="132"/>
      <c r="AN33" s="132"/>
      <c r="AO33" s="73"/>
      <c r="AP33" s="129"/>
      <c r="AQ33" s="143"/>
      <c r="AR33" s="73"/>
      <c r="AU33" s="99"/>
      <c r="AV33" s="156"/>
      <c r="AW33" s="157"/>
      <c r="AX33" s="150"/>
      <c r="AY33" s="73"/>
      <c r="AZ33" s="73"/>
      <c r="BA33" s="73"/>
      <c r="BB33" s="73"/>
      <c r="BC33" s="135"/>
      <c r="BD33" s="73"/>
      <c r="BE33" s="73"/>
      <c r="BF33" s="73"/>
      <c r="BG33" s="73"/>
    </row>
    <row r="34" customFormat="false" ht="23.25" hidden="false" customHeight="true" outlineLevel="0" collapsed="false">
      <c r="Y34" s="41"/>
      <c r="Z34" s="107"/>
      <c r="AA34" s="107"/>
      <c r="AB34" s="108" t="s">
        <v>155</v>
      </c>
      <c r="AC34" s="108" t="s">
        <v>154</v>
      </c>
      <c r="AD34" s="108" t="s">
        <v>186</v>
      </c>
      <c r="AE34" s="108" t="s">
        <v>187</v>
      </c>
      <c r="AF34" s="108" t="s">
        <v>159</v>
      </c>
      <c r="AG34" s="108" t="s">
        <v>160</v>
      </c>
      <c r="AI34" s="124"/>
      <c r="AJ34" s="158"/>
      <c r="AK34" s="101"/>
      <c r="AL34" s="132"/>
      <c r="AM34" s="132"/>
      <c r="AN34" s="132"/>
      <c r="AO34" s="73"/>
      <c r="AP34" s="129"/>
      <c r="AQ34" s="143"/>
      <c r="AR34" s="73"/>
      <c r="AU34" s="99"/>
      <c r="AV34" s="156"/>
      <c r="AW34" s="157" t="s">
        <v>398</v>
      </c>
      <c r="AX34" s="150"/>
      <c r="AY34" s="73"/>
      <c r="AZ34" s="73"/>
      <c r="BA34" s="73"/>
      <c r="BB34" s="73"/>
      <c r="BC34" s="135"/>
      <c r="BD34" s="73"/>
      <c r="BE34" s="73"/>
      <c r="BF34" s="73"/>
      <c r="BG34" s="73"/>
    </row>
    <row r="35" customFormat="false" ht="120" hidden="false" customHeight="true" outlineLevel="0" collapsed="false">
      <c r="Y35" s="112"/>
      <c r="Z35" s="113"/>
      <c r="AA35" s="113"/>
      <c r="AB35" s="114" t="s">
        <v>439</v>
      </c>
      <c r="AC35" s="114" t="s">
        <v>337</v>
      </c>
      <c r="AD35" s="114" t="s">
        <v>338</v>
      </c>
      <c r="AE35" s="114" t="s">
        <v>338</v>
      </c>
      <c r="AF35" s="114" t="s">
        <v>339</v>
      </c>
      <c r="AG35" s="114" t="s">
        <v>339</v>
      </c>
      <c r="AI35" s="124"/>
      <c r="AJ35" s="158"/>
      <c r="AK35" s="159" t="s">
        <v>412</v>
      </c>
      <c r="AL35" s="132"/>
      <c r="AM35" s="132"/>
      <c r="AN35" s="132"/>
      <c r="AO35" s="73"/>
      <c r="AP35" s="129"/>
      <c r="AQ35" s="143"/>
      <c r="AR35" s="73"/>
      <c r="AU35" s="99"/>
      <c r="AV35" s="156"/>
      <c r="AW35" s="157"/>
      <c r="AX35" s="150"/>
      <c r="AY35" s="73"/>
      <c r="AZ35" s="73"/>
      <c r="BA35" s="73"/>
      <c r="BB35" s="73"/>
      <c r="BC35" s="135"/>
      <c r="BD35" s="73"/>
      <c r="BE35" s="73"/>
      <c r="BF35" s="73"/>
      <c r="BG35" s="73"/>
    </row>
    <row r="36" customFormat="false" ht="150" hidden="false" customHeight="false" outlineLevel="0" collapsed="false">
      <c r="Z36" s="120"/>
      <c r="AA36" s="120"/>
      <c r="AB36" s="114" t="s">
        <v>440</v>
      </c>
      <c r="AC36" s="114" t="s">
        <v>358</v>
      </c>
      <c r="AD36" s="114" t="s">
        <v>359</v>
      </c>
      <c r="AE36" s="114" t="s">
        <v>360</v>
      </c>
      <c r="AF36" s="114" t="s">
        <v>361</v>
      </c>
      <c r="AG36" s="114" t="s">
        <v>362</v>
      </c>
      <c r="AI36" s="124"/>
      <c r="AJ36" s="158"/>
      <c r="AK36" s="159"/>
      <c r="AL36" s="132"/>
      <c r="AM36" s="132"/>
      <c r="AN36" s="132"/>
      <c r="AO36" s="73"/>
      <c r="AP36" s="129"/>
      <c r="AQ36" s="143"/>
      <c r="AR36" s="73"/>
      <c r="AU36" s="99"/>
      <c r="AV36" s="156"/>
      <c r="AW36" s="157"/>
      <c r="AX36" s="150"/>
      <c r="AY36" s="73"/>
      <c r="AZ36" s="73"/>
      <c r="BA36" s="73"/>
      <c r="BB36" s="73"/>
      <c r="BC36" s="135"/>
      <c r="BD36" s="73"/>
      <c r="BE36" s="73"/>
      <c r="BF36" s="73"/>
      <c r="BG36" s="73"/>
    </row>
    <row r="37" customFormat="false" ht="15" hidden="false" customHeight="true" outlineLevel="0" collapsed="false">
      <c r="X37" s="123" t="s">
        <v>381</v>
      </c>
      <c r="Y37" s="124" t="s">
        <v>136</v>
      </c>
      <c r="Z37" s="101" t="s">
        <v>382</v>
      </c>
      <c r="AA37" s="101" t="s">
        <v>383</v>
      </c>
      <c r="AB37" s="160" t="s">
        <v>441</v>
      </c>
      <c r="AC37" s="126"/>
      <c r="AD37" s="126"/>
      <c r="AE37" s="126"/>
      <c r="AF37" s="127"/>
      <c r="AG37" s="127"/>
      <c r="AI37" s="124"/>
      <c r="AJ37" s="158"/>
      <c r="AK37" s="159"/>
      <c r="AL37" s="132"/>
      <c r="AM37" s="132"/>
      <c r="AN37" s="132"/>
      <c r="AO37" s="73"/>
      <c r="AP37" s="129"/>
      <c r="AQ37" s="143"/>
      <c r="AR37" s="73"/>
    </row>
    <row r="38" customFormat="false" ht="15" hidden="false" customHeight="false" outlineLevel="0" collapsed="false">
      <c r="X38" s="123"/>
      <c r="Y38" s="124"/>
      <c r="Z38" s="101"/>
      <c r="AA38" s="101"/>
      <c r="AB38" s="160"/>
      <c r="AC38" s="126"/>
      <c r="AD38" s="126"/>
      <c r="AE38" s="126"/>
      <c r="AF38" s="127"/>
      <c r="AG38" s="127"/>
    </row>
    <row r="39" customFormat="false" ht="15" hidden="false" customHeight="false" outlineLevel="0" collapsed="false">
      <c r="X39" s="123"/>
      <c r="Y39" s="124"/>
      <c r="Z39" s="101"/>
      <c r="AA39" s="101"/>
      <c r="AB39" s="160"/>
      <c r="AC39" s="126"/>
      <c r="AD39" s="126"/>
      <c r="AE39" s="126"/>
      <c r="AF39" s="127"/>
      <c r="AG39" s="127"/>
    </row>
    <row r="40" customFormat="false" ht="15" hidden="false" customHeight="true" outlineLevel="0" collapsed="false">
      <c r="X40" s="123"/>
      <c r="Y40" s="124"/>
      <c r="Z40" s="101"/>
      <c r="AA40" s="101" t="s">
        <v>398</v>
      </c>
      <c r="AB40" s="160"/>
      <c r="AC40" s="126"/>
      <c r="AD40" s="126"/>
      <c r="AE40" s="126"/>
      <c r="AF40" s="127"/>
      <c r="AG40" s="127"/>
    </row>
    <row r="41" customFormat="false" ht="15" hidden="false" customHeight="false" outlineLevel="0" collapsed="false">
      <c r="X41" s="123"/>
      <c r="Y41" s="124"/>
      <c r="Z41" s="101"/>
      <c r="AA41" s="101"/>
      <c r="AB41" s="160"/>
      <c r="AC41" s="126"/>
      <c r="AD41" s="126"/>
      <c r="AE41" s="126"/>
      <c r="AF41" s="127"/>
      <c r="AG41" s="127"/>
    </row>
    <row r="42" customFormat="false" ht="15" hidden="false" customHeight="false" outlineLevel="0" collapsed="false">
      <c r="X42" s="123"/>
      <c r="Y42" s="124"/>
      <c r="Z42" s="101"/>
      <c r="AA42" s="101"/>
      <c r="AB42" s="160"/>
      <c r="AC42" s="126"/>
      <c r="AD42" s="126"/>
      <c r="AE42" s="126"/>
      <c r="AF42" s="127"/>
      <c r="AG42" s="127"/>
    </row>
    <row r="43" customFormat="false" ht="15" hidden="false" customHeight="true" outlineLevel="0" collapsed="false">
      <c r="X43" s="123"/>
      <c r="Y43" s="124" t="s">
        <v>142</v>
      </c>
      <c r="Z43" s="101" t="s">
        <v>405</v>
      </c>
      <c r="AA43" s="101" t="s">
        <v>406</v>
      </c>
      <c r="AB43" s="161" t="s">
        <v>441</v>
      </c>
      <c r="AC43" s="141"/>
      <c r="AD43" s="141"/>
      <c r="AE43" s="141"/>
      <c r="AF43" s="142"/>
      <c r="AG43" s="142"/>
    </row>
    <row r="44" customFormat="false" ht="36" hidden="false" customHeight="true" outlineLevel="0" collapsed="false">
      <c r="X44" s="123"/>
      <c r="Y44" s="124"/>
      <c r="Z44" s="101"/>
      <c r="AA44" s="101"/>
      <c r="AB44" s="161"/>
      <c r="AC44" s="141"/>
      <c r="AD44" s="141"/>
      <c r="AE44" s="141"/>
      <c r="AF44" s="142"/>
      <c r="AG44" s="142"/>
    </row>
    <row r="45" customFormat="false" ht="24.75" hidden="false" customHeight="true" outlineLevel="0" collapsed="false">
      <c r="X45" s="123"/>
      <c r="Y45" s="124"/>
      <c r="Z45" s="101"/>
      <c r="AA45" s="101" t="s">
        <v>412</v>
      </c>
      <c r="AB45" s="161"/>
      <c r="AC45" s="141"/>
      <c r="AD45" s="141"/>
      <c r="AE45" s="141"/>
      <c r="AF45" s="142"/>
      <c r="AG45" s="142"/>
    </row>
    <row r="46" customFormat="false" ht="23.25" hidden="false" customHeight="true" outlineLevel="0" collapsed="false">
      <c r="X46" s="123"/>
      <c r="Y46" s="124"/>
      <c r="Z46" s="101"/>
      <c r="AA46" s="101"/>
      <c r="AB46" s="161"/>
      <c r="AC46" s="141"/>
      <c r="AD46" s="141"/>
      <c r="AE46" s="141"/>
      <c r="AF46" s="142"/>
      <c r="AG46" s="142"/>
    </row>
    <row r="47" customFormat="false" ht="15" hidden="false" customHeight="false" outlineLevel="0" collapsed="false">
      <c r="X47" s="123"/>
      <c r="Y47" s="124"/>
      <c r="Z47" s="101"/>
      <c r="AA47" s="101"/>
      <c r="AB47" s="161"/>
      <c r="AC47" s="141"/>
      <c r="AD47" s="141"/>
      <c r="AE47" s="141"/>
      <c r="AF47" s="142"/>
      <c r="AG47" s="142"/>
    </row>
    <row r="48" customFormat="false" ht="15" hidden="false" customHeight="true" outlineLevel="0" collapsed="false">
      <c r="X48" s="123"/>
      <c r="Y48" s="124" t="s">
        <v>149</v>
      </c>
      <c r="Z48" s="101" t="s">
        <v>416</v>
      </c>
      <c r="AA48" s="101" t="s">
        <v>417</v>
      </c>
      <c r="AB48" s="145"/>
      <c r="AC48" s="146"/>
      <c r="AD48" s="147"/>
      <c r="AE48" s="147"/>
      <c r="AF48" s="146"/>
      <c r="AG48" s="146"/>
    </row>
    <row r="49" customFormat="false" ht="15" hidden="false" customHeight="false" outlineLevel="0" collapsed="false">
      <c r="X49" s="123"/>
      <c r="Y49" s="124"/>
      <c r="Z49" s="101"/>
      <c r="AA49" s="101"/>
      <c r="AB49" s="145"/>
      <c r="AC49" s="146"/>
      <c r="AD49" s="147"/>
      <c r="AE49" s="147"/>
      <c r="AF49" s="146"/>
      <c r="AG49" s="146"/>
    </row>
    <row r="50" customFormat="false" ht="15" hidden="false" customHeight="false" outlineLevel="0" collapsed="false">
      <c r="X50" s="123"/>
      <c r="Y50" s="124"/>
      <c r="Z50" s="101"/>
      <c r="AA50" s="101"/>
      <c r="AB50" s="145"/>
      <c r="AC50" s="146"/>
      <c r="AD50" s="147"/>
      <c r="AE50" s="147"/>
      <c r="AF50" s="146"/>
      <c r="AG50" s="146"/>
    </row>
    <row r="51" customFormat="false" ht="15" hidden="false" customHeight="false" outlineLevel="0" collapsed="false">
      <c r="X51" s="123"/>
      <c r="Y51" s="124"/>
      <c r="Z51" s="101"/>
      <c r="AA51" s="101"/>
      <c r="AB51" s="145"/>
      <c r="AC51" s="146"/>
      <c r="AD51" s="147"/>
      <c r="AE51" s="147"/>
      <c r="AF51" s="146"/>
      <c r="AG51" s="146"/>
    </row>
    <row r="52" customFormat="false" ht="15" hidden="false" customHeight="false" outlineLevel="0" collapsed="false">
      <c r="X52" s="123"/>
      <c r="Y52" s="124"/>
      <c r="Z52" s="101"/>
      <c r="AA52" s="101"/>
      <c r="AB52" s="145"/>
      <c r="AC52" s="146"/>
      <c r="AD52" s="147"/>
      <c r="AE52" s="147"/>
      <c r="AF52" s="146"/>
      <c r="AG52" s="146"/>
    </row>
    <row r="53" customFormat="false" ht="15" hidden="false" customHeight="true" outlineLevel="0" collapsed="false">
      <c r="X53" s="123"/>
      <c r="Y53" s="124"/>
      <c r="Z53" s="101"/>
      <c r="AA53" s="114" t="s">
        <v>412</v>
      </c>
      <c r="AB53" s="145"/>
      <c r="AC53" s="146"/>
      <c r="AD53" s="147"/>
      <c r="AE53" s="147"/>
      <c r="AF53" s="146"/>
      <c r="AG53" s="146"/>
    </row>
    <row r="54" customFormat="false" ht="15" hidden="false" customHeight="false" outlineLevel="0" collapsed="false">
      <c r="X54" s="123"/>
      <c r="Y54" s="124"/>
      <c r="Z54" s="101"/>
      <c r="AA54" s="114"/>
      <c r="AB54" s="145"/>
      <c r="AC54" s="146"/>
      <c r="AD54" s="147"/>
      <c r="AE54" s="147"/>
      <c r="AF54" s="146"/>
      <c r="AG54" s="146"/>
    </row>
    <row r="55" customFormat="false" ht="15" hidden="false" customHeight="false" outlineLevel="0" collapsed="false">
      <c r="X55" s="123"/>
      <c r="Y55" s="124"/>
      <c r="Z55" s="101"/>
      <c r="AA55" s="114"/>
      <c r="AB55" s="145"/>
      <c r="AC55" s="146"/>
      <c r="AD55" s="147"/>
      <c r="AE55" s="147"/>
      <c r="AF55" s="146"/>
      <c r="AG55" s="146"/>
    </row>
  </sheetData>
  <mergeCells count="265">
    <mergeCell ref="E4:G4"/>
    <mergeCell ref="M4:O4"/>
    <mergeCell ref="S4:U4"/>
    <mergeCell ref="AA4:AC4"/>
    <mergeCell ref="AK4:AM4"/>
    <mergeCell ref="AW4:AY4"/>
    <mergeCell ref="AB5:AH5"/>
    <mergeCell ref="AX5:BG5"/>
    <mergeCell ref="BK5:BM5"/>
    <mergeCell ref="B6:B8"/>
    <mergeCell ref="C6:C8"/>
    <mergeCell ref="D6:D8"/>
    <mergeCell ref="J6:J10"/>
    <mergeCell ref="K6:K10"/>
    <mergeCell ref="L6:L10"/>
    <mergeCell ref="R6:R12"/>
    <mergeCell ref="S6:S12"/>
    <mergeCell ref="T6:T12"/>
    <mergeCell ref="AL6:AR6"/>
    <mergeCell ref="AU6:AW6"/>
    <mergeCell ref="BJ6:BL6"/>
    <mergeCell ref="AI7:AK7"/>
    <mergeCell ref="BJ7:BJ12"/>
    <mergeCell ref="BK7:BK12"/>
    <mergeCell ref="BL7:BL9"/>
    <mergeCell ref="BM7:BM12"/>
    <mergeCell ref="BP7:BP13"/>
    <mergeCell ref="BQ7:BQ13"/>
    <mergeCell ref="BR7:BR13"/>
    <mergeCell ref="BT7:BT9"/>
    <mergeCell ref="BU7:BU9"/>
    <mergeCell ref="BV7:BV9"/>
    <mergeCell ref="B9:B12"/>
    <mergeCell ref="C9:C12"/>
    <mergeCell ref="D9:D11"/>
    <mergeCell ref="X9:X27"/>
    <mergeCell ref="Y9:Y14"/>
    <mergeCell ref="Z9:Z14"/>
    <mergeCell ref="AA9:AA11"/>
    <mergeCell ref="AB9:AB14"/>
    <mergeCell ref="AF9:AF14"/>
    <mergeCell ref="AG9:AG14"/>
    <mergeCell ref="AU9:AU14"/>
    <mergeCell ref="AV9:AV14"/>
    <mergeCell ref="AW9:AW11"/>
    <mergeCell ref="AX9:AX14"/>
    <mergeCell ref="AY9:AY14"/>
    <mergeCell ref="AZ9:AZ14"/>
    <mergeCell ref="BA9:BA14"/>
    <mergeCell ref="BB9:BB14"/>
    <mergeCell ref="BC9:BC14"/>
    <mergeCell ref="BD9:BD14"/>
    <mergeCell ref="BE9:BE14"/>
    <mergeCell ref="BF9:BF14"/>
    <mergeCell ref="BG9:BG14"/>
    <mergeCell ref="AI10:AI15"/>
    <mergeCell ref="AJ10:AJ15"/>
    <mergeCell ref="AK10:AK12"/>
    <mergeCell ref="AL10:AL15"/>
    <mergeCell ref="AM10:AM15"/>
    <mergeCell ref="AN10:AN15"/>
    <mergeCell ref="AO10:AO15"/>
    <mergeCell ref="AP10:AP15"/>
    <mergeCell ref="AQ10:AQ15"/>
    <mergeCell ref="AR10:AR15"/>
    <mergeCell ref="BL10:BL12"/>
    <mergeCell ref="J11:J13"/>
    <mergeCell ref="K11:K13"/>
    <mergeCell ref="L12:L13"/>
    <mergeCell ref="AA12:AA14"/>
    <mergeCell ref="AW12:AW14"/>
    <mergeCell ref="B13:B14"/>
    <mergeCell ref="C13:C14"/>
    <mergeCell ref="E13:E14"/>
    <mergeCell ref="F13:F14"/>
    <mergeCell ref="G13:G14"/>
    <mergeCell ref="R13:R21"/>
    <mergeCell ref="S13:S21"/>
    <mergeCell ref="T13:T21"/>
    <mergeCell ref="AK13:AK15"/>
    <mergeCell ref="BJ13:BJ17"/>
    <mergeCell ref="BK13:BK17"/>
    <mergeCell ref="BL13:BL14"/>
    <mergeCell ref="BM13:BM17"/>
    <mergeCell ref="J14:J20"/>
    <mergeCell ref="K14:K20"/>
    <mergeCell ref="L14:L18"/>
    <mergeCell ref="Y15:Y19"/>
    <mergeCell ref="Z15:Z19"/>
    <mergeCell ref="AA15:AA16"/>
    <mergeCell ref="AB15:AB19"/>
    <mergeCell ref="AF15:AF19"/>
    <mergeCell ref="AG15:AG19"/>
    <mergeCell ref="AU15:AU19"/>
    <mergeCell ref="AV15:AV19"/>
    <mergeCell ref="AW15:AW16"/>
    <mergeCell ref="AX15:AX19"/>
    <mergeCell ref="AY15:AY19"/>
    <mergeCell ref="AZ15:AZ19"/>
    <mergeCell ref="BA15:BA19"/>
    <mergeCell ref="BB15:BB19"/>
    <mergeCell ref="BC15:BC19"/>
    <mergeCell ref="BD15:BD19"/>
    <mergeCell ref="BE15:BE19"/>
    <mergeCell ref="BF15:BF19"/>
    <mergeCell ref="BG15:BG19"/>
    <mergeCell ref="BL15:BL17"/>
    <mergeCell ref="AI16:AI20"/>
    <mergeCell ref="AJ16:AJ20"/>
    <mergeCell ref="AK16:AK17"/>
    <mergeCell ref="AL16:AL20"/>
    <mergeCell ref="AM16:AM20"/>
    <mergeCell ref="AN16:AN20"/>
    <mergeCell ref="AO16:AO20"/>
    <mergeCell ref="AP16:AP20"/>
    <mergeCell ref="AQ16:AQ20"/>
    <mergeCell ref="AR16:AR20"/>
    <mergeCell ref="AA17:AA19"/>
    <mergeCell ref="AW17:AW19"/>
    <mergeCell ref="AK18:AK20"/>
    <mergeCell ref="BJ18:BJ22"/>
    <mergeCell ref="BK18:BK22"/>
    <mergeCell ref="BL18:BL19"/>
    <mergeCell ref="BM18:BM22"/>
    <mergeCell ref="L19:L20"/>
    <mergeCell ref="Y20:Y27"/>
    <mergeCell ref="Z20:Z27"/>
    <mergeCell ref="AA20:AA24"/>
    <mergeCell ref="AC20:AC27"/>
    <mergeCell ref="AF20:AF27"/>
    <mergeCell ref="AG20:AG27"/>
    <mergeCell ref="AU20:AU24"/>
    <mergeCell ref="AV20:AV24"/>
    <mergeCell ref="AX20:AX24"/>
    <mergeCell ref="AY20:AY24"/>
    <mergeCell ref="AZ20:AZ24"/>
    <mergeCell ref="BA20:BA24"/>
    <mergeCell ref="BB20:BB24"/>
    <mergeCell ref="BC20:BC24"/>
    <mergeCell ref="BD20:BD24"/>
    <mergeCell ref="BE20:BE24"/>
    <mergeCell ref="BF20:BF24"/>
    <mergeCell ref="BG20:BG24"/>
    <mergeCell ref="BL20:BL22"/>
    <mergeCell ref="AI21:AI25"/>
    <mergeCell ref="AJ21:AJ25"/>
    <mergeCell ref="AK21:AK25"/>
    <mergeCell ref="AL21:AL25"/>
    <mergeCell ref="AM21:AM25"/>
    <mergeCell ref="AN21:AN25"/>
    <mergeCell ref="AO21:AO25"/>
    <mergeCell ref="AP21:AP25"/>
    <mergeCell ref="AQ21:AQ25"/>
    <mergeCell ref="AR21:AR25"/>
    <mergeCell ref="AW21:AW24"/>
    <mergeCell ref="R22:R31"/>
    <mergeCell ref="S22:S31"/>
    <mergeCell ref="T22:T31"/>
    <mergeCell ref="BJ23:BJ27"/>
    <mergeCell ref="BK23:BK27"/>
    <mergeCell ref="BL23:BL25"/>
    <mergeCell ref="BM23:BM25"/>
    <mergeCell ref="AA25:AA27"/>
    <mergeCell ref="AU25:AU27"/>
    <mergeCell ref="AV25:AV27"/>
    <mergeCell ref="AW25:AW27"/>
    <mergeCell ref="AX25:AX27"/>
    <mergeCell ref="AY25:AY27"/>
    <mergeCell ref="AZ25:AZ27"/>
    <mergeCell ref="BA25:BA27"/>
    <mergeCell ref="BB25:BB27"/>
    <mergeCell ref="BC25:BC27"/>
    <mergeCell ref="BD25:BD27"/>
    <mergeCell ref="BE25:BE27"/>
    <mergeCell ref="BF25:BF27"/>
    <mergeCell ref="BG25:BG27"/>
    <mergeCell ref="AI26:AI31"/>
    <mergeCell ref="AJ26:AJ31"/>
    <mergeCell ref="AK26:AK28"/>
    <mergeCell ref="AL26:AL28"/>
    <mergeCell ref="AO26:AO31"/>
    <mergeCell ref="AP26:AP31"/>
    <mergeCell ref="AQ26:AQ31"/>
    <mergeCell ref="AR26:AR31"/>
    <mergeCell ref="BL26:BL27"/>
    <mergeCell ref="BM26:BM27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BC28:BC30"/>
    <mergeCell ref="BD28:BD30"/>
    <mergeCell ref="BE28:BE30"/>
    <mergeCell ref="BF28:BF30"/>
    <mergeCell ref="BG28:BG30"/>
    <mergeCell ref="BJ28:BJ32"/>
    <mergeCell ref="BK28:BK32"/>
    <mergeCell ref="BL28:BL30"/>
    <mergeCell ref="BM28:BM30"/>
    <mergeCell ref="AK29:AK31"/>
    <mergeCell ref="AU31:AU36"/>
    <mergeCell ref="AV31:AV36"/>
    <mergeCell ref="AW31:AW33"/>
    <mergeCell ref="AX31:AX33"/>
    <mergeCell ref="AY31:AY33"/>
    <mergeCell ref="AZ31:AZ33"/>
    <mergeCell ref="BA31:BA33"/>
    <mergeCell ref="BB31:BB33"/>
    <mergeCell ref="BC31:BC33"/>
    <mergeCell ref="BD31:BD33"/>
    <mergeCell ref="BE31:BE33"/>
    <mergeCell ref="BF31:BF33"/>
    <mergeCell ref="BG31:BG33"/>
    <mergeCell ref="BL31:BL32"/>
    <mergeCell ref="BM31:BM32"/>
    <mergeCell ref="AA32:AC32"/>
    <mergeCell ref="AI32:AI37"/>
    <mergeCell ref="AJ32:AJ37"/>
    <mergeCell ref="AK32:AK34"/>
    <mergeCell ref="AL32:AL37"/>
    <mergeCell ref="AM32:AM37"/>
    <mergeCell ref="AN32:AN37"/>
    <mergeCell ref="AO32:AO37"/>
    <mergeCell ref="AP32:AP37"/>
    <mergeCell ref="AQ32:AQ37"/>
    <mergeCell ref="AR32:AR37"/>
    <mergeCell ref="AB33:AH33"/>
    <mergeCell ref="AW34:AW36"/>
    <mergeCell ref="AX34:AX36"/>
    <mergeCell ref="AY34:AY36"/>
    <mergeCell ref="AZ34:AZ36"/>
    <mergeCell ref="BA34:BA36"/>
    <mergeCell ref="BB34:BB36"/>
    <mergeCell ref="BC34:BC36"/>
    <mergeCell ref="BD34:BD36"/>
    <mergeCell ref="BE34:BE36"/>
    <mergeCell ref="BF34:BF36"/>
    <mergeCell ref="BG34:BG36"/>
    <mergeCell ref="AK35:AK37"/>
    <mergeCell ref="X37:X55"/>
    <mergeCell ref="Y37:Y42"/>
    <mergeCell ref="Z37:Z42"/>
    <mergeCell ref="AA37:AA39"/>
    <mergeCell ref="AB37:AB42"/>
    <mergeCell ref="AF37:AF42"/>
    <mergeCell ref="AG37:AG42"/>
    <mergeCell ref="AA40:AA42"/>
    <mergeCell ref="Y43:Y47"/>
    <mergeCell ref="Z43:Z47"/>
    <mergeCell ref="AA43:AA44"/>
    <mergeCell ref="AB43:AB47"/>
    <mergeCell ref="AF43:AF47"/>
    <mergeCell ref="AG43:AG47"/>
    <mergeCell ref="AA45:AA47"/>
    <mergeCell ref="Y48:Y55"/>
    <mergeCell ref="Z48:Z55"/>
    <mergeCell ref="AA48:AA52"/>
    <mergeCell ref="AC48:AC55"/>
    <mergeCell ref="AF48:AF55"/>
    <mergeCell ref="AG48:AG55"/>
    <mergeCell ref="AA53:AA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B1:BK18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T5" activeCellId="0" sqref="AT5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14.43"/>
    <col collapsed="false" customWidth="true" hidden="false" outlineLevel="0" max="3" min="3" style="0" width="41.87"/>
    <col collapsed="false" customWidth="true" hidden="false" outlineLevel="0" max="4" min="4" style="0" width="4.43"/>
    <col collapsed="false" customWidth="true" hidden="false" outlineLevel="0" max="5" min="5" style="0" width="21.43"/>
    <col collapsed="false" customWidth="true" hidden="false" outlineLevel="0" max="6" min="6" style="0" width="56.43"/>
    <col collapsed="false" customWidth="true" hidden="false" outlineLevel="0" max="7" min="7" style="0" width="15.42"/>
    <col collapsed="false" customWidth="true" hidden="false" outlineLevel="0" max="8" min="8" style="0" width="4.43"/>
    <col collapsed="false" customWidth="true" hidden="false" outlineLevel="0" max="9" min="9" style="0" width="2.42"/>
    <col collapsed="false" customWidth="true" hidden="false" outlineLevel="0" max="10" min="10" style="0" width="4.43"/>
    <col collapsed="false" customWidth="true" hidden="false" outlineLevel="0" max="11" min="11" style="0" width="13.43"/>
    <col collapsed="false" customWidth="true" hidden="false" outlineLevel="0" max="12" min="12" style="0" width="17.13"/>
    <col collapsed="false" customWidth="true" hidden="false" outlineLevel="0" max="13" min="13" style="0" width="33.14"/>
    <col collapsed="false" customWidth="true" hidden="false" outlineLevel="0" max="14" min="14" style="0" width="3.42"/>
    <col collapsed="false" customWidth="true" hidden="false" outlineLevel="0" max="15" min="15" style="0" width="2.99"/>
    <col collapsed="false" customWidth="true" hidden="false" outlineLevel="0" max="16" min="16" style="0" width="4.43"/>
    <col collapsed="false" customWidth="true" hidden="false" outlineLevel="0" max="17" min="17" style="0" width="3.86"/>
    <col collapsed="false" customWidth="true" hidden="false" outlineLevel="0" max="44" min="43" style="0" width="11.42"/>
  </cols>
  <sheetData>
    <row r="1" customFormat="false" ht="15" hidden="false" customHeight="false" outlineLevel="0" collapsed="false">
      <c r="H1" s="0" t="s">
        <v>131</v>
      </c>
      <c r="K1" s="0" t="s">
        <v>259</v>
      </c>
    </row>
    <row r="2" customFormat="false" ht="15" hidden="false" customHeight="false" outlineLevel="0" collapsed="false">
      <c r="I2" s="162"/>
      <c r="J2" s="162"/>
    </row>
    <row r="3" customFormat="false" ht="15" hidden="false" customHeight="false" outlineLevel="0" collapsed="false">
      <c r="B3" s="0" t="s">
        <v>63</v>
      </c>
      <c r="C3" s="162" t="s">
        <v>442</v>
      </c>
      <c r="D3" s="162" t="s">
        <v>63</v>
      </c>
      <c r="E3" s="162" t="s">
        <v>443</v>
      </c>
      <c r="F3" s="162" t="s">
        <v>444</v>
      </c>
      <c r="G3" s="162" t="s">
        <v>68</v>
      </c>
      <c r="H3" s="0" t="s">
        <v>445</v>
      </c>
      <c r="I3" s="0" t="s">
        <v>73</v>
      </c>
      <c r="J3" s="0" t="s">
        <v>73</v>
      </c>
      <c r="K3" s="162" t="s">
        <v>446</v>
      </c>
      <c r="L3" s="162" t="s">
        <v>447</v>
      </c>
      <c r="M3" s="162" t="s">
        <v>448</v>
      </c>
      <c r="N3" s="162" t="s">
        <v>80</v>
      </c>
      <c r="O3" s="162" t="s">
        <v>449</v>
      </c>
      <c r="P3" s="162" t="s">
        <v>80</v>
      </c>
      <c r="Q3" s="162" t="s">
        <v>450</v>
      </c>
      <c r="R3" s="162" t="s">
        <v>450</v>
      </c>
      <c r="S3" s="162" t="s">
        <v>451</v>
      </c>
      <c r="T3" s="162" t="s">
        <v>452</v>
      </c>
      <c r="U3" s="162" t="s">
        <v>450</v>
      </c>
      <c r="V3" s="162" t="s">
        <v>450</v>
      </c>
      <c r="W3" s="162" t="s">
        <v>450</v>
      </c>
      <c r="X3" s="162" t="s">
        <v>450</v>
      </c>
      <c r="Y3" s="162" t="s">
        <v>453</v>
      </c>
      <c r="Z3" s="162" t="s">
        <v>450</v>
      </c>
      <c r="AA3" s="0" t="s">
        <v>97</v>
      </c>
      <c r="AB3" s="162" t="s">
        <v>454</v>
      </c>
      <c r="AC3" s="162" t="s">
        <v>455</v>
      </c>
      <c r="AD3" s="162" t="s">
        <v>83</v>
      </c>
      <c r="AE3" s="162" t="s">
        <v>456</v>
      </c>
      <c r="AF3" s="162" t="s">
        <v>457</v>
      </c>
      <c r="AG3" s="162" t="s">
        <v>458</v>
      </c>
      <c r="AH3" s="162" t="s">
        <v>459</v>
      </c>
      <c r="AI3" s="162" t="s">
        <v>459</v>
      </c>
      <c r="AJ3" s="162" t="s">
        <v>459</v>
      </c>
      <c r="AK3" s="162" t="s">
        <v>459</v>
      </c>
      <c r="AL3" s="162" t="s">
        <v>460</v>
      </c>
      <c r="AM3" s="162" t="s">
        <v>459</v>
      </c>
      <c r="AN3" s="162" t="s">
        <v>461</v>
      </c>
      <c r="AO3" s="162" t="s">
        <v>462</v>
      </c>
      <c r="AP3" s="162" t="s">
        <v>92</v>
      </c>
      <c r="AQ3" s="162" t="s">
        <v>463</v>
      </c>
      <c r="AR3" s="162" t="s">
        <v>92</v>
      </c>
      <c r="AS3" s="162" t="s">
        <v>464</v>
      </c>
      <c r="AT3" s="162" t="s">
        <v>465</v>
      </c>
      <c r="AU3" s="162" t="s">
        <v>466</v>
      </c>
      <c r="AV3" s="162" t="s">
        <v>467</v>
      </c>
      <c r="AW3" s="162" t="s">
        <v>468</v>
      </c>
      <c r="AX3" s="162" t="s">
        <v>469</v>
      </c>
      <c r="AY3" s="162" t="s">
        <v>293</v>
      </c>
      <c r="AZ3" s="162" t="s">
        <v>293</v>
      </c>
      <c r="BA3" s="162" t="s">
        <v>470</v>
      </c>
      <c r="BB3" s="162" t="s">
        <v>471</v>
      </c>
      <c r="BC3" s="0" t="s">
        <v>99</v>
      </c>
    </row>
    <row r="4" customFormat="false" ht="15" hidden="false" customHeight="false" outlineLevel="0" collapsed="false">
      <c r="B4" s="0" t="s">
        <v>328</v>
      </c>
      <c r="C4" s="51" t="s">
        <v>134</v>
      </c>
      <c r="D4" s="51" t="s">
        <v>178</v>
      </c>
      <c r="E4" s="163" t="s">
        <v>133</v>
      </c>
      <c r="F4" s="0" t="s">
        <v>141</v>
      </c>
      <c r="G4" s="0" t="s">
        <v>179</v>
      </c>
      <c r="H4" s="0" t="s">
        <v>135</v>
      </c>
      <c r="I4" s="0" t="s">
        <v>182</v>
      </c>
      <c r="J4" s="0" t="s">
        <v>183</v>
      </c>
      <c r="K4" s="0" t="s">
        <v>165</v>
      </c>
      <c r="L4" s="0" t="s">
        <v>166</v>
      </c>
      <c r="M4" s="0" t="s">
        <v>145</v>
      </c>
      <c r="N4" s="0" t="s">
        <v>217</v>
      </c>
      <c r="O4" s="0" t="s">
        <v>151</v>
      </c>
      <c r="P4" s="0" t="s">
        <v>218</v>
      </c>
      <c r="Q4" s="0" t="s">
        <v>219</v>
      </c>
      <c r="R4" s="0" t="s">
        <v>188</v>
      </c>
      <c r="S4" s="0" t="s">
        <v>139</v>
      </c>
      <c r="T4" s="0" t="s">
        <v>146</v>
      </c>
      <c r="U4" s="0" t="s">
        <v>189</v>
      </c>
      <c r="V4" s="0" t="s">
        <v>190</v>
      </c>
      <c r="W4" s="0" t="s">
        <v>191</v>
      </c>
      <c r="X4" s="0" t="s">
        <v>192</v>
      </c>
      <c r="Y4" s="0" t="s">
        <v>193</v>
      </c>
      <c r="Z4" s="0" t="s">
        <v>152</v>
      </c>
      <c r="AA4" s="0" t="s">
        <v>138</v>
      </c>
      <c r="AB4" s="0" t="s">
        <v>167</v>
      </c>
      <c r="AC4" s="0" t="s">
        <v>200</v>
      </c>
      <c r="AD4" s="0" t="s">
        <v>150</v>
      </c>
      <c r="AE4" s="0" t="s">
        <v>143</v>
      </c>
      <c r="AF4" s="0" t="s">
        <v>169</v>
      </c>
      <c r="AG4" s="0" t="s">
        <v>144</v>
      </c>
      <c r="AH4" s="0" t="s">
        <v>195</v>
      </c>
      <c r="AI4" s="0" t="s">
        <v>203</v>
      </c>
      <c r="AJ4" s="0" t="s">
        <v>340</v>
      </c>
      <c r="AK4" s="0" t="s">
        <v>196</v>
      </c>
      <c r="AL4" s="0" t="s">
        <v>170</v>
      </c>
      <c r="AM4" s="0" t="s">
        <v>341</v>
      </c>
      <c r="AN4" s="0" t="s">
        <v>168</v>
      </c>
      <c r="AO4" s="0" t="s">
        <v>171</v>
      </c>
      <c r="AP4" s="0" t="s">
        <v>180</v>
      </c>
      <c r="AQ4" s="0" t="s">
        <v>147</v>
      </c>
      <c r="AR4" s="0" t="s">
        <v>181</v>
      </c>
      <c r="AS4" s="0" t="s">
        <v>136</v>
      </c>
      <c r="AT4" s="0" t="s">
        <v>142</v>
      </c>
      <c r="AU4" s="0" t="s">
        <v>149</v>
      </c>
      <c r="AV4" s="0" t="s">
        <v>155</v>
      </c>
      <c r="AW4" s="0" t="s">
        <v>148</v>
      </c>
      <c r="AX4" s="0" t="s">
        <v>154</v>
      </c>
      <c r="AY4" s="0" t="s">
        <v>186</v>
      </c>
      <c r="AZ4" s="0" t="s">
        <v>187</v>
      </c>
      <c r="BA4" s="0" t="s">
        <v>159</v>
      </c>
      <c r="BB4" s="0" t="s">
        <v>160</v>
      </c>
      <c r="BC4" s="0" t="s">
        <v>137</v>
      </c>
    </row>
    <row r="5" customFormat="false" ht="15" hidden="false" customHeight="false" outlineLevel="0" collapsed="false">
      <c r="B5" s="164" t="str">
        <f aca="false">'[1]Gebäudehülle u.T.'!D4</f>
        <v>Magerbeton 7 cm [kg]</v>
      </c>
      <c r="C5" s="164" t="str">
        <f aca="false">'[1]Gebäudehülle u.T.'!D4</f>
        <v>Magerbeton 7 cm [kg]</v>
      </c>
      <c r="D5" s="164" t="str">
        <f aca="false">'[1]Gebäudehülle u.T.'!D4</f>
        <v>Magerbeton 7 cm [kg]</v>
      </c>
      <c r="E5" s="164" t="str">
        <f aca="false">'[1]Gebäudehülle u.T.'!D23</f>
        <v>Hochbaubeton, 25 cm [kg]</v>
      </c>
      <c r="F5" s="164" t="str">
        <f aca="false">'[1]Gebäudehülle u.T.'!D23</f>
        <v>Hochbaubeton, 25 cm [kg]</v>
      </c>
      <c r="G5" s="164" t="str">
        <f aca="false">'[1]Gebäudehülle u.T.'!D35</f>
        <v>Hochbaubeton, 25 cm [kg]</v>
      </c>
      <c r="H5" s="164" t="str">
        <f aca="false">'[1]Gebäudehülle u.T.'!D47</f>
        <v>Hochbaubeton 30 cm [kg]</v>
      </c>
      <c r="I5" s="164" t="str">
        <f aca="false">'[1]Gebäudehülle u.T.'!D56</f>
        <v>Hochbaubeton 30 cm [kg]</v>
      </c>
      <c r="J5" s="164" t="str">
        <f aca="false">'[1]Gebäudehülle u.T.'!D67</f>
        <v>Hochbaubeton 30 cm [kg]</v>
      </c>
      <c r="K5" s="164" t="str">
        <f aca="false">'[1]Gebäudehülle über Terrain'!D4</f>
        <v>Hochbaubeton, 20 cm [kg]</v>
      </c>
      <c r="L5" s="164" t="str">
        <f aca="false">'[1]Gebäudehülle über Terrain'!D12</f>
        <v>Backstein [kg]</v>
      </c>
      <c r="M5" s="164" t="str">
        <f aca="false">'[1]Gebäudehülle über Terrain'!D19</f>
        <v>Nadelschnittholz [kg]</v>
      </c>
      <c r="N5" s="164" t="str">
        <f aca="false">'[1]Gebäudehülle über Terrain'!D27</f>
        <v>Hochbaubeton  [kg]</v>
      </c>
      <c r="O5" s="164" t="str">
        <f aca="false">'[1]Gebäudehülle über Terrain'!D32</f>
        <v>Betonfertigteil, Normalbeton, ab Werk [kg]</v>
      </c>
      <c r="P5" s="164" t="str">
        <f aca="false">'[1]Gebäudehülle über Terrain'!D40</f>
        <v>Blähperlit [kg]</v>
      </c>
      <c r="Q5" s="164" t="str">
        <f aca="false">'[1]Gebäudehülle über Terrain'!D50</f>
        <v>Zement Grundputz 1cm [kg]</v>
      </c>
      <c r="R5" s="164" t="str">
        <f aca="false">'[1]Gebäudehülle über Terrain'!D55</f>
        <v>Zementkleber [kg]</v>
      </c>
      <c r="S5" s="164" t="str">
        <f aca="false">'[1]Gebäudehülle über Terrain'!D64</f>
        <v>Zementkleber [kg]</v>
      </c>
      <c r="T5" s="164" t="str">
        <f aca="false">'[1]Gebäudehülle über Terrain'!D76</f>
        <v>Holzschalung mit Nut und Kamm [kg]</v>
      </c>
      <c r="U5" s="164" t="str">
        <f aca="false">'[1]Gebäudehülle über Terrain'!D86</f>
        <v>Faserzement [kg]</v>
      </c>
      <c r="V5" s="164" t="str">
        <f aca="false">'[1]Gebäudehülle über Terrain'!D95</f>
        <v>Naturstein</v>
      </c>
      <c r="W5" s="164" t="str">
        <f aca="false">'[1]Gebäudehülle über Terrain'!D105</f>
        <v>Fassadenplatte, Aluverbund, 4 mm</v>
      </c>
      <c r="X5" s="164" t="str">
        <f aca="false">'[1]Gebäudehülle über Terrain'!D113</f>
        <v>10 mm Einscheibensicherheitsglas [kg]</v>
      </c>
      <c r="Y5" s="164" t="str">
        <f aca="false">'[1]Gebäudehülle über Terrain'!D123</f>
        <v>11.5 cm Sichtbackstein Klinker [kg]</v>
      </c>
      <c r="Z5" s="164" t="str">
        <f aca="false">'[1]Gebäudehülle über Terrain'!D130</f>
        <v>Pfostenriegel Alu/Glas [m2]</v>
      </c>
      <c r="AA5" s="164" t="str">
        <f aca="false">'[1]Gebäudehülle über Terrain'!D137</f>
        <v>Holz-Metallfenster [m2 i.L.]</v>
      </c>
      <c r="AB5" s="164" t="str">
        <f aca="false">'[1]Gebäudehülle über Terrain'!D144</f>
        <v>Hochbaubeton 25 cm [kg]</v>
      </c>
      <c r="AC5" s="164" t="str">
        <f aca="false">'[1]Gebäudehülle über Terrain'!D152</f>
        <v>Hochbaubeton 40 cm [kg]</v>
      </c>
      <c r="AD5" s="164" t="str">
        <f aca="false">'[1]Gebäudehülle über Terrain'!D160</f>
        <v>Hochbaubeton 25 cm [kg]</v>
      </c>
      <c r="AE5" s="164" t="str">
        <f aca="false">'[1]Gebäudehülle über Terrain'!D166</f>
        <v>3-SP [kg]</v>
      </c>
      <c r="AF5" s="164" t="str">
        <f aca="false">'[1]Gebäudehülle über Terrain'!D174</f>
        <v>Nadelschnittholz [kg]</v>
      </c>
      <c r="AG5" s="164" t="str">
        <f aca="false">'[1]Gebäudehülle über Terrain'!D185</f>
        <v>EPS 25 Standard, 22 cm, 25 kg/m3 [kg]</v>
      </c>
      <c r="AH5" s="164" t="str">
        <f aca="false">'[1]Gebäudehülle über Terrain'!D194</f>
        <v>PUR, 16 cm, 30 kg/m3 [kg]</v>
      </c>
      <c r="AI5" s="164" t="str">
        <f aca="false">'[1]Gebäudehülle über Terrain'!D203</f>
        <v>Steinwolle 28 cm, 160kg/m3 [kg]</v>
      </c>
      <c r="AJ5" s="0" t="str">
        <f aca="false">'[1]Gebäudehülle über Terrain'!D215</f>
        <v>Bitumenemulsion [m2]</v>
      </c>
      <c r="AK5" s="0" t="str">
        <f aca="false">'[1]Gebäudehülle über Terrain'!D223</f>
        <v>Konter- und Ziegellattung aus Nadelschnittholz [kg]</v>
      </c>
      <c r="AL5" s="0" t="str">
        <f aca="false">'[1]Gebäudehülle über Terrain'!D231</f>
        <v>Konter- und Ziegellattung aus Nadelschnittholz [kg]</v>
      </c>
      <c r="AM5" s="0" t="str">
        <f aca="false">'[1]Gebäudehülle über Terrain'!D242</f>
        <v>Konter- und Ziegellattung aus Nadelschnittholz [kg]</v>
      </c>
      <c r="AN5" s="164" t="str">
        <f aca="false">'[1]Innenbauteile &amp; Aussenbauteile'!D4</f>
        <v>Hochbaubeton, 20 cm [kg]</v>
      </c>
      <c r="AO5" s="164" t="str">
        <f aca="false">'[1]Innenbauteile &amp; Aussenbauteile'!D12</f>
        <v>15 cm Backstein [kg]</v>
      </c>
      <c r="AP5" s="164" t="str">
        <f aca="false">'[1]Innenbauteile &amp; Aussenbauteile'!D19</f>
        <v>15 cm Kalksandstein [kg]</v>
      </c>
      <c r="AQ5" s="164" t="str">
        <f aca="false">'[1]Innenbauteile &amp; Aussenbauteile'!D29</f>
        <v>4 x 12.5 mm Gipskartonplatten [kg]</v>
      </c>
      <c r="AR5" s="164" t="str">
        <f aca="false">'[1]Innenbauteile &amp; Aussenbauteile'!D36</f>
        <v>2 x 12.5 mm und 2 x 10mm Gipsfaserplatten [kg]</v>
      </c>
      <c r="AS5" s="164" t="str">
        <f aca="false">'[1]Innenbauteile &amp; Aussenbauteile'!D46</f>
        <v>Hochbaubeton 25 cm [kg]</v>
      </c>
      <c r="AT5" s="164" t="str">
        <f aca="false">'[1]Innenbauteile &amp; Aussenbauteile'!D54</f>
        <v>Nadelschnittholz [kg]</v>
      </c>
      <c r="AU5" s="164" t="str">
        <f aca="false">'[1]Innenbauteile &amp; Aussenbauteile'!D64</f>
        <v>Hochbaubeton 9cm [kg]</v>
      </c>
      <c r="AV5" s="164" t="str">
        <f aca="false">'[1]Innenbauteile &amp; Aussenbauteile'!D73</f>
        <v>Glaswolle (50 kg/m3) [kg]</v>
      </c>
      <c r="AW5" s="164" t="str">
        <f aca="false">'[1]Innenbauteile &amp; Aussenbauteile'!D77</f>
        <v>Gipsfaserplatte [kg]</v>
      </c>
      <c r="AX5" s="164" t="str">
        <f aca="false">'[1]Innenbauteile &amp; Aussenbauteile'!D83</f>
        <v>Stahlblech verzinkt [kg]</v>
      </c>
      <c r="AY5" s="164" t="str">
        <f aca="false">'[1]Innenbauteile &amp; Aussenbauteile'!D93</f>
        <v>Linoleum [m2]</v>
      </c>
      <c r="AZ5" s="164" t="str">
        <f aca="false">'[1]Innenbauteile &amp; Aussenbauteile'!D97</f>
        <v>Parkett 2-Schicht werkversiegelt, 11 mm [m2]</v>
      </c>
      <c r="BA5" s="164" t="str">
        <f aca="false">'[1]Innenbauteile &amp; Aussenbauteile'!D104</f>
        <v>Parkett 2-Schicht werkversiegelt, 11 mm [m2]</v>
      </c>
      <c r="BB5" s="164" t="str">
        <f aca="false">'[1]Innenbauteile &amp; Aussenbauteile'!D111</f>
        <v>Keramikplatten 9mm [m2]</v>
      </c>
      <c r="BC5" s="164" t="str">
        <f aca="false">'[1]Innenbauteile &amp; Aussenbauteile'!D124</f>
        <v>Balkonkragplatte Ortbeton [kg]</v>
      </c>
      <c r="BD5" s="164"/>
      <c r="BE5" s="164"/>
      <c r="BF5" s="164"/>
      <c r="BG5" s="164"/>
      <c r="BH5" s="164"/>
      <c r="BI5" s="164"/>
      <c r="BJ5" s="164"/>
      <c r="BK5" s="164"/>
    </row>
    <row r="6" customFormat="false" ht="15" hidden="false" customHeight="false" outlineLevel="0" collapsed="false">
      <c r="B6" s="164" t="str">
        <f aca="false">'[1]Gebäudehülle u.T.'!D5</f>
        <v>Hochbaubeton, 30 cm [kg]</v>
      </c>
      <c r="C6" s="164" t="str">
        <f aca="false">'[1]Gebäudehülle u.T.'!D5</f>
        <v>Hochbaubeton, 30 cm [kg]</v>
      </c>
      <c r="D6" s="164" t="str">
        <f aca="false">'[1]Gebäudehülle u.T.'!D5</f>
        <v>Hochbaubeton, 30 cm [kg]</v>
      </c>
      <c r="E6" s="164" t="str">
        <f aca="false">'[1]Gebäudehülle u.T.'!D24</f>
        <v>Armierungsstahl [kg]</v>
      </c>
      <c r="F6" s="164" t="str">
        <f aca="false">'[1]Gebäudehülle u.T.'!D24</f>
        <v>Armierungsstahl [kg]</v>
      </c>
      <c r="G6" s="164" t="str">
        <f aca="false">'[1]Gebäudehülle u.T.'!D36</f>
        <v>Armierungsstahl [kg]</v>
      </c>
      <c r="H6" s="164" t="str">
        <f aca="false">'[1]Gebäudehülle u.T.'!D48</f>
        <v>Armierungsstahl [kg]</v>
      </c>
      <c r="I6" s="164" t="str">
        <f aca="false">'[1]Gebäudehülle u.T.'!D57</f>
        <v>Armierungsstahl [kg]</v>
      </c>
      <c r="J6" s="164" t="str">
        <f aca="false">'[1]Gebäudehülle u.T.'!D68</f>
        <v>Armierungsstahl [kg]</v>
      </c>
      <c r="K6" s="164" t="str">
        <f aca="false">'[1]Gebäudehülle über Terrain'!D5</f>
        <v>Armierungsstahl [kg]</v>
      </c>
      <c r="L6" s="164" t="str">
        <f aca="false">'[1]Gebäudehülle über Terrain'!D13</f>
        <v>Mörtel [kg]</v>
      </c>
      <c r="M6" s="164" t="str">
        <f aca="false">'[1]Gebäudehülle über Terrain'!D20</f>
        <v>Nadelschnittholz [kg]</v>
      </c>
      <c r="N6" s="164" t="str">
        <f aca="false">'[1]Gebäudehülle über Terrain'!D28</f>
        <v>Armierungsstahl [kg]</v>
      </c>
      <c r="O6" s="164" t="str">
        <f aca="false">'[1]Gebäudehülle über Terrain'!D33</f>
        <v>Armierungsstahl [kg]</v>
      </c>
      <c r="P6" s="164" t="str">
        <f aca="false">'[1]Gebäudehülle über Terrain'!D41</f>
        <v>Backstein [kg]</v>
      </c>
      <c r="Q6" s="164" t="str">
        <f aca="false">'[1]Gebäudehülle über Terrain'!D51</f>
        <v>Mineralischer Deckputz (Kalk-Zementputz) 1.5 mm [kg]</v>
      </c>
      <c r="R6" s="164" t="str">
        <f aca="false">'[1]Gebäudehülle über Terrain'!D56</f>
        <v>Steinwolle 22cm (80 kg/m3, 0.034 W/mK) [kg]</v>
      </c>
      <c r="S6" s="164" t="str">
        <f aca="false">'[1]Gebäudehülle über Terrain'!D65</f>
        <v>EPS 20cm (16 kg/m3, 0.031 W/mK) [kg]</v>
      </c>
      <c r="T6" s="164" t="str">
        <f aca="false">'[1]Gebäudehülle über Terrain'!D77</f>
        <v>Vergrauungslasur [m2]</v>
      </c>
      <c r="U6" s="164" t="str">
        <f aca="false">'[1]Gebäudehülle über Terrain'!D87</f>
        <v>Aluminiumprofile [kg]</v>
      </c>
      <c r="V6" s="164" t="str">
        <f aca="false">'[1]Gebäudehülle über Terrain'!D96</f>
        <v>Aluminiumunterkonstruktion [kg]</v>
      </c>
      <c r="W6" s="164" t="str">
        <f aca="false">'[1]Gebäudehülle über Terrain'!D106</f>
        <v>Aluminiumunterkonstruktion [kg]</v>
      </c>
      <c r="X6" s="164" t="str">
        <f aca="false">'[1]Gebäudehülle über Terrain'!D114</f>
        <v>Aluminiumunterkonstruktion [kg]</v>
      </c>
      <c r="Y6" s="164" t="str">
        <f aca="false">'[1]Gebäudehülle über Terrain'!D124</f>
        <v>Armierung Chromstahl [kg]</v>
      </c>
      <c r="Z6" s="164" t="str">
        <f aca="false">'[1]Gebäudehülle über Terrain'!D131</f>
        <v>Lamellenstoren [m2]</v>
      </c>
      <c r="AA6" s="164" t="str">
        <f aca="false">'[1]Gebäudehülle über Terrain'!D138</f>
        <v>Isolierverglasung 3-fach, Ug-Wert 0.6 W/m2K, Dicke 40 mm [m2]</v>
      </c>
      <c r="AB6" s="164" t="str">
        <f aca="false">'[1]Gebäudehülle über Terrain'!D145</f>
        <v>Armierungsstahl (Bewehurngsgehalt 90 kg/m3) [kg]</v>
      </c>
      <c r="AC6" s="164" t="str">
        <f aca="false">'[1]Gebäudehülle über Terrain'!D153</f>
        <v>Armierungsstahl (Bewehrungsgehalt 147.5 kg/m3) [kg]</v>
      </c>
      <c r="AD6" s="164" t="str">
        <f aca="false">'[1]Gebäudehülle über Terrain'!D161</f>
        <v>Armierungsstahl (Bewehrungsgehalt 80 kg/m3) [kg]</v>
      </c>
      <c r="AE6" s="164" t="str">
        <f aca="false">'[1]Gebäudehülle über Terrain'!D167</f>
        <v>Nadelschnittholz [kg]</v>
      </c>
      <c r="AF6" s="164" t="str">
        <f aca="false">'[1]Gebäudehülle über Terrain'!D175</f>
        <v>Sperrholz für Feuchtebreich [kg]</v>
      </c>
      <c r="AG6" s="164" t="str">
        <f aca="false">'[1]Gebäudehülle über Terrain'!D186</f>
        <v>2 x EGV3 Polymerbitumenbahn [kg]</v>
      </c>
      <c r="AH6" s="164" t="str">
        <f aca="false">'[1]Gebäudehülle über Terrain'!D195</f>
        <v>2 x EGV3 Polymerbitumenbahn [kg]</v>
      </c>
      <c r="AI6" s="164" t="str">
        <f aca="false">'[1]Gebäudehülle über Terrain'!D204</f>
        <v>2 x EGV3 Polymerbitumenbahn [kg]</v>
      </c>
      <c r="AJ6" s="0" t="str">
        <f aca="false">'[1]Gebäudehülle über Terrain'!D216</f>
        <v>2x EP4 Polymerbitumenbahn [kg]</v>
      </c>
      <c r="AK6" s="0" t="str">
        <f aca="false">'[1]Gebäudehülle über Terrain'!D224</f>
        <v>Unterdachfolie: PP-Vlies [kg]</v>
      </c>
      <c r="AL6" s="0" t="str">
        <f aca="false">'[1]Gebäudehülle über Terrain'!D232</f>
        <v>Unterdachfolie: PP-Vlies [kg]</v>
      </c>
      <c r="AM6" s="0" t="str">
        <f aca="false">'[1]Gebäudehülle über Terrain'!D243</f>
        <v>Unterdachfolie: PP-Vlies [kg]</v>
      </c>
      <c r="AN6" s="164" t="str">
        <f aca="false">'[1]Innenbauteile &amp; Aussenbauteile'!D5</f>
        <v>Armierungsstahl [kg]</v>
      </c>
      <c r="AO6" s="164" t="str">
        <f aca="false">'[1]Innenbauteile &amp; Aussenbauteile'!D13</f>
        <v>Mörtel [kg]</v>
      </c>
      <c r="AP6" s="164" t="str">
        <f aca="false">'[1]Innenbauteile &amp; Aussenbauteile'!D20</f>
        <v>Mörtel [kg]</v>
      </c>
      <c r="AQ6" s="164" t="str">
        <f aca="false">'[1]Innenbauteile &amp; Aussenbauteile'!D30</f>
        <v>Stahlprofile verzinkt [kg]</v>
      </c>
      <c r="AR6" s="164" t="str">
        <f aca="false">'[1]Innenbauteile &amp; Aussenbauteile'!D37</f>
        <v>Stahlprofile verzinkt [kg]</v>
      </c>
      <c r="AS6" s="164" t="str">
        <f aca="false">'[1]Innenbauteile &amp; Aussenbauteile'!D47</f>
        <v>Armierungsstahl (Bewehrungsgehalt 90 kg/m3) [kg]</v>
      </c>
      <c r="AT6" s="164" t="str">
        <f aca="false">'[1]Innenbauteile &amp; Aussenbauteile'!D55</f>
        <v>Leim [kg]</v>
      </c>
      <c r="AU6" s="164" t="str">
        <f aca="false">'[1]Innenbauteile &amp; Aussenbauteile'!D65</f>
        <v>Armierungsstahl [kg]</v>
      </c>
      <c r="AV6" s="164" t="str">
        <f aca="false">'[1]Innenbauteile &amp; Aussenbauteile'!D74</f>
        <v>PE-Vlies [kg]</v>
      </c>
      <c r="AW6" s="164" t="str">
        <f aca="false">'[1]Innenbauteile &amp; Aussenbauteile'!D78</f>
        <v>Stahlprofile verzinkt [kg]</v>
      </c>
      <c r="AX6" s="164" t="str">
        <f aca="false">'[1]Innenbauteile &amp; Aussenbauteile'!D84</f>
        <v>Pulverbeschichten Stahl [m2]</v>
      </c>
      <c r="AY6" s="164" t="str">
        <f aca="false">'[1]Innenbauteile &amp; Aussenbauteile'!D94</f>
        <v>Klebstoff [kg]</v>
      </c>
      <c r="AZ6" s="164" t="str">
        <f aca="false">'[1]Innenbauteile &amp; Aussenbauteile'!D98</f>
        <v>Klebstoff [kg]</v>
      </c>
      <c r="BA6" s="164" t="str">
        <f aca="false">'[1]Innenbauteile &amp; Aussenbauteile'!D105</f>
        <v>Klebstoff [kg]</v>
      </c>
      <c r="BB6" s="164" t="str">
        <f aca="false">'[1]Innenbauteile &amp; Aussenbauteile'!D112</f>
        <v>Klebemörtel [kg]</v>
      </c>
      <c r="BC6" s="164" t="str">
        <f aca="false">'[1]Innenbauteile &amp; Aussenbauteile'!D125</f>
        <v>Bewehrungsstahl [kg]</v>
      </c>
      <c r="BD6" s="164"/>
      <c r="BE6" s="164"/>
      <c r="BF6" s="164"/>
      <c r="BG6" s="164"/>
      <c r="BH6" s="164"/>
      <c r="BI6" s="164"/>
      <c r="BJ6" s="164"/>
      <c r="BK6" s="164"/>
    </row>
    <row r="7" customFormat="false" ht="15" hidden="false" customHeight="false" outlineLevel="0" collapsed="false">
      <c r="B7" s="164" t="str">
        <f aca="false">'[1]Gebäudehülle u.T.'!D6</f>
        <v>Armierungsstahl [kg]</v>
      </c>
      <c r="C7" s="164" t="str">
        <f aca="false">'[1]Gebäudehülle u.T.'!D6</f>
        <v>Armierungsstahl [kg]</v>
      </c>
      <c r="D7" s="164" t="str">
        <f aca="false">'[1]Gebäudehülle u.T.'!D6</f>
        <v>Armierungsstahl [kg]</v>
      </c>
      <c r="E7" s="164" t="str">
        <f aca="false">'[1]Gebäudehülle u.T.'!D25</f>
        <v>3-SP Schalung 2.5cm (Annahme 5xverwendet) [kg]</v>
      </c>
      <c r="F7" s="164" t="str">
        <f aca="false">'[1]Gebäudehülle u.T.'!D25</f>
        <v>3-SP Schalung 2.5cm (Annahme 5xverwendet) [kg]</v>
      </c>
      <c r="G7" s="164" t="str">
        <f aca="false">'[1]Gebäudehülle u.T.'!D37</f>
        <v>3-SP Schalung 2.5cm (Annahme 5xverwendet) [kg]</v>
      </c>
      <c r="H7" s="164" t="str">
        <f aca="false">'[1]Gebäudehülle u.T.'!D49</f>
        <v>3-SP Schalung 2.5 cm (Annahme 5xverwendet) [kg]</v>
      </c>
      <c r="I7" s="164" t="str">
        <f aca="false">'[1]Gebäudehülle u.T.'!D58</f>
        <v>3-SP Schalung 2.5 cm (Annahme 5xverwendet) [kg]</v>
      </c>
      <c r="J7" s="164" t="str">
        <f aca="false">'[1]Gebäudehülle u.T.'!D69</f>
        <v>3-SP Schalung 2.5cm (Annahme 5xverwendet) [kg]</v>
      </c>
      <c r="K7" s="164" t="str">
        <f aca="false">'[1]Gebäudehülle über Terrain'!D6</f>
        <v>3-SP Schalung 2.5cm (Annahme 5xverwendet) [kg]</v>
      </c>
      <c r="L7" s="164" t="str">
        <f aca="false">'[1]Gebäudehülle über Terrain'!D14</f>
        <v>Kalk-Zementgrundputz [kg]</v>
      </c>
      <c r="M7" s="164" t="str">
        <f aca="false">'[1]Gebäudehülle über Terrain'!D21</f>
        <v>Gipskartonplatte [kg]</v>
      </c>
      <c r="N7" s="164" t="str">
        <f aca="false">'[1]Gebäudehülle über Terrain'!D29</f>
        <v>3-SP Schalung 2.5 cm (Annahme 5xverwendet) [kg]</v>
      </c>
      <c r="O7" s="164" t="str">
        <f aca="false">'[1]Gebäudehülle über Terrain'!D34</f>
        <v>3-SP Schalung 2.5 cm (Annahme 5xverwendet) [kg]</v>
      </c>
      <c r="P7" s="164" t="str">
        <f aca="false">'[1]Gebäudehülle über Terrain'!D42</f>
        <v>Dünnbettmörtel [kg]</v>
      </c>
      <c r="Q7" s="164" t="str">
        <f aca="false">'[1]Gebäudehülle über Terrain'!D52</f>
        <v>Anstrich [m2]</v>
      </c>
      <c r="R7" s="164" t="str">
        <f aca="false">'[1]Gebäudehülle über Terrain'!D57</f>
        <v>Dämmstoffdübel (3 Stk. à 40g pro m2) [kg]</v>
      </c>
      <c r="S7" s="164" t="str">
        <f aca="false">'[1]Gebäudehülle über Terrain'!D66</f>
        <v>Dämmstoffdübel (3 Stk. à 40g pro m2) [kg]</v>
      </c>
      <c r="T7" s="164" t="str">
        <f aca="false">'[1]Gebäudehülle über Terrain'!D78</f>
        <v>Chromstahl 18/8 (Rogger Dübel), 3.5 Stk./m2 [kg]</v>
      </c>
      <c r="U7" s="164" t="str">
        <f aca="false">'[1]Gebäudehülle über Terrain'!D88</f>
        <v>Chromstahl 18/8 [kg]</v>
      </c>
      <c r="V7" s="164" t="str">
        <f aca="false">'[1]Gebäudehülle über Terrain'!D97</f>
        <v>Dämmstoffdübel (3 Stk. à 40g pro m2) [kg]</v>
      </c>
      <c r="W7" s="164" t="str">
        <f aca="false">'[1]Gebäudehülle über Terrain'!D107</f>
        <v>Dämmstoffdübel [kg]</v>
      </c>
      <c r="X7" s="164" t="str">
        <f aca="false">'[1]Gebäudehülle über Terrain'!D115</f>
        <v>Dämmstoffdübel (3 Stk. à 40g pro m2) [kg]</v>
      </c>
      <c r="Y7" s="164" t="str">
        <f aca="false">'[1]Gebäudehülle über Terrain'!D125</f>
        <v>Dämmstoffdübel (3 Stk. à 40g pro m2) [kg]</v>
      </c>
      <c r="Z7" s="164" t="str">
        <f aca="false">'[1]Gebäudehülle über Terrain'!D132</f>
        <v>Ausstellstoren [m2]</v>
      </c>
      <c r="AA7" s="164" t="str">
        <f aca="false">'[1]Gebäudehülle über Terrain'!D139</f>
        <v>Lamellenstoren [m2]</v>
      </c>
      <c r="AB7" s="164" t="str">
        <f aca="false">'[1]Gebäudehülle über Terrain'!D146</f>
        <v>3-SP Schalung 2.5cm (Annahme 5xverwendet) [kg]</v>
      </c>
      <c r="AC7" s="164" t="str">
        <f aca="false">'[1]Gebäudehülle über Terrain'!D154</f>
        <v>3-SP Schalung 2.5 cm (Annahme 5xverwendet) [kg]</v>
      </c>
      <c r="AD7" s="164" t="str">
        <f aca="false">'[1]Gebäudehülle über Terrain'!D162</f>
        <v>Stahlblech [kg]</v>
      </c>
      <c r="AE7" s="164" t="str">
        <f aca="false">'[1]Gebäudehülle über Terrain'!D168</f>
        <v>Nadelschnittholz [kg]</v>
      </c>
      <c r="AF7" s="164" t="str">
        <f aca="false">'[1]Gebäudehülle über Terrain'!D176</f>
        <v>MF-Klebstoff</v>
      </c>
      <c r="AG7" s="164" t="str">
        <f aca="false">'[1]Gebäudehülle über Terrain'!D187</f>
        <v>Bitumenemulsion [m2]</v>
      </c>
      <c r="AH7" s="164" t="str">
        <f aca="false">'[1]Gebäudehülle über Terrain'!D196</f>
        <v>Bitumenemulsion [m2]</v>
      </c>
      <c r="AI7" s="164" t="str">
        <f aca="false">'[1]Gebäudehülle über Terrain'!D205</f>
        <v>Bitumenemulsion [m2]</v>
      </c>
      <c r="AJ7" s="0" t="str">
        <f aca="false">'[1]Gebäudehülle über Terrain'!D217</f>
        <v>PP-Vlies Trenn-/Schutzvlies [kg]</v>
      </c>
      <c r="AK7" s="0" t="str">
        <f aca="false">'[1]Gebäudehülle über Terrain'!D225</f>
        <v>Ziegeleindeckeung [kg]</v>
      </c>
      <c r="AL7" s="0" t="str">
        <f aca="false">'[1]Gebäudehülle über Terrain'!D233</f>
        <v>Ziegeleindeckeung [kg]</v>
      </c>
      <c r="AM7" s="0" t="str">
        <f aca="false">'[1]Gebäudehülle über Terrain'!D244</f>
        <v>Ziegeleindeckeung [kg]</v>
      </c>
      <c r="AN7" s="164" t="str">
        <f aca="false">'[1]Innenbauteile &amp; Aussenbauteile'!D6</f>
        <v>3-SP Schalung 2.5cm (Annahme 5xverwendet) [kg]</v>
      </c>
      <c r="AO7" s="164" t="str">
        <f aca="false">'[1]Innenbauteile &amp; Aussenbauteile'!D14</f>
        <v>Kalk-Zementgrundputz [kg]</v>
      </c>
      <c r="AP7" s="164" t="str">
        <f aca="false">'[1]Innenbauteile &amp; Aussenbauteile'!D21</f>
        <v>Kalk-Zementgrundputz [kg]</v>
      </c>
      <c r="AQ7" s="164" t="str">
        <f aca="false">'[1]Innenbauteile &amp; Aussenbauteile'!D31</f>
        <v>Glaswolle [kg]</v>
      </c>
      <c r="AR7" s="164" t="str">
        <f aca="false">'[1]Innenbauteile &amp; Aussenbauteile'!D38</f>
        <v>Steinwolle [kg]</v>
      </c>
      <c r="AS7" s="164" t="str">
        <f aca="false">'[1]Innenbauteile &amp; Aussenbauteile'!D48</f>
        <v>3-SP Schalung 2.5cm (Annahme 5xverwendet) [kg]</v>
      </c>
      <c r="AT7" s="164" t="str">
        <f aca="false">'[1]Innenbauteile &amp; Aussenbauteile'!D56</f>
        <v>Schüttung [kg]</v>
      </c>
      <c r="AU7" s="164" t="str">
        <f aca="false">'[1]Innenbauteile &amp; Aussenbauteile'!D66</f>
        <v>Nadelschnittholz [kg]</v>
      </c>
      <c r="AV7" s="164"/>
      <c r="AW7" s="164" t="str">
        <f aca="false">'[1]Innenbauteile &amp; Aussenbauteile'!D79</f>
        <v>Spachtel [kg]</v>
      </c>
      <c r="AX7" s="164" t="str">
        <f aca="false">'[1]Innenbauteile &amp; Aussenbauteile'!D85</f>
        <v>Akustikvlies [kg]</v>
      </c>
      <c r="AY7" s="164"/>
      <c r="AZ7" s="164"/>
      <c r="BA7" s="164" t="str">
        <f aca="false">'[1]Innenbauteile &amp; Aussenbauteile'!D106</f>
        <v>Zementunterlagsboden 7cm [kg]</v>
      </c>
      <c r="BB7" s="164" t="str">
        <f aca="false">'[1]Innenbauteile &amp; Aussenbauteile'!D113</f>
        <v>Zementunterlagsboden 7cm [kg]</v>
      </c>
      <c r="BC7" s="164" t="str">
        <f aca="false">'[1]Innenbauteile &amp; Aussenbauteile'!D126</f>
        <v>3-SP Schalung 2.5 cm (Annahme 5xverwendet) [kg]</v>
      </c>
      <c r="BD7" s="164"/>
      <c r="BE7" s="164"/>
      <c r="BF7" s="164"/>
      <c r="BG7" s="164"/>
      <c r="BH7" s="164"/>
      <c r="BI7" s="164"/>
      <c r="BJ7" s="164"/>
      <c r="BK7" s="164"/>
    </row>
    <row r="8" customFormat="false" ht="15" hidden="false" customHeight="false" outlineLevel="0" collapsed="false">
      <c r="B8" s="0" t="n">
        <v>0</v>
      </c>
      <c r="C8" s="164" t="str">
        <f aca="false">'[1]Gebäudehülle u.T.'!D12</f>
        <v>Polystyrol extrudiert, 33 kg/m3, lamdaD 0.033 W/mK, 20 cm [kg]</v>
      </c>
      <c r="D8" s="164" t="str">
        <f aca="false">'[1]Gebäudehülle u.T.'!D16</f>
        <v>Foamglas T4+, 115 kg/m3, lambdaD 0.041 W/mK, 25 cm [kg]</v>
      </c>
      <c r="E8" s="164" t="str">
        <f aca="false">'[1]Gebäudehülle u.T.'!D26</f>
        <v>Bitumenanstrich [m2]</v>
      </c>
      <c r="F8" s="164" t="str">
        <f aca="false">'[1]Gebäudehülle u.T.'!D26</f>
        <v>Bitumenanstrich [m2]</v>
      </c>
      <c r="G8" s="164" t="str">
        <f aca="false">'[1]Gebäudehülle u.T.'!D38</f>
        <v>Bitumenanstrich [m2]</v>
      </c>
      <c r="H8" s="164" t="str">
        <f aca="false">'[1]Gebäudehülle u.T.'!D50</f>
        <v>Bitumenemulsion [m2]</v>
      </c>
      <c r="I8" s="164" t="str">
        <f aca="false">'[1]Gebäudehülle u.T.'!D59</f>
        <v>Bitumenemulsion [m2]</v>
      </c>
      <c r="J8" s="164" t="str">
        <f aca="false">'[1]Gebäudehülle u.T.'!D70</f>
        <v>Bitumenemulsion [m2]</v>
      </c>
      <c r="K8" s="164" t="str">
        <f aca="false">'[1]Gebäudehülle über Terrain'!D7</f>
        <v>Kalk-Zementgrundputz [kg]</v>
      </c>
      <c r="L8" s="164" t="str">
        <f aca="false">'[1]Gebäudehülle über Terrain'!D15</f>
        <v>Deckputz (Weissputz) [kg]</v>
      </c>
      <c r="M8" s="164" t="str">
        <f aca="false">'[1]Gebäudehülle über Terrain'!D22</f>
        <v>Spachtel [kg]</v>
      </c>
      <c r="N8" s="164"/>
      <c r="O8" s="164"/>
      <c r="P8" s="164" t="str">
        <f aca="false">'[1]Gebäudehülle über Terrain'!D43</f>
        <v>Kalk-Zementgrundputz [kg]</v>
      </c>
      <c r="Q8" s="164"/>
      <c r="R8" s="164" t="str">
        <f aca="false">'[1]Gebäudehülle über Terrain'!D58</f>
        <v>Einbettmörtel [kg]</v>
      </c>
      <c r="S8" s="164" t="str">
        <f aca="false">'[1]Gebäudehülle über Terrain'!D67</f>
        <v>Einbettmörtel [kg]</v>
      </c>
      <c r="T8" s="164" t="str">
        <f aca="false">'[1]Gebäudehülle über Terrain'!D79</f>
        <v>Polyamid glasfaserverstärkt (Rogger Dübel) [kg]</v>
      </c>
      <c r="U8" s="164" t="str">
        <f aca="false">'[1]Gebäudehülle über Terrain'!D89</f>
        <v>PVC [kg]</v>
      </c>
      <c r="V8" s="164" t="str">
        <f aca="false">'[1]Gebäudehülle über Terrain'!D98</f>
        <v>22 cm Steinwolle (48 kg/m3, 0.034 W/mK) [kg]</v>
      </c>
      <c r="W8" s="164" t="str">
        <f aca="false">'[1]Gebäudehülle über Terrain'!D108</f>
        <v>22 cm Steinwolle (48 kg/m3, 0.034 W/mK) [kg]</v>
      </c>
      <c r="X8" s="164" t="str">
        <f aca="false">'[1]Gebäudehülle über Terrain'!D116</f>
        <v>20 cm Glaswolle (38 kg/m3, 0.032 W/mK) [kg]</v>
      </c>
      <c r="Y8" s="164" t="str">
        <f aca="false">'[1]Gebäudehülle über Terrain'!D126</f>
        <v>22 cm Steinwolle (48 kg/m3, 0.034 W/mK) [kg]</v>
      </c>
      <c r="Z8" s="164"/>
      <c r="AA8" s="164"/>
      <c r="AB8" s="164" t="str">
        <f aca="false">'[1]Gebäudehülle über Terrain'!D147</f>
        <v>Kalk-Zementgrundputz [kg]</v>
      </c>
      <c r="AC8" s="164" t="str">
        <f aca="false">'[1]Gebäudehülle über Terrain'!D155</f>
        <v>Kalk-Zementgrundputz [kg]</v>
      </c>
      <c r="AD8" s="164" t="str">
        <f aca="false">'[1]Gebäudehülle über Terrain'!D163</f>
        <v>Stahlträger [kg]</v>
      </c>
      <c r="AE8" s="164" t="str">
        <f aca="false">'[1]Gebäudehülle über Terrain'!D169</f>
        <v>Gipskartonplatte [kg]</v>
      </c>
      <c r="AF8" s="164" t="str">
        <f aca="false">'[1]Gebäudehülle über Terrain'!D177</f>
        <v>Nadelschnittholz [kg]</v>
      </c>
      <c r="AG8" s="164" t="str">
        <f aca="false">'[1]Gebäudehülle über Terrain'!D188</f>
        <v>1x EP4 Polymerbitumenbahn [kg]</v>
      </c>
      <c r="AH8" s="164" t="str">
        <f aca="false">'[1]Gebäudehülle über Terrain'!D197</f>
        <v>1x EP4 Polymerbitumenbahn [kg]</v>
      </c>
      <c r="AI8" s="164" t="str">
        <f aca="false">'[1]Gebäudehülle über Terrain'!D206</f>
        <v>1x EP4 Polymerbitumenbahn [kg]</v>
      </c>
      <c r="AJ8" s="0" t="str">
        <f aca="false">'[1]Gebäudehülle über Terrain'!D218</f>
        <v>Kies 3 cm [kg]</v>
      </c>
      <c r="AK8" s="0" t="str">
        <f aca="false">'[1]Gebäudehülle über Terrain'!D226</f>
        <v>Befestigung mit verzinkten Stahlschrauben [kg]</v>
      </c>
      <c r="AL8" s="0" t="str">
        <f aca="false">'[1]Gebäudehülle über Terrain'!D234</f>
        <v>Befestigung mit verzinkten Stahlschrauben [kg]</v>
      </c>
      <c r="AM8" s="0" t="str">
        <f aca="false">'[1]Gebäudehülle über Terrain'!D245</f>
        <v>Befestigung mit verzinkten Stahlschrauben [kg]</v>
      </c>
      <c r="AN8" s="164" t="str">
        <f aca="false">'[1]Innenbauteile &amp; Aussenbauteile'!D7</f>
        <v>Kalk-Zementgrundputz [kg]</v>
      </c>
      <c r="AO8" s="164" t="str">
        <f aca="false">'[1]Innenbauteile &amp; Aussenbauteile'!D15</f>
        <v>Deckputz (Weissputz) [kg]</v>
      </c>
      <c r="AP8" s="164" t="str">
        <f aca="false">'[1]Innenbauteile &amp; Aussenbauteile'!D22</f>
        <v>Deckputz (Weissputz) [kg]</v>
      </c>
      <c r="AQ8" s="164" t="str">
        <f aca="false">'[1]Innenbauteile &amp; Aussenbauteile'!D32</f>
        <v>Spachtel [kg]</v>
      </c>
      <c r="AR8" s="164" t="str">
        <f aca="false">'[1]Innenbauteile &amp; Aussenbauteile'!D39</f>
        <v>Spachtel [kg]</v>
      </c>
      <c r="AS8" s="164" t="str">
        <f aca="false">'[1]Innenbauteile &amp; Aussenbauteile'!D49</f>
        <v>Kalk-Zementgrundputz [kg]</v>
      </c>
      <c r="AT8" s="164" t="str">
        <f aca="false">'[1]Innenbauteile &amp; Aussenbauteile'!D57</f>
        <v>Nadelschnittholz [kg]</v>
      </c>
      <c r="AU8" s="164" t="str">
        <f aca="false">'[1]Innenbauteile &amp; Aussenbauteile'!D67</f>
        <v>Nadelschnittholz [kg]</v>
      </c>
      <c r="AV8" s="164"/>
      <c r="AW8" s="164" t="str">
        <f aca="false">'[1]Innenbauteile &amp; Aussenbauteile'!D80</f>
        <v>Wanddispersion [m2]</v>
      </c>
      <c r="AX8" s="164" t="str">
        <f aca="false">'[1]Innenbauteile &amp; Aussenbauteile'!D86</f>
        <v>Stahlprofile verzinkt [kg]</v>
      </c>
      <c r="AY8" s="164"/>
      <c r="AZ8" s="164"/>
      <c r="BA8" s="164" t="str">
        <f aca="false">'[1]Innenbauteile &amp; Aussenbauteile'!D107</f>
        <v>PE-Folie</v>
      </c>
      <c r="BB8" s="164" t="str">
        <f aca="false">'[1]Innenbauteile &amp; Aussenbauteile'!D114</f>
        <v>PE-Folie</v>
      </c>
      <c r="BC8" s="164" t="str">
        <f aca="false">'[1]Innenbauteile &amp; Aussenbauteile'!D127</f>
        <v>Chromstahl (Kragplattenanschluss) [kg]</v>
      </c>
      <c r="BD8" s="164"/>
      <c r="BE8" s="164"/>
      <c r="BF8" s="164"/>
      <c r="BG8" s="164"/>
      <c r="BH8" s="164"/>
      <c r="BI8" s="164"/>
      <c r="BJ8" s="164"/>
      <c r="BK8" s="164"/>
    </row>
    <row r="9" customFormat="false" ht="15" hidden="false" customHeight="false" outlineLevel="0" collapsed="false">
      <c r="B9" s="0" t="n">
        <v>0</v>
      </c>
      <c r="C9" s="0" t="n">
        <v>0</v>
      </c>
      <c r="D9" s="0" t="n">
        <v>0</v>
      </c>
      <c r="E9" s="164" t="str">
        <f aca="false">'[1]Gebäudehülle u.T.'!D27</f>
        <v>Noppenfolie PE [kg]</v>
      </c>
      <c r="F9" s="164" t="str">
        <f aca="false">'[1]Gebäudehülle u.T.'!D27</f>
        <v>Noppenfolie PE [kg]</v>
      </c>
      <c r="G9" s="164" t="str">
        <f aca="false">'[1]Gebäudehülle u.T.'!D39</f>
        <v>Sickerplatte</v>
      </c>
      <c r="H9" s="164" t="str">
        <f aca="false">'[1]Gebäudehülle u.T.'!D51</f>
        <v>Polymerbitumenbahn EP5 [kg]</v>
      </c>
      <c r="I9" s="164" t="str">
        <f aca="false">'[1]Gebäudehülle u.T.'!D60</f>
        <v>Polymerbitumenbahn EP4 [kg]</v>
      </c>
      <c r="J9" s="164" t="str">
        <f aca="false">'[1]Gebäudehülle u.T.'!D71</f>
        <v>Polymerbitumenbahn EP4 [kg]</v>
      </c>
      <c r="K9" s="164" t="str">
        <f aca="false">'[1]Gebäudehülle über Terrain'!D8</f>
        <v>Deckputz (Weissputz) [kg]</v>
      </c>
      <c r="L9" s="164" t="str">
        <f aca="false">'[1]Gebäudehülle über Terrain'!D16</f>
        <v>Wanddispersion [m2]</v>
      </c>
      <c r="M9" s="164" t="str">
        <f aca="false">'[1]Gebäudehülle über Terrain'!D23</f>
        <v>Wanddispersion [m2]</v>
      </c>
      <c r="N9" s="164"/>
      <c r="O9" s="164"/>
      <c r="P9" s="164" t="str">
        <f aca="false">'[1]Gebäudehülle über Terrain'!D44</f>
        <v>Deckputz (Weissputz) [kg]</v>
      </c>
      <c r="Q9" s="164"/>
      <c r="R9" s="164" t="str">
        <f aca="false">'[1]Gebäudehülle über Terrain'!D59</f>
        <v>Armierungsgewebe [kg]</v>
      </c>
      <c r="S9" s="164" t="str">
        <f aca="false">'[1]Gebäudehülle über Terrain'!D68</f>
        <v>Armierungsgewebe [kg]</v>
      </c>
      <c r="T9" s="164" t="str">
        <f aca="false">'[1]Gebäudehülle über Terrain'!D80</f>
        <v>Stahlprofile verzinkt [kg]</v>
      </c>
      <c r="U9" s="164" t="str">
        <f aca="false">'[1]Gebäudehülle über Terrain'!D90</f>
        <v>Dämmstoffdübel (3 Stk. à 40g pro m2) [kg]</v>
      </c>
      <c r="V9" s="164" t="str">
        <f aca="false">'[1]Gebäudehülle über Terrain'!D99</f>
        <v>Winpapier (PE Spinnvlies)</v>
      </c>
      <c r="W9" s="164" t="str">
        <f aca="false">'[1]Gebäudehülle über Terrain'!D109</f>
        <v>Winpapier (PE Spinnvlies) [kg]</v>
      </c>
      <c r="X9" s="164" t="str">
        <f aca="false">'[1]Gebäudehülle über Terrain'!D117</f>
        <v>Winpapier (PE Spinnvlies)</v>
      </c>
      <c r="Y9" s="164" t="str">
        <f aca="false">'[1]Gebäudehülle über Terrain'!D127</f>
        <v>Winpapier (PE Spinnvlies)</v>
      </c>
      <c r="Z9" s="164"/>
      <c r="AA9" s="164"/>
      <c r="AB9" s="164" t="str">
        <f aca="false">'[1]Gebäudehülle über Terrain'!D148</f>
        <v>Deckputz (Weissputz) [kg]</v>
      </c>
      <c r="AC9" s="164" t="str">
        <f aca="false">'[1]Gebäudehülle über Terrain'!D156</f>
        <v>Deckputz (Weissputz) [kg]</v>
      </c>
      <c r="AD9" s="164"/>
      <c r="AE9" s="164" t="str">
        <f aca="false">'[1]Gebäudehülle über Terrain'!D170</f>
        <v>Spachtel [kg]</v>
      </c>
      <c r="AF9" s="164" t="str">
        <f aca="false">'[1]Gebäudehülle über Terrain'!D178</f>
        <v>Gipskartonplatte [kg]</v>
      </c>
      <c r="AG9" s="164" t="str">
        <f aca="false">'[1]Gebäudehülle über Terrain'!D189</f>
        <v>PP-Vlies Trenn-/Schutzvlies [kg]</v>
      </c>
      <c r="AH9" s="164" t="str">
        <f aca="false">'[1]Gebäudehülle über Terrain'!D198</f>
        <v>PP-Vlies Trenn-/Schutzvlies [kg]</v>
      </c>
      <c r="AI9" s="164" t="str">
        <f aca="false">'[1]Gebäudehülle über Terrain'!D207</f>
        <v>PP-Vlies Trenn-/Schutzvlies [kg]</v>
      </c>
      <c r="AJ9" s="0" t="str">
        <f aca="false">'[1]Gebäudehülle über Terrain'!D219</f>
        <v>Substrat 7 cm [kg]</v>
      </c>
      <c r="AK9" s="0" t="str">
        <f aca="false">'[1]Gebäudehülle über Terrain'!D227</f>
        <v>Steinwolle (90 kg/m3)</v>
      </c>
      <c r="AL9" s="0" t="str">
        <f aca="false">'[1]Gebäudehülle über Terrain'!D235</f>
        <v>Glaswolle (60 kg/m3)</v>
      </c>
      <c r="AN9" s="164" t="str">
        <f aca="false">'[1]Innenbauteile &amp; Aussenbauteile'!D8</f>
        <v>Deckputz (Weissputz) [kg]</v>
      </c>
      <c r="AO9" s="164" t="str">
        <f aca="false">'[1]Innenbauteile &amp; Aussenbauteile'!D16</f>
        <v>Wanddispersion [m2]</v>
      </c>
      <c r="AP9" s="164" t="str">
        <f aca="false">'[1]Innenbauteile &amp; Aussenbauteile'!D23</f>
        <v>Wanddispersion [m2]</v>
      </c>
      <c r="AQ9" s="164" t="str">
        <f aca="false">'[1]Innenbauteile &amp; Aussenbauteile'!D33</f>
        <v>Wanddispersion [m2]</v>
      </c>
      <c r="AR9" s="164" t="str">
        <f aca="false">'[1]Innenbauteile &amp; Aussenbauteile'!D40</f>
        <v>Wanddispersion [m2]</v>
      </c>
      <c r="AS9" s="164" t="str">
        <f aca="false">'[1]Innenbauteile &amp; Aussenbauteile'!D50</f>
        <v>Deckputz (Weissputz) [kg]</v>
      </c>
      <c r="AT9" s="164" t="str">
        <f aca="false">'[1]Innenbauteile &amp; Aussenbauteile'!D58</f>
        <v>Gipskartonplatte [kg]</v>
      </c>
      <c r="AU9" s="164" t="str">
        <f aca="false">'[1]Innenbauteile &amp; Aussenbauteile'!D68</f>
        <v>Gipskartonplatte [kg]</v>
      </c>
      <c r="AV9" s="164"/>
      <c r="AW9" s="164"/>
      <c r="AX9" s="164"/>
      <c r="AY9" s="164"/>
      <c r="AZ9" s="164"/>
      <c r="BA9" s="164" t="str">
        <f aca="false">'[1]Innenbauteile &amp; Aussenbauteile'!D108</f>
        <v>Trittschall 2cm EPS</v>
      </c>
      <c r="BB9" s="164" t="str">
        <f aca="false">'[1]Innenbauteile &amp; Aussenbauteile'!D115</f>
        <v>Trittschall 2cm EPS</v>
      </c>
      <c r="BC9" s="164" t="str">
        <f aca="false">'[1]Innenbauteile &amp; Aussenbauteile'!D128</f>
        <v>XPS (Kragplattenanschluss)[kg]</v>
      </c>
      <c r="BD9" s="164"/>
      <c r="BE9" s="164"/>
      <c r="BF9" s="164"/>
      <c r="BG9" s="164"/>
      <c r="BH9" s="164"/>
      <c r="BI9" s="164"/>
      <c r="BJ9" s="164"/>
      <c r="BK9" s="164"/>
    </row>
    <row r="10" customFormat="false" ht="15" hidden="false" customHeight="false" outlineLevel="0" collapsed="false">
      <c r="B10" s="0" t="n">
        <v>0</v>
      </c>
      <c r="C10" s="0" t="n">
        <v>0</v>
      </c>
      <c r="D10" s="0" t="n">
        <v>0</v>
      </c>
      <c r="F10" s="164" t="str">
        <f aca="false">'[1]Gebäudehülle u.T.'!D31</f>
        <v>Polystyrol extrudiert, 33 kg/m3, lamdaD 0.033 W/mK, 20 cm [kg]</v>
      </c>
      <c r="G10" s="164" t="str">
        <f aca="false">'[1]Gebäudehülle u.T.'!D40</f>
        <v>Foamglas T4+, 115 kg/m3, lambdaD 0.041 W/mK, 25 cm [kg]</v>
      </c>
      <c r="H10" s="164" t="str">
        <f aca="false">'[1]Gebäudehülle u.T.'!D52</f>
        <v>Trenn-/Schutzvlies [kg]</v>
      </c>
      <c r="I10" s="164" t="str">
        <f aca="false">'[1]Gebäudehülle u.T.'!D61</f>
        <v>Polystyrol extrudiert, 33 kg/m3, lamdaD 0.033 W/mK, 20 cm [kg]</v>
      </c>
      <c r="J10" s="164" t="str">
        <f aca="false">'[1]Gebäudehülle u.T.'!D72</f>
        <v>Foamglas T4+, 115 kg/m3, lambdaD 0.041 W/mK, 25 cm [kg]</v>
      </c>
      <c r="K10" s="164" t="str">
        <f aca="false">'[1]Gebäudehülle über Terrain'!D9</f>
        <v>Wanddispersion [m2]</v>
      </c>
      <c r="L10" s="164"/>
      <c r="M10" s="164"/>
      <c r="N10" s="164"/>
      <c r="O10" s="164"/>
      <c r="P10" s="164" t="str">
        <f aca="false">'[1]Gebäudehülle über Terrain'!D45</f>
        <v>Wanddispersion [m2]</v>
      </c>
      <c r="Q10" s="164"/>
      <c r="R10" s="164" t="str">
        <f aca="false">'[1]Gebäudehülle über Terrain'!D60</f>
        <v>Mineralischer Deckputz (Kalk-Zementputz) 1.5mm [kg]</v>
      </c>
      <c r="S10" s="164" t="str">
        <f aca="false">'[1]Gebäudehülle über Terrain'!D69</f>
        <v>Mineralischer Deckputz (Kalk-Zementputz) 1.5mm [kg]</v>
      </c>
      <c r="T10" s="164" t="str">
        <f aca="false">'[1]Gebäudehülle über Terrain'!D81</f>
        <v>Dämmstoffdübel (3 Stk. à 40 g pro m2) [kg]</v>
      </c>
      <c r="U10" s="164" t="str">
        <f aca="false">'[1]Gebäudehülle über Terrain'!D91</f>
        <v>20 cm Glaswolle (38 kg/m3, 0.032 W/mK) [kg]</v>
      </c>
      <c r="V10" s="164"/>
      <c r="W10" s="164"/>
      <c r="X10" s="164"/>
      <c r="Y10" s="164"/>
      <c r="Z10" s="164"/>
      <c r="AA10" s="164"/>
      <c r="AB10" s="164" t="str">
        <f aca="false">'[1]Gebäudehülle über Terrain'!D149</f>
        <v>Wanddispersion [m2]</v>
      </c>
      <c r="AC10" s="164" t="str">
        <f aca="false">'[1]Gebäudehülle über Terrain'!D157</f>
        <v>Wanddispersion [m2]</v>
      </c>
      <c r="AD10" s="164"/>
      <c r="AE10" s="164" t="str">
        <f aca="false">'[1]Gebäudehülle über Terrain'!D171</f>
        <v>Wanddispersion [m2]</v>
      </c>
      <c r="AF10" s="164" t="str">
        <f aca="false">'[1]Gebäudehülle über Terrain'!D179</f>
        <v>Spachtel [kg]</v>
      </c>
      <c r="AG10" s="164" t="str">
        <f aca="false">'[1]Gebäudehülle über Terrain'!D190</f>
        <v>Kies 3 cm [kg]</v>
      </c>
      <c r="AH10" s="164" t="str">
        <f aca="false">'[1]Gebäudehülle über Terrain'!D199</f>
        <v>Kies 3 cm [kg]</v>
      </c>
      <c r="AI10" s="164" t="str">
        <f aca="false">'[1]Gebäudehülle über Terrain'!D208</f>
        <v>Kies 3 cm [kg]</v>
      </c>
      <c r="AK10" s="0" t="str">
        <f aca="false">'[1]Gebäudehülle über Terrain'!D228</f>
        <v>PE Dampfbremse [kg]</v>
      </c>
      <c r="AL10" s="0" t="str">
        <f aca="false">'[1]Gebäudehülle über Terrain'!D236</f>
        <v>PE Dampfbremse [kg]</v>
      </c>
      <c r="AN10" s="164" t="str">
        <f aca="false">'[1]Innenbauteile &amp; Aussenbauteile'!D9</f>
        <v>Wanddispersion [m2]</v>
      </c>
      <c r="AO10" s="164"/>
      <c r="AP10" s="164"/>
      <c r="AQ10" s="164"/>
      <c r="AR10" s="164"/>
      <c r="AS10" s="164" t="str">
        <f aca="false">'[1]Innenbauteile &amp; Aussenbauteile'!D51</f>
        <v>Wanddispersion [m2]</v>
      </c>
      <c r="AT10" s="164" t="str">
        <f aca="false">'[1]Innenbauteile &amp; Aussenbauteile'!D59</f>
        <v>Spachtel [kg]</v>
      </c>
      <c r="AU10" s="164" t="str">
        <f aca="false">'[1]Innenbauteile &amp; Aussenbauteile'!D69</f>
        <v>Spachtel [kg]</v>
      </c>
      <c r="AV10" s="164"/>
      <c r="AW10" s="164"/>
      <c r="AX10" s="164"/>
      <c r="AY10" s="164"/>
      <c r="AZ10" s="164"/>
      <c r="BA10" s="164"/>
      <c r="BB10" s="164"/>
      <c r="BC10" s="164" t="str">
        <f aca="false">'[1]Innenbauteile &amp; Aussenbauteile'!D129</f>
        <v>Harbetonüberzug [kg]</v>
      </c>
      <c r="BD10" s="164"/>
      <c r="BE10" s="164"/>
      <c r="BF10" s="164"/>
      <c r="BG10" s="164"/>
      <c r="BH10" s="164"/>
      <c r="BI10" s="164"/>
      <c r="BJ10" s="164"/>
      <c r="BK10" s="164"/>
    </row>
    <row r="11" customFormat="false" ht="15" hidden="false" customHeight="false" outlineLevel="0" collapsed="false">
      <c r="B11" s="0" t="n">
        <v>0</v>
      </c>
      <c r="C11" s="0" t="n">
        <v>0</v>
      </c>
      <c r="D11" s="0" t="n">
        <v>0</v>
      </c>
      <c r="F11" s="164" t="str">
        <f aca="false">'[1]Gebäudehülle u.T.'!D32</f>
        <v>Bitumenkleber [kg]</v>
      </c>
      <c r="G11" s="164" t="str">
        <f aca="false">'[1]Gebäudehülle u.T.'!D41</f>
        <v>Bitumenkleber [kg]</v>
      </c>
      <c r="H11" s="164" t="str">
        <f aca="false">'[1]Gebäudehülle u.T.'!D53</f>
        <v>Kies 3 cm [kg]</v>
      </c>
      <c r="I11" s="164" t="str">
        <f aca="false">'[1]Gebäudehülle u.T.'!D62</f>
        <v>2xPolymerbitumenbahn EGV3 [kg]</v>
      </c>
      <c r="J11" s="164" t="str">
        <f aca="false">'[1]Gebäudehülle u.T.'!D73</f>
        <v>Heissbitumen [kg]</v>
      </c>
      <c r="K11" s="164"/>
      <c r="L11" s="164"/>
      <c r="M11" s="164"/>
      <c r="N11" s="164"/>
      <c r="O11" s="164"/>
      <c r="P11" s="164"/>
      <c r="Q11" s="164"/>
      <c r="R11" s="164" t="str">
        <f aca="false">'[1]Gebäudehülle über Terrain'!D61</f>
        <v>Anstrich [m2]</v>
      </c>
      <c r="S11" s="164" t="str">
        <f aca="false">'[1]Gebäudehülle über Terrain'!D70</f>
        <v>Anstrich [m2]</v>
      </c>
      <c r="T11" s="164" t="str">
        <f aca="false">'[1]Gebäudehülle über Terrain'!D82</f>
        <v>20 cm Glaswolle (38 kg/m3, 0.032 W/mK) [kg]</v>
      </c>
      <c r="U11" s="164" t="str">
        <f aca="false">'[1]Gebäudehülle über Terrain'!D92</f>
        <v>Winpapier (PE Spinnvlies) [kg]</v>
      </c>
      <c r="V11" s="164"/>
      <c r="W11" s="164"/>
      <c r="X11" s="164"/>
      <c r="Y11" s="164"/>
      <c r="Z11" s="164"/>
      <c r="AA11" s="164"/>
      <c r="AB11" s="164"/>
      <c r="AC11" s="164"/>
      <c r="AF11" s="164" t="str">
        <f aca="false">'[1]Gebäudehülle über Terrain'!D180</f>
        <v>Wanddispersion [m2]</v>
      </c>
      <c r="AG11" s="164" t="str">
        <f aca="false">'[1]Gebäudehülle über Terrain'!D191</f>
        <v>Substrat 7 cm [kg]</v>
      </c>
      <c r="AH11" s="164" t="str">
        <f aca="false">'[1]Gebäudehülle über Terrain'!D200</f>
        <v>Substrat 7 cm [kg]</v>
      </c>
      <c r="AI11" s="164" t="str">
        <f aca="false">'[1]Gebäudehülle über Terrain'!D209</f>
        <v>Substrat 7cm [kg]</v>
      </c>
      <c r="AJ11" s="164"/>
      <c r="AM11" s="164"/>
      <c r="AN11" s="164"/>
      <c r="AO11" s="164"/>
      <c r="AP11" s="164"/>
      <c r="AQ11" s="164"/>
      <c r="AT11" s="164" t="str">
        <f aca="false">'[1]Innenbauteile &amp; Aussenbauteile'!D60</f>
        <v>Wanddispersion [m2]</v>
      </c>
      <c r="AU11" s="164" t="str">
        <f aca="false">'[1]Innenbauteile &amp; Aussenbauteile'!D70</f>
        <v>Wanddispersion [m2]</v>
      </c>
      <c r="AV11" s="164"/>
      <c r="AW11" s="164"/>
      <c r="AX11" s="164"/>
      <c r="AY11" s="164"/>
      <c r="AZ11" s="164"/>
      <c r="BA11" s="164"/>
      <c r="BB11" s="164"/>
      <c r="BC11" s="164" t="str">
        <f aca="false">'[1]Innenbauteile &amp; Aussenbauteile'!D130</f>
        <v>Metallstabgeländer [kg]</v>
      </c>
      <c r="BD11" s="164"/>
      <c r="BE11" s="164"/>
      <c r="BF11" s="164"/>
      <c r="BG11" s="164"/>
      <c r="BH11" s="164"/>
      <c r="BI11" s="164"/>
      <c r="BJ11" s="164"/>
      <c r="BK11" s="164"/>
    </row>
    <row r="12" customFormat="false" ht="15" hidden="false" customHeight="false" outlineLevel="0" collapsed="false">
      <c r="B12" s="0" t="n">
        <v>0</v>
      </c>
      <c r="C12" s="0" t="n">
        <v>0</v>
      </c>
      <c r="D12" s="0" t="n">
        <v>0</v>
      </c>
      <c r="I12" s="164" t="str">
        <f aca="false">'[1]Gebäudehülle u.T.'!D63</f>
        <v>Trenn-/Schutzvlies [kg]</v>
      </c>
      <c r="J12" s="164" t="str">
        <f aca="false">'[1]Gebäudehülle u.T.'!D74</f>
        <v>2xPolymerbitumenbahn EGV3 [kg]</v>
      </c>
      <c r="K12" s="164"/>
      <c r="L12" s="164"/>
      <c r="M12" s="164"/>
      <c r="N12" s="164"/>
      <c r="O12" s="164"/>
      <c r="P12" s="164"/>
      <c r="Q12" s="164"/>
      <c r="R12" s="164"/>
      <c r="T12" s="164" t="str">
        <f aca="false">'[1]Gebäudehülle über Terrain'!D83</f>
        <v>Winpapier (PE Spinnvlies) [kg]</v>
      </c>
      <c r="U12" s="164"/>
      <c r="V12" s="164"/>
      <c r="W12" s="164"/>
      <c r="X12" s="164"/>
      <c r="Y12" s="164"/>
      <c r="Z12" s="164"/>
      <c r="AA12" s="164"/>
      <c r="AB12" s="164"/>
    </row>
    <row r="13" customFormat="false" ht="15" hidden="false" customHeight="false" outlineLevel="0" collapsed="false">
      <c r="B13" s="0" t="n">
        <v>0</v>
      </c>
      <c r="C13" s="0" t="n">
        <v>0</v>
      </c>
      <c r="D13" s="0" t="n">
        <v>0</v>
      </c>
      <c r="I13" s="164" t="str">
        <f aca="false">'[1]Gebäudehülle u.T.'!D64</f>
        <v>Kies 3 cm [kg]</v>
      </c>
      <c r="J13" s="164" t="str">
        <f aca="false">'[1]Gebäudehülle u.T.'!D75</f>
        <v>Trenn-/Schutzvlies [kg]</v>
      </c>
      <c r="K13" s="164"/>
      <c r="L13" s="164"/>
      <c r="M13" s="164"/>
      <c r="N13" s="164"/>
      <c r="O13" s="164"/>
      <c r="P13" s="164"/>
      <c r="Q13" s="164"/>
      <c r="R13" s="164"/>
    </row>
    <row r="14" customFormat="false" ht="15" hidden="false" customHeight="false" outlineLevel="0" collapsed="false">
      <c r="B14" s="0" t="n">
        <v>0</v>
      </c>
      <c r="C14" s="0" t="n">
        <v>0</v>
      </c>
      <c r="D14" s="0" t="n">
        <v>0</v>
      </c>
      <c r="H14" s="163"/>
      <c r="I14" s="163"/>
      <c r="J14" s="164" t="str">
        <f aca="false">'[1]Gebäudehülle u.T.'!D76</f>
        <v>Kies 3 cm [kg]</v>
      </c>
      <c r="K14" s="164"/>
      <c r="L14" s="164"/>
      <c r="M14" s="164"/>
      <c r="N14" s="164"/>
      <c r="O14" s="164"/>
      <c r="P14" s="164"/>
      <c r="Q14" s="164"/>
      <c r="R14" s="164"/>
    </row>
    <row r="17" customFormat="false" ht="15" hidden="false" customHeight="false" outlineLevel="0" collapsed="false">
      <c r="B17" s="41"/>
    </row>
    <row r="18" customFormat="false" ht="15" hidden="false" customHeight="false" outlineLevel="0" collapsed="false">
      <c r="D18" s="97"/>
      <c r="E18" s="97"/>
      <c r="F18" s="97"/>
      <c r="H18" s="73"/>
      <c r="I18" s="73"/>
      <c r="J18" s="73"/>
      <c r="K18" s="73"/>
      <c r="L18" s="73"/>
      <c r="M18" s="73"/>
      <c r="N18" s="73"/>
      <c r="O18" s="73"/>
      <c r="P18" s="73"/>
      <c r="Q18" s="73"/>
    </row>
  </sheetData>
  <mergeCells count="2">
    <mergeCell ref="D18:F18"/>
    <mergeCell ref="H18:Q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B1:B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0.921875" defaultRowHeight="15" zeroHeight="false" outlineLevelRow="0" outlineLevelCol="0"/>
  <cols>
    <col collapsed="false" customWidth="true" hidden="false" outlineLevel="0" max="3" min="2" style="0" width="8.4"/>
    <col collapsed="false" customWidth="true" hidden="false" outlineLevel="0" max="4" min="4" style="0" width="11.99"/>
    <col collapsed="false" customWidth="true" hidden="false" outlineLevel="0" max="5" min="5" style="0" width="7.15"/>
    <col collapsed="false" customWidth="true" hidden="false" outlineLevel="0" max="6" min="6" style="0" width="10.42"/>
    <col collapsed="false" customWidth="true" hidden="false" outlineLevel="0" max="7" min="7" style="0" width="8"/>
    <col collapsed="false" customWidth="true" hidden="false" outlineLevel="0" max="8" min="8" style="0" width="9"/>
    <col collapsed="false" customWidth="true" hidden="false" outlineLevel="0" max="9" min="9" style="0" width="14.86"/>
    <col collapsed="false" customWidth="true" hidden="false" outlineLevel="0" max="10" min="10" style="0" width="18.12"/>
    <col collapsed="false" customWidth="true" hidden="false" outlineLevel="0" max="11" min="11" style="0" width="13.43"/>
    <col collapsed="false" customWidth="true" hidden="false" outlineLevel="0" max="12" min="12" style="0" width="8.86"/>
    <col collapsed="false" customWidth="true" hidden="false" outlineLevel="0" max="13" min="13" style="0" width="8.14"/>
    <col collapsed="false" customWidth="true" hidden="false" outlineLevel="0" max="14" min="14" style="0" width="7.41"/>
    <col collapsed="false" customWidth="true" hidden="false" outlineLevel="0" max="15" min="15" style="0" width="8"/>
    <col collapsed="false" customWidth="true" hidden="false" outlineLevel="0" max="16" min="16" style="0" width="7.87"/>
    <col collapsed="false" customWidth="true" hidden="false" outlineLevel="0" max="17" min="17" style="0" width="7.41"/>
    <col collapsed="false" customWidth="true" hidden="false" outlineLevel="0" max="18" min="18" style="0" width="8.4"/>
    <col collapsed="false" customWidth="true" hidden="false" outlineLevel="0" max="23" min="19" style="0" width="7.41"/>
    <col collapsed="false" customWidth="true" hidden="false" outlineLevel="0" max="24" min="24" style="0" width="8.14"/>
    <col collapsed="false" customWidth="true" hidden="false" outlineLevel="0" max="25" min="25" style="0" width="7.41"/>
    <col collapsed="false" customWidth="true" hidden="false" outlineLevel="0" max="26" min="26" style="0" width="7.87"/>
    <col collapsed="false" customWidth="true" hidden="false" outlineLevel="0" max="27" min="27" style="0" width="7.41"/>
    <col collapsed="false" customWidth="true" hidden="false" outlineLevel="0" max="28" min="28" style="0" width="8.4"/>
    <col collapsed="false" customWidth="true" hidden="false" outlineLevel="0" max="29" min="29" style="0" width="8.14"/>
    <col collapsed="false" customWidth="true" hidden="false" outlineLevel="0" max="30" min="30" style="0" width="7.87"/>
    <col collapsed="false" customWidth="true" hidden="false" outlineLevel="0" max="31" min="31" style="0" width="7.41"/>
    <col collapsed="false" customWidth="true" hidden="false" outlineLevel="0" max="32" min="32" style="0" width="8.4"/>
    <col collapsed="false" customWidth="true" hidden="false" outlineLevel="0" max="33" min="33" style="0" width="7.41"/>
    <col collapsed="false" customWidth="true" hidden="false" outlineLevel="0" max="36" min="36" style="0" width="7.87"/>
    <col collapsed="false" customWidth="true" hidden="false" outlineLevel="0" max="37" min="37" style="0" width="8.4"/>
    <col collapsed="false" customWidth="true" hidden="false" outlineLevel="0" max="40" min="38" style="0" width="7.87"/>
    <col collapsed="false" customWidth="true" hidden="false" outlineLevel="0" max="41" min="41" style="0" width="7.41"/>
    <col collapsed="false" customWidth="true" hidden="false" outlineLevel="0" max="42" min="42" style="0" width="8.4"/>
    <col collapsed="false" customWidth="true" hidden="false" outlineLevel="0" max="43" min="43" style="0" width="8"/>
    <col collapsed="false" customWidth="true" hidden="false" outlineLevel="0" max="44" min="44" style="0" width="8.4"/>
    <col collapsed="false" customWidth="true" hidden="false" outlineLevel="0" max="45" min="45" style="0" width="8.14"/>
    <col collapsed="false" customWidth="true" hidden="false" outlineLevel="0" max="46" min="46" style="0" width="8.4"/>
    <col collapsed="false" customWidth="true" hidden="false" outlineLevel="0" max="48" min="47" style="0" width="7.41"/>
    <col collapsed="false" customWidth="true" hidden="false" outlineLevel="0" max="50" min="49" style="0" width="8"/>
    <col collapsed="false" customWidth="true" hidden="false" outlineLevel="0" max="52" min="51" style="0" width="7.87"/>
    <col collapsed="false" customWidth="true" hidden="false" outlineLevel="0" max="53" min="53" style="0" width="8.4"/>
    <col collapsed="false" customWidth="true" hidden="false" outlineLevel="0" max="54" min="54" style="0" width="9.42"/>
    <col collapsed="false" customWidth="true" hidden="false" outlineLevel="0" max="55" min="55" style="0" width="7.41"/>
  </cols>
  <sheetData>
    <row r="1" customFormat="false" ht="15" hidden="false" customHeight="false" outlineLevel="0" collapsed="false">
      <c r="H1" s="0" t="s">
        <v>131</v>
      </c>
      <c r="K1" s="0" t="s">
        <v>259</v>
      </c>
    </row>
    <row r="2" customFormat="false" ht="15" hidden="false" customHeight="false" outlineLevel="0" collapsed="false">
      <c r="I2" s="162"/>
      <c r="J2" s="162"/>
    </row>
    <row r="3" customFormat="false" ht="15" hidden="false" customHeight="false" outlineLevel="0" collapsed="false">
      <c r="B3" s="0" t="s">
        <v>63</v>
      </c>
      <c r="C3" s="162" t="s">
        <v>442</v>
      </c>
      <c r="D3" s="162" t="s">
        <v>63</v>
      </c>
      <c r="E3" s="162" t="s">
        <v>443</v>
      </c>
      <c r="F3" s="162" t="s">
        <v>444</v>
      </c>
      <c r="G3" s="162" t="s">
        <v>68</v>
      </c>
      <c r="H3" s="0" t="s">
        <v>445</v>
      </c>
      <c r="I3" s="0" t="s">
        <v>73</v>
      </c>
      <c r="J3" s="0" t="s">
        <v>73</v>
      </c>
      <c r="K3" s="162" t="s">
        <v>446</v>
      </c>
      <c r="L3" s="162" t="s">
        <v>447</v>
      </c>
      <c r="M3" s="162" t="s">
        <v>448</v>
      </c>
      <c r="N3" s="162" t="s">
        <v>80</v>
      </c>
      <c r="O3" s="162" t="s">
        <v>449</v>
      </c>
      <c r="P3" s="162" t="s">
        <v>80</v>
      </c>
      <c r="Q3" s="162" t="s">
        <v>450</v>
      </c>
      <c r="R3" s="162" t="s">
        <v>450</v>
      </c>
      <c r="S3" s="162" t="s">
        <v>451</v>
      </c>
      <c r="T3" s="162" t="s">
        <v>452</v>
      </c>
      <c r="U3" s="162" t="s">
        <v>450</v>
      </c>
      <c r="V3" s="162" t="s">
        <v>450</v>
      </c>
      <c r="W3" s="162" t="s">
        <v>450</v>
      </c>
      <c r="X3" s="162" t="s">
        <v>450</v>
      </c>
      <c r="Y3" s="162" t="s">
        <v>453</v>
      </c>
      <c r="Z3" s="162" t="s">
        <v>450</v>
      </c>
      <c r="AA3" s="0" t="s">
        <v>97</v>
      </c>
      <c r="AB3" s="162" t="s">
        <v>454</v>
      </c>
      <c r="AC3" s="162" t="s">
        <v>455</v>
      </c>
      <c r="AD3" s="162" t="s">
        <v>83</v>
      </c>
      <c r="AE3" s="162" t="s">
        <v>456</v>
      </c>
      <c r="AF3" s="162" t="s">
        <v>457</v>
      </c>
      <c r="AG3" s="162" t="s">
        <v>458</v>
      </c>
      <c r="AH3" s="162" t="s">
        <v>459</v>
      </c>
      <c r="AI3" s="162" t="s">
        <v>459</v>
      </c>
      <c r="AJ3" s="162" t="s">
        <v>459</v>
      </c>
      <c r="AK3" s="162" t="s">
        <v>459</v>
      </c>
      <c r="AL3" s="162" t="s">
        <v>460</v>
      </c>
      <c r="AM3" s="162" t="s">
        <v>459</v>
      </c>
      <c r="AN3" s="162" t="s">
        <v>461</v>
      </c>
      <c r="AO3" s="162" t="s">
        <v>462</v>
      </c>
      <c r="AP3" s="162" t="s">
        <v>92</v>
      </c>
      <c r="AQ3" s="162" t="s">
        <v>463</v>
      </c>
      <c r="AR3" s="162" t="s">
        <v>92</v>
      </c>
      <c r="AS3" s="162" t="s">
        <v>464</v>
      </c>
      <c r="AT3" s="162" t="s">
        <v>465</v>
      </c>
      <c r="AU3" s="162" t="s">
        <v>466</v>
      </c>
      <c r="AV3" s="162" t="s">
        <v>467</v>
      </c>
      <c r="AW3" s="162" t="s">
        <v>468</v>
      </c>
      <c r="AX3" s="162" t="s">
        <v>469</v>
      </c>
      <c r="AY3" s="162" t="s">
        <v>293</v>
      </c>
      <c r="AZ3" s="162" t="s">
        <v>293</v>
      </c>
      <c r="BA3" s="162" t="s">
        <v>470</v>
      </c>
      <c r="BB3" s="162" t="s">
        <v>471</v>
      </c>
      <c r="BC3" s="0" t="s">
        <v>99</v>
      </c>
    </row>
    <row r="4" customFormat="false" ht="15" hidden="false" customHeight="false" outlineLevel="0" collapsed="false">
      <c r="B4" s="0" t="s">
        <v>328</v>
      </c>
      <c r="C4" s="51" t="s">
        <v>134</v>
      </c>
      <c r="D4" s="51" t="s">
        <v>178</v>
      </c>
      <c r="E4" s="163" t="s">
        <v>133</v>
      </c>
      <c r="F4" s="0" t="s">
        <v>141</v>
      </c>
      <c r="G4" s="0" t="s">
        <v>179</v>
      </c>
      <c r="H4" s="0" t="s">
        <v>135</v>
      </c>
      <c r="I4" s="0" t="s">
        <v>182</v>
      </c>
      <c r="J4" s="0" t="s">
        <v>183</v>
      </c>
      <c r="K4" s="0" t="s">
        <v>165</v>
      </c>
      <c r="L4" s="0" t="s">
        <v>166</v>
      </c>
      <c r="M4" s="0" t="s">
        <v>145</v>
      </c>
      <c r="N4" s="0" t="s">
        <v>217</v>
      </c>
      <c r="O4" s="0" t="s">
        <v>151</v>
      </c>
      <c r="P4" s="0" t="s">
        <v>218</v>
      </c>
      <c r="Q4" s="0" t="s">
        <v>219</v>
      </c>
      <c r="R4" s="0" t="s">
        <v>188</v>
      </c>
      <c r="S4" s="0" t="s">
        <v>139</v>
      </c>
      <c r="T4" s="0" t="s">
        <v>146</v>
      </c>
      <c r="U4" s="0" t="s">
        <v>189</v>
      </c>
      <c r="V4" s="0" t="s">
        <v>190</v>
      </c>
      <c r="W4" s="0" t="s">
        <v>191</v>
      </c>
      <c r="X4" s="0" t="s">
        <v>192</v>
      </c>
      <c r="Y4" s="0" t="s">
        <v>193</v>
      </c>
      <c r="Z4" s="0" t="s">
        <v>152</v>
      </c>
      <c r="AA4" s="0" t="s">
        <v>138</v>
      </c>
      <c r="AB4" s="0" t="s">
        <v>167</v>
      </c>
      <c r="AC4" s="0" t="s">
        <v>200</v>
      </c>
      <c r="AD4" s="0" t="s">
        <v>150</v>
      </c>
      <c r="AE4" s="0" t="s">
        <v>143</v>
      </c>
      <c r="AF4" s="0" t="s">
        <v>169</v>
      </c>
      <c r="AG4" s="0" t="s">
        <v>144</v>
      </c>
      <c r="AH4" s="0" t="s">
        <v>195</v>
      </c>
      <c r="AI4" s="0" t="s">
        <v>203</v>
      </c>
      <c r="AJ4" s="0" t="s">
        <v>340</v>
      </c>
      <c r="AK4" s="0" t="s">
        <v>196</v>
      </c>
      <c r="AL4" s="0" t="s">
        <v>170</v>
      </c>
      <c r="AM4" s="0" t="s">
        <v>341</v>
      </c>
      <c r="AN4" s="0" t="s">
        <v>168</v>
      </c>
      <c r="AO4" s="0" t="s">
        <v>171</v>
      </c>
      <c r="AP4" s="0" t="s">
        <v>180</v>
      </c>
      <c r="AQ4" s="0" t="s">
        <v>147</v>
      </c>
      <c r="AR4" s="0" t="s">
        <v>181</v>
      </c>
      <c r="AS4" s="0" t="s">
        <v>136</v>
      </c>
      <c r="AT4" s="0" t="s">
        <v>142</v>
      </c>
      <c r="AU4" s="0" t="s">
        <v>149</v>
      </c>
      <c r="AV4" s="0" t="s">
        <v>155</v>
      </c>
      <c r="AW4" s="0" t="s">
        <v>148</v>
      </c>
      <c r="AX4" s="0" t="s">
        <v>154</v>
      </c>
      <c r="AY4" s="0" t="s">
        <v>186</v>
      </c>
      <c r="AZ4" s="0" t="s">
        <v>187</v>
      </c>
      <c r="BA4" s="0" t="s">
        <v>159</v>
      </c>
      <c r="BB4" s="0" t="s">
        <v>160</v>
      </c>
      <c r="BC4" s="0" t="s">
        <v>137</v>
      </c>
    </row>
    <row r="5" customFormat="false" ht="15" hidden="false" customHeight="false" outlineLevel="0" collapsed="false">
      <c r="B5" s="165" t="str">
        <f aca="false">'[1]Gebäudehülle u.T.'!G4</f>
        <v>C1.5</v>
      </c>
      <c r="C5" s="165" t="str">
        <f aca="false">'[1]Gebäudehülle u.T.'!G9</f>
        <v>C1.5</v>
      </c>
      <c r="D5" s="165" t="str">
        <f aca="false">'[1]Gebäudehülle u.T.'!G9</f>
        <v>C1.5</v>
      </c>
      <c r="E5" s="165" t="str">
        <f aca="false">'[1]Gebäudehülle u.T.'!G23</f>
        <v>C2.1</v>
      </c>
      <c r="F5" s="165" t="str">
        <f aca="false">'[1]Gebäudehülle u.T.'!G23</f>
        <v>C2.1</v>
      </c>
      <c r="G5" s="165" t="str">
        <f aca="false">'[1]Gebäudehülle u.T.'!G35</f>
        <v>C2.1</v>
      </c>
      <c r="H5" s="165" t="str">
        <f aca="false">'[1]Gebäudehülle u.T.'!G47</f>
        <v>C4.4</v>
      </c>
      <c r="I5" s="165" t="str">
        <f aca="false">'[1]Gebäudehülle u.T.'!G56</f>
        <v>C4.4</v>
      </c>
      <c r="J5" s="165" t="str">
        <f aca="false">'[1]Gebäudehülle u.T.'!G67</f>
        <v>C4.4</v>
      </c>
      <c r="K5" s="165" t="str">
        <f aca="false">'[1]Gebäudehülle über Terrain'!G4</f>
        <v>C2.1</v>
      </c>
      <c r="L5" s="165" t="str">
        <f aca="false">'[1]Gebäudehülle über Terrain'!G12</f>
        <v>C2.1</v>
      </c>
      <c r="M5" s="165" t="str">
        <f aca="false">'[1]Gebäudehülle über Terrain'!G19</f>
        <v>C2.1</v>
      </c>
      <c r="N5" s="165" t="str">
        <f aca="false">'[1]Gebäudehülle über Terrain'!G27</f>
        <v>C3.1</v>
      </c>
      <c r="O5" s="165" t="str">
        <f aca="false">'[1]Gebäudehülle über Terrain'!G32</f>
        <v>C3.1</v>
      </c>
      <c r="P5" s="165" t="str">
        <f aca="false">'[1]Gebäudehülle über Terrain'!G40</f>
        <v>C2.1</v>
      </c>
      <c r="Q5" s="165" t="str">
        <f aca="false">'[1]Gebäudehülle über Terrain'!G50</f>
        <v>E2.1</v>
      </c>
      <c r="R5" s="165" t="str">
        <f aca="false">'[1]Gebäudehülle über Terrain'!G55</f>
        <v>E2.1</v>
      </c>
      <c r="S5" s="165" t="str">
        <f aca="false">'[1]Gebäudehülle über Terrain'!G64</f>
        <v>E2.1</v>
      </c>
      <c r="T5" s="165" t="str">
        <f aca="false">'[1]Gebäudehülle über Terrain'!G76</f>
        <v>E2.3</v>
      </c>
      <c r="U5" s="165" t="str">
        <f aca="false">'[1]Gebäudehülle über Terrain'!G86</f>
        <v>E2.3</v>
      </c>
      <c r="V5" s="165" t="str">
        <f aca="false">'[1]Gebäudehülle über Terrain'!G95</f>
        <v>E2.3</v>
      </c>
      <c r="W5" s="165" t="str">
        <f aca="false">'[1]Gebäudehülle über Terrain'!G105</f>
        <v>E2.3</v>
      </c>
      <c r="X5" s="165" t="str">
        <f aca="false">'[1]Gebäudehülle über Terrain'!G113</f>
        <v>E2.3</v>
      </c>
      <c r="Y5" s="165" t="str">
        <f aca="false">'[1]Gebäudehülle über Terrain'!G123</f>
        <v>E2.3</v>
      </c>
      <c r="Z5" s="165" t="str">
        <f aca="false">'[1]Gebäudehülle über Terrain'!G130</f>
        <v>E2.4</v>
      </c>
      <c r="AA5" s="165" t="str">
        <f aca="false">'[1]Gebäudehülle über Terrain'!G137</f>
        <v>E3.1</v>
      </c>
      <c r="AB5" s="165" t="str">
        <f aca="false">'[1]Gebäudehülle über Terrain'!G144</f>
        <v>C4.4</v>
      </c>
      <c r="AC5" s="165" t="str">
        <f aca="false">'[1]Gebäudehülle über Terrain'!G152</f>
        <v>C4.4</v>
      </c>
      <c r="AD5" s="165" t="str">
        <f aca="false">'[1]Gebäudehülle über Terrain'!G160</f>
        <v>C4.4</v>
      </c>
      <c r="AE5" s="165" t="str">
        <f aca="false">'[1]Gebäudehülle über Terrain'!G166</f>
        <v>C4.4</v>
      </c>
      <c r="AF5" s="165" t="str">
        <f aca="false">'[1]Gebäudehülle über Terrain'!G174</f>
        <v>C4.4</v>
      </c>
      <c r="AG5" s="165" t="str">
        <f aca="false">'[1]Gebäudehülle über Terrain'!G185</f>
        <v>F1.2</v>
      </c>
      <c r="AH5" s="165" t="str">
        <f aca="false">'[1]Gebäudehülle über Terrain'!G194</f>
        <v>F1.2</v>
      </c>
      <c r="AI5" s="165" t="str">
        <f aca="false">'[1]Gebäudehülle über Terrain'!G203</f>
        <v>F1.2</v>
      </c>
      <c r="AJ5" s="86" t="str">
        <f aca="false">'[1]Gebäudehülle über Terrain'!G215</f>
        <v>F1.2</v>
      </c>
      <c r="AK5" s="86" t="str">
        <f aca="false">'[1]Gebäudehülle über Terrain'!G223</f>
        <v>F1.3</v>
      </c>
      <c r="AL5" s="86" t="str">
        <f aca="false">'[1]Gebäudehülle über Terrain'!G231</f>
        <v>F1.3</v>
      </c>
      <c r="AM5" s="86" t="str">
        <f aca="false">'[1]Gebäudehülle über Terrain'!G242</f>
        <v>F1.3</v>
      </c>
      <c r="AN5" s="165" t="str">
        <f aca="false">'[1]Innenbauteile &amp; Aussenbauteile'!G4</f>
        <v>C2.2</v>
      </c>
      <c r="AO5" s="165" t="str">
        <f aca="false">'[1]Innenbauteile &amp; Aussenbauteile'!G12</f>
        <v>C2.2</v>
      </c>
      <c r="AP5" s="165" t="str">
        <f aca="false">'[1]Innenbauteile &amp; Aussenbauteile'!G19</f>
        <v>C2.2</v>
      </c>
      <c r="AQ5" s="165" t="str">
        <f aca="false">'[1]Innenbauteile &amp; Aussenbauteile'!G29</f>
        <v>C2.2</v>
      </c>
      <c r="AR5" s="165" t="str">
        <f aca="false">'[1]Innenbauteile &amp; Aussenbauteile'!G36</f>
        <v>C2.2</v>
      </c>
      <c r="AS5" s="165" t="str">
        <f aca="false">'[1]Innenbauteile &amp; Aussenbauteile'!G46</f>
        <v>C4.1</v>
      </c>
      <c r="AT5" s="165" t="str">
        <f aca="false">'[1]Innenbauteile &amp; Aussenbauteile'!G54</f>
        <v>C4.1</v>
      </c>
      <c r="AU5" s="165" t="str">
        <f aca="false">'[1]Innenbauteile &amp; Aussenbauteile'!G64</f>
        <v>C4.1</v>
      </c>
      <c r="AV5" s="165" t="str">
        <f aca="false">'[1]Innenbauteile &amp; Aussenbauteile'!G73</f>
        <v>G4.1</v>
      </c>
      <c r="AW5" s="165" t="str">
        <f aca="false">'[1]Innenbauteile &amp; Aussenbauteile'!G77</f>
        <v>G4.1</v>
      </c>
      <c r="AX5" s="165" t="str">
        <f aca="false">'[1]Innenbauteile &amp; Aussenbauteile'!G83</f>
        <v>G4.2</v>
      </c>
      <c r="AY5" s="165" t="str">
        <f aca="false">'[1]Innenbauteile &amp; Aussenbauteile'!G93</f>
        <v>G2.2</v>
      </c>
      <c r="AZ5" s="165" t="str">
        <f aca="false">'[1]Innenbauteile &amp; Aussenbauteile'!G97</f>
        <v>G2.2</v>
      </c>
      <c r="BA5" s="165" t="str">
        <f aca="false">'[1]Innenbauteile &amp; Aussenbauteile'!G104</f>
        <v>G2.2</v>
      </c>
      <c r="BB5" s="165" t="str">
        <f aca="false">'[1]Innenbauteile &amp; Aussenbauteile'!G111</f>
        <v>G2.2</v>
      </c>
      <c r="BC5" s="165" t="str">
        <f aca="false">'[1]Innenbauteile &amp; Aussenbauteile'!G124</f>
        <v>C4.3</v>
      </c>
      <c r="BD5" s="164"/>
      <c r="BE5" s="164"/>
      <c r="BF5" s="164"/>
      <c r="BG5" s="164"/>
      <c r="BH5" s="164"/>
      <c r="BI5" s="164"/>
      <c r="BJ5" s="164"/>
      <c r="BK5" s="164"/>
    </row>
    <row r="6" customFormat="false" ht="15" hidden="false" customHeight="false" outlineLevel="0" collapsed="false">
      <c r="B6" s="165" t="str">
        <f aca="false">'[1]Gebäudehülle u.T.'!G5</f>
        <v>C1.5</v>
      </c>
      <c r="C6" s="165" t="str">
        <f aca="false">'[1]Gebäudehülle u.T.'!G10</f>
        <v>C1.5</v>
      </c>
      <c r="D6" s="165" t="str">
        <f aca="false">'[1]Gebäudehülle u.T.'!G10</f>
        <v>C1.5</v>
      </c>
      <c r="E6" s="165" t="str">
        <f aca="false">'[1]Gebäudehülle u.T.'!G24</f>
        <v>C2.1</v>
      </c>
      <c r="F6" s="165" t="str">
        <f aca="false">'[1]Gebäudehülle u.T.'!G24</f>
        <v>C2.1</v>
      </c>
      <c r="G6" s="165" t="str">
        <f aca="false">'[1]Gebäudehülle u.T.'!G36</f>
        <v>C2.1</v>
      </c>
      <c r="H6" s="165" t="str">
        <f aca="false">'[1]Gebäudehülle u.T.'!G48</f>
        <v>C4.4</v>
      </c>
      <c r="I6" s="165" t="str">
        <f aca="false">'[1]Gebäudehülle u.T.'!G57</f>
        <v>C4.4</v>
      </c>
      <c r="J6" s="165" t="str">
        <f aca="false">'[1]Gebäudehülle u.T.'!G68</f>
        <v>C4.4</v>
      </c>
      <c r="K6" s="165" t="str">
        <f aca="false">'[1]Gebäudehülle über Terrain'!G5</f>
        <v>C2.1</v>
      </c>
      <c r="L6" s="165" t="str">
        <f aca="false">'[1]Gebäudehülle über Terrain'!G13</f>
        <v>C2.1</v>
      </c>
      <c r="M6" s="165" t="str">
        <f aca="false">'[1]Gebäudehülle über Terrain'!G20</f>
        <v>G3.1</v>
      </c>
      <c r="N6" s="165" t="str">
        <f aca="false">'[1]Gebäudehülle über Terrain'!G28</f>
        <v>C3.1</v>
      </c>
      <c r="O6" s="165" t="str">
        <f aca="false">'[1]Gebäudehülle über Terrain'!G33</f>
        <v>C3.1</v>
      </c>
      <c r="P6" s="165" t="str">
        <f aca="false">'[1]Gebäudehülle über Terrain'!G41</f>
        <v>C2.1</v>
      </c>
      <c r="Q6" s="165" t="str">
        <f aca="false">'[1]Gebäudehülle über Terrain'!G51</f>
        <v>E2.1</v>
      </c>
      <c r="R6" s="165" t="str">
        <f aca="false">'[1]Gebäudehülle über Terrain'!G56</f>
        <v>E2.2</v>
      </c>
      <c r="S6" s="165" t="str">
        <f aca="false">'[1]Gebäudehülle über Terrain'!G65</f>
        <v>E2.2</v>
      </c>
      <c r="T6" s="165" t="str">
        <f aca="false">'[1]Gebäudehülle über Terrain'!G77</f>
        <v>E2.1</v>
      </c>
      <c r="U6" s="165" t="str">
        <f aca="false">'[1]Gebäudehülle über Terrain'!G87</f>
        <v>E2.4</v>
      </c>
      <c r="V6" s="165" t="str">
        <f aca="false">'[1]Gebäudehülle über Terrain'!G96</f>
        <v>E2.4</v>
      </c>
      <c r="W6" s="165" t="str">
        <f aca="false">'[1]Gebäudehülle über Terrain'!G106</f>
        <v>E2.4</v>
      </c>
      <c r="X6" s="165" t="str">
        <f aca="false">'[1]Gebäudehülle über Terrain'!G114</f>
        <v>E2.4</v>
      </c>
      <c r="Y6" s="165" t="str">
        <f aca="false">'[1]Gebäudehülle über Terrain'!G124</f>
        <v>E2.4</v>
      </c>
      <c r="Z6" s="165" t="str">
        <f aca="false">'[1]Gebäudehülle über Terrain'!G131</f>
        <v>E3.3</v>
      </c>
      <c r="AA6" s="165" t="str">
        <f aca="false">'[1]Gebäudehülle über Terrain'!G138</f>
        <v>E3.1</v>
      </c>
      <c r="AB6" s="165" t="str">
        <f aca="false">'[1]Gebäudehülle über Terrain'!G145</f>
        <v>C4.4</v>
      </c>
      <c r="AC6" s="165" t="str">
        <f aca="false">'[1]Gebäudehülle über Terrain'!G153</f>
        <v>C4.4</v>
      </c>
      <c r="AD6" s="165" t="str">
        <f aca="false">'[1]Gebäudehülle über Terrain'!G161</f>
        <v>C4.4</v>
      </c>
      <c r="AE6" s="165" t="str">
        <f aca="false">'[1]Gebäudehülle über Terrain'!G167</f>
        <v>C4.4</v>
      </c>
      <c r="AF6" s="165" t="str">
        <f aca="false">'[1]Gebäudehülle über Terrain'!G175</f>
        <v>C4.4</v>
      </c>
      <c r="AG6" s="165" t="str">
        <f aca="false">'[1]Gebäudehülle über Terrain'!G186</f>
        <v>F1.2</v>
      </c>
      <c r="AH6" s="165" t="str">
        <f aca="false">'[1]Gebäudehülle über Terrain'!G195</f>
        <v>F1.2</v>
      </c>
      <c r="AI6" s="165" t="str">
        <f aca="false">'[1]Gebäudehülle über Terrain'!G204</f>
        <v>F1.2</v>
      </c>
      <c r="AJ6" s="86" t="str">
        <f aca="false">'[1]Gebäudehülle über Terrain'!G216</f>
        <v>F1.2</v>
      </c>
      <c r="AK6" s="86" t="str">
        <f aca="false">'[1]Gebäudehülle über Terrain'!G224</f>
        <v>F1.3</v>
      </c>
      <c r="AL6" s="86" t="str">
        <f aca="false">'[1]Gebäudehülle über Terrain'!G232</f>
        <v>F1.3</v>
      </c>
      <c r="AM6" s="86" t="str">
        <f aca="false">'[1]Gebäudehülle über Terrain'!G243</f>
        <v>F1.3</v>
      </c>
      <c r="AN6" s="165" t="str">
        <f aca="false">'[1]Innenbauteile &amp; Aussenbauteile'!G5</f>
        <v>C2.2</v>
      </c>
      <c r="AO6" s="165" t="str">
        <f aca="false">'[1]Innenbauteile &amp; Aussenbauteile'!G13</f>
        <v>C2.2</v>
      </c>
      <c r="AP6" s="165" t="str">
        <f aca="false">'[1]Innenbauteile &amp; Aussenbauteile'!G20</f>
        <v>C2.2</v>
      </c>
      <c r="AQ6" s="165" t="str">
        <f aca="false">'[1]Innenbauteile &amp; Aussenbauteile'!G30</f>
        <v>C2.2</v>
      </c>
      <c r="AR6" s="165" t="str">
        <f aca="false">'[1]Innenbauteile &amp; Aussenbauteile'!G37</f>
        <v>C2.2</v>
      </c>
      <c r="AS6" s="165" t="str">
        <f aca="false">'[1]Innenbauteile &amp; Aussenbauteile'!G47</f>
        <v>C4.1</v>
      </c>
      <c r="AT6" s="165" t="str">
        <f aca="false">'[1]Innenbauteile &amp; Aussenbauteile'!G55</f>
        <v>C4.1</v>
      </c>
      <c r="AU6" s="165" t="str">
        <f aca="false">'[1]Innenbauteile &amp; Aussenbauteile'!G65</f>
        <v>C4.1</v>
      </c>
      <c r="AV6" s="165" t="str">
        <f aca="false">'[1]Innenbauteile &amp; Aussenbauteile'!G74</f>
        <v>G4.1</v>
      </c>
      <c r="AW6" s="165" t="str">
        <f aca="false">'[1]Innenbauteile &amp; Aussenbauteile'!G78</f>
        <v>G4.1</v>
      </c>
      <c r="AX6" s="165" t="str">
        <f aca="false">'[1]Innenbauteile &amp; Aussenbauteile'!G84</f>
        <v>G4.2</v>
      </c>
      <c r="AY6" s="165" t="str">
        <f aca="false">'[1]Innenbauteile &amp; Aussenbauteile'!G94</f>
        <v>G2.2</v>
      </c>
      <c r="AZ6" s="165" t="str">
        <f aca="false">'[1]Innenbauteile &amp; Aussenbauteile'!G98</f>
        <v>G2.2</v>
      </c>
      <c r="BA6" s="165" t="str">
        <f aca="false">'[1]Innenbauteile &amp; Aussenbauteile'!G105</f>
        <v>G2.2</v>
      </c>
      <c r="BB6" s="165" t="str">
        <f aca="false">'[1]Innenbauteile &amp; Aussenbauteile'!G112</f>
        <v>G2.2</v>
      </c>
      <c r="BC6" s="165" t="str">
        <f aca="false">'[1]Innenbauteile &amp; Aussenbauteile'!G125</f>
        <v>C4.3</v>
      </c>
      <c r="BD6" s="164"/>
      <c r="BE6" s="164"/>
      <c r="BF6" s="164"/>
      <c r="BG6" s="164"/>
      <c r="BH6" s="164"/>
      <c r="BI6" s="164"/>
      <c r="BJ6" s="164"/>
      <c r="BK6" s="164"/>
    </row>
    <row r="7" customFormat="false" ht="15" hidden="false" customHeight="false" outlineLevel="0" collapsed="false">
      <c r="B7" s="165" t="str">
        <f aca="false">'[1]Gebäudehülle u.T.'!G6</f>
        <v>C1.5</v>
      </c>
      <c r="C7" s="165" t="str">
        <f aca="false">'[1]Gebäudehülle u.T.'!G11</f>
        <v>C1.5</v>
      </c>
      <c r="D7" s="165" t="str">
        <f aca="false">'[1]Gebäudehülle u.T.'!G11</f>
        <v>C1.5</v>
      </c>
      <c r="E7" s="165" t="str">
        <f aca="false">'[1]Gebäudehülle u.T.'!G25</f>
        <v>C2.1</v>
      </c>
      <c r="F7" s="165" t="str">
        <f aca="false">'[1]Gebäudehülle u.T.'!G25</f>
        <v>C2.1</v>
      </c>
      <c r="G7" s="165" t="str">
        <f aca="false">'[1]Gebäudehülle u.T.'!G37</f>
        <v>C2.1</v>
      </c>
      <c r="H7" s="165" t="str">
        <f aca="false">'[1]Gebäudehülle u.T.'!G49</f>
        <v>C4.4</v>
      </c>
      <c r="I7" s="165" t="str">
        <f aca="false">'[1]Gebäudehülle u.T.'!G58</f>
        <v>C4.4</v>
      </c>
      <c r="J7" s="165" t="str">
        <f aca="false">'[1]Gebäudehülle u.T.'!G69</f>
        <v>C4.4</v>
      </c>
      <c r="K7" s="165" t="str">
        <f aca="false">'[1]Gebäudehülle über Terrain'!G6</f>
        <v>C2.1</v>
      </c>
      <c r="L7" s="165" t="str">
        <f aca="false">'[1]Gebäudehülle über Terrain'!G14</f>
        <v>G3.1</v>
      </c>
      <c r="M7" s="165" t="str">
        <f aca="false">'[1]Gebäudehülle über Terrain'!G21</f>
        <v>G3.1</v>
      </c>
      <c r="N7" s="165" t="str">
        <f aca="false">'[1]Gebäudehülle über Terrain'!G29</f>
        <v>C3.1</v>
      </c>
      <c r="O7" s="165" t="str">
        <f aca="false">'[1]Gebäudehülle über Terrain'!G34</f>
        <v>C3.1</v>
      </c>
      <c r="P7" s="165" t="str">
        <f aca="false">'[1]Gebäudehülle über Terrain'!G42</f>
        <v>C2.1</v>
      </c>
      <c r="Q7" s="165" t="str">
        <f aca="false">'[1]Gebäudehülle über Terrain'!G52</f>
        <v>E2.1</v>
      </c>
      <c r="R7" s="165" t="str">
        <f aca="false">'[1]Gebäudehülle über Terrain'!G57</f>
        <v>E2.2</v>
      </c>
      <c r="S7" s="165" t="str">
        <f aca="false">'[1]Gebäudehülle über Terrain'!G66</f>
        <v>E2.2</v>
      </c>
      <c r="T7" s="165" t="str">
        <f aca="false">'[1]Gebäudehülle über Terrain'!G78</f>
        <v>E2.4</v>
      </c>
      <c r="U7" s="165" t="str">
        <f aca="false">'[1]Gebäudehülle über Terrain'!G88</f>
        <v>E2.4</v>
      </c>
      <c r="V7" s="165" t="str">
        <f aca="false">'[1]Gebäudehülle über Terrain'!G97</f>
        <v>E2.2</v>
      </c>
      <c r="W7" s="165" t="str">
        <f aca="false">'[1]Gebäudehülle über Terrain'!G107</f>
        <v>E2.2</v>
      </c>
      <c r="X7" s="165" t="str">
        <f aca="false">'[1]Gebäudehülle über Terrain'!G115</f>
        <v>E2.2</v>
      </c>
      <c r="Y7" s="165" t="str">
        <f aca="false">'[1]Gebäudehülle über Terrain'!G125</f>
        <v>E2.2</v>
      </c>
      <c r="Z7" s="165" t="str">
        <f aca="false">'[1]Gebäudehülle über Terrain'!G132</f>
        <v>E3.3</v>
      </c>
      <c r="AA7" s="165" t="str">
        <f aca="false">'[1]Gebäudehülle über Terrain'!G139</f>
        <v>E3.3</v>
      </c>
      <c r="AB7" s="165" t="str">
        <f aca="false">'[1]Gebäudehülle über Terrain'!G146</f>
        <v>C4.4</v>
      </c>
      <c r="AC7" s="165" t="str">
        <f aca="false">'[1]Gebäudehülle über Terrain'!G154</f>
        <v>C4.4</v>
      </c>
      <c r="AD7" s="165" t="str">
        <f aca="false">'[1]Gebäudehülle über Terrain'!G162</f>
        <v>C4.4</v>
      </c>
      <c r="AE7" s="165" t="str">
        <f aca="false">'[1]Gebäudehülle über Terrain'!G168</f>
        <v>G4.1</v>
      </c>
      <c r="AF7" s="165" t="str">
        <f aca="false">'[1]Gebäudehülle über Terrain'!G176</f>
        <v>C4.4</v>
      </c>
      <c r="AG7" s="165" t="str">
        <f aca="false">'[1]Gebäudehülle über Terrain'!G187</f>
        <v>F1.2</v>
      </c>
      <c r="AH7" s="165" t="str">
        <f aca="false">'[1]Gebäudehülle über Terrain'!G196</f>
        <v>F1.2</v>
      </c>
      <c r="AI7" s="165" t="str">
        <f aca="false">'[1]Gebäudehülle über Terrain'!G205</f>
        <v>F1.2</v>
      </c>
      <c r="AJ7" s="86" t="str">
        <f aca="false">'[1]Gebäudehülle über Terrain'!G217</f>
        <v>F1.2</v>
      </c>
      <c r="AK7" s="86" t="str">
        <f aca="false">'[1]Gebäudehülle über Terrain'!G225</f>
        <v>F1.3</v>
      </c>
      <c r="AL7" s="86" t="str">
        <f aca="false">'[1]Gebäudehülle über Terrain'!G233</f>
        <v>F1.3</v>
      </c>
      <c r="AM7" s="86" t="str">
        <f aca="false">'[1]Gebäudehülle über Terrain'!G244</f>
        <v>F1.3</v>
      </c>
      <c r="AN7" s="165" t="str">
        <f aca="false">'[1]Innenbauteile &amp; Aussenbauteile'!G6</f>
        <v>C2.2</v>
      </c>
      <c r="AO7" s="165" t="str">
        <f aca="false">'[1]Innenbauteile &amp; Aussenbauteile'!G14</f>
        <v>G3.1</v>
      </c>
      <c r="AP7" s="165" t="str">
        <f aca="false">'[1]Innenbauteile &amp; Aussenbauteile'!G21</f>
        <v>G3.1</v>
      </c>
      <c r="AQ7" s="165" t="str">
        <f aca="false">'[1]Innenbauteile &amp; Aussenbauteile'!G31</f>
        <v>C2.2</v>
      </c>
      <c r="AR7" s="165" t="str">
        <f aca="false">'[1]Innenbauteile &amp; Aussenbauteile'!G38</f>
        <v>C2.2</v>
      </c>
      <c r="AS7" s="165" t="str">
        <f aca="false">'[1]Innenbauteile &amp; Aussenbauteile'!G48</f>
        <v>C4.1</v>
      </c>
      <c r="AT7" s="165" t="str">
        <f aca="false">'[1]Innenbauteile &amp; Aussenbauteile'!G56</f>
        <v>C4.1</v>
      </c>
      <c r="AU7" s="165" t="str">
        <f aca="false">'[1]Innenbauteile &amp; Aussenbauteile'!G66</f>
        <v>C4.1</v>
      </c>
      <c r="AV7" s="165"/>
      <c r="AW7" s="165" t="str">
        <f aca="false">'[1]Innenbauteile &amp; Aussenbauteile'!G79</f>
        <v>G4.2</v>
      </c>
      <c r="AX7" s="165" t="str">
        <f aca="false">'[1]Innenbauteile &amp; Aussenbauteile'!G85</f>
        <v>G4.2</v>
      </c>
      <c r="AY7" s="165"/>
      <c r="AZ7" s="165"/>
      <c r="BA7" s="165" t="str">
        <f aca="false">'[1]Innenbauteile &amp; Aussenbauteile'!G106</f>
        <v>G2.1</v>
      </c>
      <c r="BB7" s="165" t="str">
        <f aca="false">'[1]Innenbauteile &amp; Aussenbauteile'!G113</f>
        <v>G2.1</v>
      </c>
      <c r="BC7" s="165" t="str">
        <f aca="false">'[1]Innenbauteile &amp; Aussenbauteile'!G126</f>
        <v>C4.3</v>
      </c>
      <c r="BD7" s="164"/>
      <c r="BE7" s="164"/>
      <c r="BF7" s="164"/>
      <c r="BG7" s="164"/>
      <c r="BH7" s="164"/>
      <c r="BI7" s="164"/>
      <c r="BJ7" s="164"/>
      <c r="BK7" s="164"/>
    </row>
    <row r="8" customFormat="false" ht="15" hidden="false" customHeight="false" outlineLevel="0" collapsed="false">
      <c r="B8" s="165" t="n">
        <v>0</v>
      </c>
      <c r="C8" s="165" t="str">
        <f aca="false">'[1]Gebäudehülle u.T.'!G12</f>
        <v>C1.2</v>
      </c>
      <c r="D8" s="165" t="str">
        <f aca="false">'[1]Gebäudehülle u.T.'!G12</f>
        <v>C1.2</v>
      </c>
      <c r="E8" s="165" t="str">
        <f aca="false">'[1]Gebäudehülle u.T.'!G26</f>
        <v>E1.3</v>
      </c>
      <c r="F8" s="165" t="str">
        <f aca="false">'[1]Gebäudehülle u.T.'!G26</f>
        <v>E1.3</v>
      </c>
      <c r="G8" s="165" t="str">
        <f aca="false">'[1]Gebäudehülle u.T.'!G38</f>
        <v>E1.3</v>
      </c>
      <c r="H8" s="165" t="str">
        <f aca="false">'[1]Gebäudehülle u.T.'!G50</f>
        <v>F1.1</v>
      </c>
      <c r="I8" s="165" t="str">
        <f aca="false">'[1]Gebäudehülle u.T.'!G59</f>
        <v>F1.1</v>
      </c>
      <c r="J8" s="165" t="str">
        <f aca="false">'[1]Gebäudehülle u.T.'!G70</f>
        <v>F1.1</v>
      </c>
      <c r="K8" s="165" t="str">
        <f aca="false">'[1]Gebäudehülle über Terrain'!G7</f>
        <v>G3.1</v>
      </c>
      <c r="L8" s="165" t="str">
        <f aca="false">'[1]Gebäudehülle über Terrain'!G15</f>
        <v>G3.2</v>
      </c>
      <c r="M8" s="165" t="str">
        <f aca="false">'[1]Gebäudehülle über Terrain'!G22</f>
        <v>G3.2</v>
      </c>
      <c r="N8" s="165"/>
      <c r="O8" s="165"/>
      <c r="P8" s="165" t="str">
        <f aca="false">'[1]Gebäudehülle über Terrain'!G43</f>
        <v>G3.1</v>
      </c>
      <c r="Q8" s="165"/>
      <c r="R8" s="165" t="str">
        <f aca="false">'[1]Gebäudehülle über Terrain'!G58</f>
        <v>E2.1</v>
      </c>
      <c r="S8" s="165" t="str">
        <f aca="false">'[1]Gebäudehülle über Terrain'!G67</f>
        <v>E2.1</v>
      </c>
      <c r="T8" s="165" t="str">
        <f aca="false">'[1]Gebäudehülle über Terrain'!G79</f>
        <v>E2.4</v>
      </c>
      <c r="U8" s="165" t="str">
        <f aca="false">'[1]Gebäudehülle über Terrain'!G89</f>
        <v>E2.4</v>
      </c>
      <c r="V8" s="165" t="str">
        <f aca="false">'[1]Gebäudehülle über Terrain'!G98</f>
        <v>E2.2</v>
      </c>
      <c r="W8" s="165" t="str">
        <f aca="false">'[1]Gebäudehülle über Terrain'!G108</f>
        <v>E2.2</v>
      </c>
      <c r="X8" s="165" t="str">
        <f aca="false">'[1]Gebäudehülle über Terrain'!G116</f>
        <v>E2.2</v>
      </c>
      <c r="Y8" s="165" t="str">
        <f aca="false">'[1]Gebäudehülle über Terrain'!G126</f>
        <v>E2.2</v>
      </c>
      <c r="Z8" s="165"/>
      <c r="AA8" s="165"/>
      <c r="AB8" s="165" t="str">
        <f aca="false">'[1]Gebäudehülle über Terrain'!G147</f>
        <v>G4.1</v>
      </c>
      <c r="AC8" s="165" t="str">
        <f aca="false">'[1]Gebäudehülle über Terrain'!G155</f>
        <v>G4.1</v>
      </c>
      <c r="AD8" s="165" t="str">
        <f aca="false">'[1]Gebäudehülle über Terrain'!G163</f>
        <v>C4.4</v>
      </c>
      <c r="AE8" s="165" t="str">
        <f aca="false">'[1]Gebäudehülle über Terrain'!G169</f>
        <v>G4.1</v>
      </c>
      <c r="AF8" s="165" t="str">
        <f aca="false">'[1]Gebäudehülle über Terrain'!G177</f>
        <v>G4.1</v>
      </c>
      <c r="AG8" s="165" t="str">
        <f aca="false">'[1]Gebäudehülle über Terrain'!G188</f>
        <v>F1.2</v>
      </c>
      <c r="AH8" s="165" t="str">
        <f aca="false">'[1]Gebäudehülle über Terrain'!G197</f>
        <v>F1.2</v>
      </c>
      <c r="AI8" s="165" t="str">
        <f aca="false">'[1]Gebäudehülle über Terrain'!G206</f>
        <v>F1.2</v>
      </c>
      <c r="AJ8" s="86" t="str">
        <f aca="false">'[1]Gebäudehülle über Terrain'!G218</f>
        <v>F1.2</v>
      </c>
      <c r="AK8" s="86" t="str">
        <f aca="false">'[1]Gebäudehülle über Terrain'!G226</f>
        <v>F1.3</v>
      </c>
      <c r="AL8" s="86" t="str">
        <f aca="false">'[1]Gebäudehülle über Terrain'!G234</f>
        <v>F1.3</v>
      </c>
      <c r="AM8" s="86" t="str">
        <f aca="false">'[1]Gebäudehülle über Terrain'!G245</f>
        <v>F1.3</v>
      </c>
      <c r="AN8" s="165" t="str">
        <f aca="false">'[1]Innenbauteile &amp; Aussenbauteile'!G7</f>
        <v>G3.1</v>
      </c>
      <c r="AO8" s="165" t="str">
        <f aca="false">'[1]Innenbauteile &amp; Aussenbauteile'!G15</f>
        <v>G3.2</v>
      </c>
      <c r="AP8" s="165" t="str">
        <f aca="false">'[1]Innenbauteile &amp; Aussenbauteile'!G22</f>
        <v>G3.2</v>
      </c>
      <c r="AQ8" s="165" t="str">
        <f aca="false">'[1]Innenbauteile &amp; Aussenbauteile'!G32</f>
        <v>G3.2</v>
      </c>
      <c r="AR8" s="165" t="str">
        <f aca="false">'[1]Innenbauteile &amp; Aussenbauteile'!G39</f>
        <v>G3.2</v>
      </c>
      <c r="AS8" s="165" t="str">
        <f aca="false">'[1]Innenbauteile &amp; Aussenbauteile'!G49</f>
        <v>G4.1</v>
      </c>
      <c r="AT8" s="165" t="str">
        <f aca="false">'[1]Innenbauteile &amp; Aussenbauteile'!G57</f>
        <v>G4.1</v>
      </c>
      <c r="AU8" s="165" t="str">
        <f aca="false">'[1]Innenbauteile &amp; Aussenbauteile'!G67</f>
        <v>G4.1</v>
      </c>
      <c r="AV8" s="165"/>
      <c r="AW8" s="165" t="str">
        <f aca="false">'[1]Innenbauteile &amp; Aussenbauteile'!G80</f>
        <v>G4.2</v>
      </c>
      <c r="AX8" s="165" t="str">
        <f aca="false">'[1]Innenbauteile &amp; Aussenbauteile'!G86</f>
        <v>G4.1</v>
      </c>
      <c r="AY8" s="165"/>
      <c r="AZ8" s="165"/>
      <c r="BA8" s="165" t="str">
        <f aca="false">'[1]Innenbauteile &amp; Aussenbauteile'!G107</f>
        <v>G2.1</v>
      </c>
      <c r="BB8" s="165" t="str">
        <f aca="false">'[1]Innenbauteile &amp; Aussenbauteile'!G114</f>
        <v>G2.1</v>
      </c>
      <c r="BC8" s="165" t="str">
        <f aca="false">'[1]Innenbauteile &amp; Aussenbauteile'!G127</f>
        <v>C4.3</v>
      </c>
      <c r="BD8" s="164"/>
      <c r="BE8" s="164"/>
      <c r="BF8" s="164"/>
      <c r="BG8" s="164"/>
      <c r="BH8" s="164"/>
      <c r="BI8" s="164"/>
      <c r="BJ8" s="164"/>
      <c r="BK8" s="164"/>
    </row>
    <row r="9" customFormat="false" ht="15" hidden="false" customHeight="false" outlineLevel="0" collapsed="false">
      <c r="B9" s="165" t="n">
        <v>0</v>
      </c>
      <c r="C9" s="51" t="n">
        <v>0</v>
      </c>
      <c r="D9" s="165" t="n">
        <v>0</v>
      </c>
      <c r="E9" s="165" t="str">
        <f aca="false">'[1]Gebäudehülle u.T.'!G27</f>
        <v>E1.3</v>
      </c>
      <c r="F9" s="165" t="str">
        <f aca="false">'[1]Gebäudehülle u.T.'!G27</f>
        <v>E1.3</v>
      </c>
      <c r="G9" s="165" t="str">
        <f aca="false">'[1]Gebäudehülle u.T.'!G39</f>
        <v>E1.3</v>
      </c>
      <c r="H9" s="165" t="str">
        <f aca="false">'[1]Gebäudehülle u.T.'!G51</f>
        <v>F1.1</v>
      </c>
      <c r="I9" s="165" t="str">
        <f aca="false">'[1]Gebäudehülle u.T.'!G60</f>
        <v>F1.1</v>
      </c>
      <c r="J9" s="165" t="str">
        <f aca="false">'[1]Gebäudehülle u.T.'!G71</f>
        <v>F1.1</v>
      </c>
      <c r="K9" s="165" t="str">
        <f aca="false">'[1]Gebäudehülle über Terrain'!G8</f>
        <v>G3.2</v>
      </c>
      <c r="L9" s="165" t="str">
        <f aca="false">'[1]Gebäudehülle über Terrain'!G16</f>
        <v>G3.2</v>
      </c>
      <c r="M9" s="165" t="str">
        <f aca="false">'[1]Gebäudehülle über Terrain'!G23</f>
        <v>G3.2</v>
      </c>
      <c r="N9" s="165"/>
      <c r="O9" s="165"/>
      <c r="P9" s="165" t="str">
        <f aca="false">'[1]Gebäudehülle über Terrain'!G44</f>
        <v>G3.2</v>
      </c>
      <c r="Q9" s="165"/>
      <c r="R9" s="165" t="str">
        <f aca="false">'[1]Gebäudehülle über Terrain'!G59</f>
        <v>E2.1</v>
      </c>
      <c r="S9" s="165" t="str">
        <f aca="false">'[1]Gebäudehülle über Terrain'!G68</f>
        <v>E2.1</v>
      </c>
      <c r="T9" s="165" t="str">
        <f aca="false">'[1]Gebäudehülle über Terrain'!G80</f>
        <v>E2.4</v>
      </c>
      <c r="U9" s="165" t="str">
        <f aca="false">'[1]Gebäudehülle über Terrain'!G90</f>
        <v>E2.2</v>
      </c>
      <c r="V9" s="165" t="str">
        <f aca="false">'[1]Gebäudehülle über Terrain'!G99</f>
        <v>E2.1</v>
      </c>
      <c r="W9" s="165" t="str">
        <f aca="false">'[1]Gebäudehülle über Terrain'!G109</f>
        <v>E2.1</v>
      </c>
      <c r="X9" s="165" t="str">
        <f aca="false">'[1]Gebäudehülle über Terrain'!G117</f>
        <v>E2.1</v>
      </c>
      <c r="Y9" s="165" t="str">
        <f aca="false">'[1]Gebäudehülle über Terrain'!G127</f>
        <v>E2.1</v>
      </c>
      <c r="Z9" s="165"/>
      <c r="AA9" s="165"/>
      <c r="AB9" s="165" t="str">
        <f aca="false">'[1]Gebäudehülle über Terrain'!G148</f>
        <v>G4.2</v>
      </c>
      <c r="AC9" s="165" t="str">
        <f aca="false">'[1]Gebäudehülle über Terrain'!G156</f>
        <v>G4.2</v>
      </c>
      <c r="AD9" s="165"/>
      <c r="AE9" s="165" t="str">
        <f aca="false">'[1]Gebäudehülle über Terrain'!G170</f>
        <v>G4.2</v>
      </c>
      <c r="AF9" s="165" t="str">
        <f aca="false">'[1]Gebäudehülle über Terrain'!G178</f>
        <v>G4.1</v>
      </c>
      <c r="AG9" s="165" t="str">
        <f aca="false">'[1]Gebäudehülle über Terrain'!G189</f>
        <v>F1.2</v>
      </c>
      <c r="AH9" s="165" t="str">
        <f aca="false">'[1]Gebäudehülle über Terrain'!G198</f>
        <v>F1.2</v>
      </c>
      <c r="AI9" s="165" t="str">
        <f aca="false">'[1]Gebäudehülle über Terrain'!G207</f>
        <v>F1.2</v>
      </c>
      <c r="AJ9" s="86" t="str">
        <f aca="false">'[1]Gebäudehülle über Terrain'!G219</f>
        <v>F1.2</v>
      </c>
      <c r="AK9" s="86" t="str">
        <f aca="false">'[1]Gebäudehülle über Terrain'!G227</f>
        <v>F1.3</v>
      </c>
      <c r="AL9" s="86" t="str">
        <f aca="false">'[1]Gebäudehülle über Terrain'!G235</f>
        <v>F1.3</v>
      </c>
      <c r="AM9" s="51"/>
      <c r="AN9" s="165" t="str">
        <f aca="false">'[1]Innenbauteile &amp; Aussenbauteile'!G8</f>
        <v>G3.2</v>
      </c>
      <c r="AO9" s="165" t="str">
        <f aca="false">'[1]Innenbauteile &amp; Aussenbauteile'!G16</f>
        <v>G3.2</v>
      </c>
      <c r="AP9" s="165" t="str">
        <f aca="false">'[1]Innenbauteile &amp; Aussenbauteile'!G23</f>
        <v>G3.2</v>
      </c>
      <c r="AQ9" s="165" t="str">
        <f aca="false">'[1]Innenbauteile &amp; Aussenbauteile'!G33</f>
        <v>G3.2</v>
      </c>
      <c r="AR9" s="165" t="str">
        <f aca="false">'[1]Innenbauteile &amp; Aussenbauteile'!G40</f>
        <v>G3.2</v>
      </c>
      <c r="AS9" s="165" t="str">
        <f aca="false">'[1]Innenbauteile &amp; Aussenbauteile'!G50</f>
        <v>G4.2</v>
      </c>
      <c r="AT9" s="165" t="str">
        <f aca="false">'[1]Innenbauteile &amp; Aussenbauteile'!G58</f>
        <v>G4.1</v>
      </c>
      <c r="AU9" s="165" t="str">
        <f aca="false">'[1]Innenbauteile &amp; Aussenbauteile'!G68</f>
        <v>G4.1</v>
      </c>
      <c r="AV9" s="165"/>
      <c r="AW9" s="165"/>
      <c r="AX9" s="165"/>
      <c r="AY9" s="165"/>
      <c r="AZ9" s="165"/>
      <c r="BA9" s="165" t="str">
        <f aca="false">'[1]Innenbauteile &amp; Aussenbauteile'!G108</f>
        <v>G2.1</v>
      </c>
      <c r="BB9" s="165" t="str">
        <f aca="false">'[1]Innenbauteile &amp; Aussenbauteile'!G115</f>
        <v>G2.1</v>
      </c>
      <c r="BC9" s="165" t="str">
        <f aca="false">'[1]Innenbauteile &amp; Aussenbauteile'!G128</f>
        <v>C4.3</v>
      </c>
      <c r="BD9" s="164"/>
      <c r="BE9" s="164"/>
      <c r="BF9" s="164"/>
      <c r="BG9" s="164"/>
      <c r="BH9" s="164"/>
      <c r="BI9" s="164"/>
      <c r="BJ9" s="164"/>
      <c r="BK9" s="164"/>
    </row>
    <row r="10" customFormat="false" ht="15" hidden="false" customHeight="false" outlineLevel="0" collapsed="false">
      <c r="B10" s="165" t="n">
        <v>0</v>
      </c>
      <c r="C10" s="51" t="n">
        <v>0</v>
      </c>
      <c r="D10" s="165" t="n">
        <v>0</v>
      </c>
      <c r="E10" s="51"/>
      <c r="F10" s="165" t="str">
        <f aca="false">'[1]Gebäudehülle u.T.'!G31</f>
        <v>E1.2</v>
      </c>
      <c r="G10" s="165" t="str">
        <f aca="false">'[1]Gebäudehülle u.T.'!G40</f>
        <v>E1.2</v>
      </c>
      <c r="H10" s="165" t="str">
        <f aca="false">'[1]Gebäudehülle u.T.'!G52</f>
        <v>F1.1</v>
      </c>
      <c r="I10" s="165" t="str">
        <f aca="false">'[1]Gebäudehülle u.T.'!G61</f>
        <v>F1.1</v>
      </c>
      <c r="J10" s="165" t="str">
        <f aca="false">'[1]Gebäudehülle u.T.'!G72</f>
        <v>F1.1</v>
      </c>
      <c r="K10" s="165" t="str">
        <f aca="false">'[1]Gebäudehülle über Terrain'!G9</f>
        <v>G3.2</v>
      </c>
      <c r="L10" s="165"/>
      <c r="M10" s="165"/>
      <c r="N10" s="165"/>
      <c r="O10" s="165"/>
      <c r="P10" s="165" t="str">
        <f aca="false">'[1]Gebäudehülle über Terrain'!G45</f>
        <v>G3.2</v>
      </c>
      <c r="Q10" s="165"/>
      <c r="R10" s="165" t="str">
        <f aca="false">'[1]Gebäudehülle über Terrain'!G60</f>
        <v>E2.1</v>
      </c>
      <c r="S10" s="165" t="str">
        <f aca="false">'[1]Gebäudehülle über Terrain'!G69</f>
        <v>E2.1</v>
      </c>
      <c r="T10" s="165" t="str">
        <f aca="false">'[1]Gebäudehülle über Terrain'!G81</f>
        <v>E2.2</v>
      </c>
      <c r="U10" s="165" t="str">
        <f aca="false">'[1]Gebäudehülle über Terrain'!G91</f>
        <v>E2.2</v>
      </c>
      <c r="V10" s="165"/>
      <c r="W10" s="165"/>
      <c r="X10" s="165"/>
      <c r="Y10" s="165"/>
      <c r="Z10" s="165"/>
      <c r="AA10" s="165"/>
      <c r="AB10" s="165" t="str">
        <f aca="false">'[1]Gebäudehülle über Terrain'!G149</f>
        <v>G4.2</v>
      </c>
      <c r="AC10" s="165" t="str">
        <f aca="false">'[1]Gebäudehülle über Terrain'!G157</f>
        <v>G4.2</v>
      </c>
      <c r="AD10" s="165"/>
      <c r="AE10" s="165" t="str">
        <f aca="false">'[1]Gebäudehülle über Terrain'!G171</f>
        <v>G4.2</v>
      </c>
      <c r="AF10" s="165" t="str">
        <f aca="false">'[1]Gebäudehülle über Terrain'!G179</f>
        <v>G4.2</v>
      </c>
      <c r="AG10" s="165" t="str">
        <f aca="false">'[1]Gebäudehülle über Terrain'!G190</f>
        <v>F1.2</v>
      </c>
      <c r="AH10" s="165" t="str">
        <f aca="false">'[1]Gebäudehülle über Terrain'!G199</f>
        <v>F1.2</v>
      </c>
      <c r="AI10" s="165" t="str">
        <f aca="false">'[1]Gebäudehülle über Terrain'!G208</f>
        <v>F1.2</v>
      </c>
      <c r="AJ10" s="51"/>
      <c r="AK10" s="86" t="str">
        <f aca="false">'[1]Gebäudehülle über Terrain'!G228</f>
        <v>F1.3</v>
      </c>
      <c r="AL10" s="86" t="str">
        <f aca="false">'[1]Gebäudehülle über Terrain'!G236</f>
        <v>F1.3</v>
      </c>
      <c r="AM10" s="51"/>
      <c r="AN10" s="165" t="str">
        <f aca="false">'[1]Innenbauteile &amp; Aussenbauteile'!G9</f>
        <v>G3.2</v>
      </c>
      <c r="AO10" s="165"/>
      <c r="AP10" s="165"/>
      <c r="AQ10" s="165"/>
      <c r="AR10" s="165"/>
      <c r="AS10" s="165" t="str">
        <f aca="false">'[1]Innenbauteile &amp; Aussenbauteile'!G51</f>
        <v>G4.2</v>
      </c>
      <c r="AT10" s="165" t="str">
        <f aca="false">'[1]Innenbauteile &amp; Aussenbauteile'!G59</f>
        <v>G4.2</v>
      </c>
      <c r="AU10" s="165" t="str">
        <f aca="false">'[1]Innenbauteile &amp; Aussenbauteile'!G69</f>
        <v>G4.2</v>
      </c>
      <c r="AV10" s="165"/>
      <c r="AW10" s="165"/>
      <c r="AX10" s="165"/>
      <c r="AY10" s="165"/>
      <c r="AZ10" s="165"/>
      <c r="BA10" s="165"/>
      <c r="BB10" s="165"/>
      <c r="BC10" s="165" t="str">
        <f aca="false">'[1]Innenbauteile &amp; Aussenbauteile'!G129</f>
        <v>G2.2</v>
      </c>
      <c r="BD10" s="164"/>
      <c r="BE10" s="164"/>
      <c r="BF10" s="164"/>
      <c r="BG10" s="164"/>
      <c r="BH10" s="164"/>
      <c r="BI10" s="164"/>
      <c r="BJ10" s="164"/>
      <c r="BK10" s="164"/>
    </row>
    <row r="11" customFormat="false" ht="15" hidden="false" customHeight="false" outlineLevel="0" collapsed="false">
      <c r="B11" s="165" t="n">
        <v>0</v>
      </c>
      <c r="C11" s="51" t="n">
        <v>0</v>
      </c>
      <c r="D11" s="165" t="n">
        <v>0</v>
      </c>
      <c r="E11" s="51"/>
      <c r="F11" s="165" t="str">
        <f aca="false">'[1]Gebäudehülle u.T.'!G32</f>
        <v>E1.2</v>
      </c>
      <c r="G11" s="165" t="str">
        <f aca="false">'[1]Gebäudehülle u.T.'!G41</f>
        <v>E1.2</v>
      </c>
      <c r="H11" s="165" t="str">
        <f aca="false">'[1]Gebäudehülle u.T.'!G53</f>
        <v>F1.2</v>
      </c>
      <c r="I11" s="165" t="str">
        <f aca="false">'[1]Gebäudehülle u.T.'!G62</f>
        <v>F1.1</v>
      </c>
      <c r="J11" s="165" t="str">
        <f aca="false">'[1]Gebäudehülle u.T.'!G73</f>
        <v>F1.1</v>
      </c>
      <c r="K11" s="165"/>
      <c r="L11" s="165"/>
      <c r="M11" s="165"/>
      <c r="N11" s="165"/>
      <c r="O11" s="165"/>
      <c r="P11" s="165"/>
      <c r="Q11" s="165"/>
      <c r="R11" s="165" t="str">
        <f aca="false">'[1]Gebäudehülle über Terrain'!G61</f>
        <v>E2.1</v>
      </c>
      <c r="S11" s="165" t="str">
        <f aca="false">'[1]Gebäudehülle über Terrain'!G70</f>
        <v>E2.1</v>
      </c>
      <c r="T11" s="165" t="str">
        <f aca="false">'[1]Gebäudehülle über Terrain'!G82</f>
        <v>E2.2</v>
      </c>
      <c r="U11" s="165" t="str">
        <f aca="false">'[1]Gebäudehülle über Terrain'!G92</f>
        <v>E2.1</v>
      </c>
      <c r="V11" s="165"/>
      <c r="W11" s="165"/>
      <c r="X11" s="165"/>
      <c r="Y11" s="165"/>
      <c r="Z11" s="165"/>
      <c r="AA11" s="165"/>
      <c r="AB11" s="165"/>
      <c r="AC11" s="165"/>
      <c r="AD11" s="51"/>
      <c r="AE11" s="51"/>
      <c r="AF11" s="165" t="str">
        <f aca="false">'[1]Gebäudehülle über Terrain'!G180</f>
        <v>G4.2</v>
      </c>
      <c r="AG11" s="165" t="str">
        <f aca="false">'[1]Gebäudehülle über Terrain'!G191</f>
        <v>F1.2</v>
      </c>
      <c r="AH11" s="165" t="str">
        <f aca="false">'[1]Gebäudehülle über Terrain'!G200</f>
        <v>F1.2</v>
      </c>
      <c r="AI11" s="165" t="str">
        <f aca="false">'[1]Gebäudehülle über Terrain'!G209</f>
        <v>F1.2</v>
      </c>
      <c r="AJ11" s="165"/>
      <c r="AK11" s="51"/>
      <c r="AL11" s="51"/>
      <c r="AM11" s="165"/>
      <c r="AN11" s="165"/>
      <c r="AO11" s="165"/>
      <c r="AP11" s="165"/>
      <c r="AQ11" s="165"/>
      <c r="AR11" s="51"/>
      <c r="AS11" s="51"/>
      <c r="AT11" s="165" t="str">
        <f aca="false">'[1]Innenbauteile &amp; Aussenbauteile'!G60</f>
        <v>G4.2</v>
      </c>
      <c r="AU11" s="165" t="str">
        <f aca="false">'[1]Innenbauteile &amp; Aussenbauteile'!G70</f>
        <v>G4.2</v>
      </c>
      <c r="AV11" s="165"/>
      <c r="AW11" s="165"/>
      <c r="AX11" s="165"/>
      <c r="AY11" s="165"/>
      <c r="AZ11" s="165"/>
      <c r="BA11" s="165"/>
      <c r="BB11" s="165"/>
      <c r="BC11" s="165" t="str">
        <f aca="false">'[1]Innenbauteile &amp; Aussenbauteile'!G130</f>
        <v>E2.6</v>
      </c>
      <c r="BD11" s="164"/>
      <c r="BE11" s="164"/>
      <c r="BF11" s="164"/>
      <c r="BG11" s="164"/>
      <c r="BH11" s="164"/>
      <c r="BI11" s="164"/>
      <c r="BJ11" s="164"/>
      <c r="BK11" s="164"/>
    </row>
    <row r="12" customFormat="false" ht="15" hidden="false" customHeight="false" outlineLevel="0" collapsed="false">
      <c r="B12" s="165" t="n">
        <v>0</v>
      </c>
      <c r="C12" s="51" t="n">
        <v>0</v>
      </c>
      <c r="D12" s="165" t="n">
        <v>0</v>
      </c>
      <c r="E12" s="51"/>
      <c r="F12" s="51"/>
      <c r="G12" s="51"/>
      <c r="H12" s="51"/>
      <c r="I12" s="165" t="str">
        <f aca="false">'[1]Gebäudehülle u.T.'!G63</f>
        <v>F1.1</v>
      </c>
      <c r="J12" s="165" t="str">
        <f aca="false">'[1]Gebäudehülle u.T.'!G74</f>
        <v>F1.1</v>
      </c>
      <c r="K12" s="165"/>
      <c r="L12" s="165"/>
      <c r="M12" s="165"/>
      <c r="N12" s="165"/>
      <c r="O12" s="165"/>
      <c r="P12" s="165"/>
      <c r="Q12" s="165"/>
      <c r="R12" s="165"/>
      <c r="S12" s="51"/>
      <c r="T12" s="165" t="str">
        <f aca="false">'[1]Gebäudehülle über Terrain'!G83</f>
        <v>E2.1</v>
      </c>
      <c r="U12" s="165"/>
      <c r="V12" s="165"/>
      <c r="W12" s="165"/>
      <c r="X12" s="165"/>
      <c r="Y12" s="165"/>
      <c r="Z12" s="165"/>
      <c r="AA12" s="165"/>
      <c r="AB12" s="165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customFormat="false" ht="15" hidden="false" customHeight="false" outlineLevel="0" collapsed="false">
      <c r="B13" s="165" t="n">
        <v>0</v>
      </c>
      <c r="C13" s="51" t="n">
        <v>0</v>
      </c>
      <c r="D13" s="165" t="n">
        <v>0</v>
      </c>
      <c r="E13" s="51"/>
      <c r="F13" s="51"/>
      <c r="G13" s="51"/>
      <c r="H13" s="51"/>
      <c r="I13" s="165" t="str">
        <f aca="false">'[1]Gebäudehülle u.T.'!G64</f>
        <v>F1.2</v>
      </c>
      <c r="J13" s="165" t="str">
        <f aca="false">'[1]Gebäudehülle u.T.'!G75</f>
        <v>F1.1</v>
      </c>
      <c r="K13" s="165"/>
      <c r="L13" s="165"/>
      <c r="M13" s="165"/>
      <c r="N13" s="165"/>
      <c r="O13" s="165"/>
      <c r="P13" s="165"/>
      <c r="Q13" s="165"/>
      <c r="R13" s="165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customFormat="false" ht="15" hidden="false" customHeight="false" outlineLevel="0" collapsed="false">
      <c r="B14" s="165" t="n">
        <v>0</v>
      </c>
      <c r="C14" s="51" t="n">
        <v>0</v>
      </c>
      <c r="D14" s="165" t="n">
        <v>0</v>
      </c>
      <c r="E14" s="51"/>
      <c r="F14" s="51"/>
      <c r="G14" s="51"/>
      <c r="H14" s="76"/>
      <c r="I14" s="76"/>
      <c r="J14" s="165" t="str">
        <f aca="false">'[1]Gebäudehülle u.T.'!G76</f>
        <v>F1.2</v>
      </c>
      <c r="K14" s="165"/>
      <c r="L14" s="165"/>
      <c r="M14" s="165"/>
      <c r="N14" s="165"/>
      <c r="O14" s="165"/>
      <c r="P14" s="165"/>
      <c r="Q14" s="165"/>
      <c r="R14" s="165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customFormat="false" ht="15" hidden="false" customHeight="false" outlineLevel="0" collapsed="false"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customFormat="false" ht="15" hidden="false" customHeight="false" outlineLevel="0" collapsed="false"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customFormat="false" ht="15" hidden="false" customHeight="false" outlineLevel="0" collapsed="false">
      <c r="B17" s="11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customFormat="false" ht="15" hidden="false" customHeight="false" outlineLevel="0" collapsed="false">
      <c r="D18" s="97"/>
      <c r="E18" s="97"/>
      <c r="F18" s="97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customFormat="false" ht="15" hidden="false" customHeight="false" outlineLevel="0" collapsed="false">
      <c r="O19" s="164"/>
    </row>
    <row r="20" customFormat="false" ht="15" hidden="false" customHeight="false" outlineLevel="0" collapsed="false">
      <c r="B20" s="0" t="str">
        <f aca="false">MID(B5,1,2)</f>
        <v>C1</v>
      </c>
    </row>
  </sheetData>
  <mergeCells count="2">
    <mergeCell ref="D18:F18"/>
    <mergeCell ref="H18:Q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B1:BC21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U7" activeCellId="0" sqref="AU7"/>
    </sheetView>
  </sheetViews>
  <sheetFormatPr defaultColWidth="10.921875" defaultRowHeight="15" zeroHeight="false" outlineLevelRow="0" outlineLevelCol="0"/>
  <cols>
    <col collapsed="false" customWidth="true" hidden="false" outlineLevel="0" max="4" min="2" style="0" width="35.42"/>
    <col collapsed="false" customWidth="true" hidden="false" outlineLevel="0" max="5" min="5" style="0" width="14.15"/>
  </cols>
  <sheetData>
    <row r="1" customFormat="false" ht="15" hidden="false" customHeight="false" outlineLevel="0" collapsed="false">
      <c r="B1" s="0" t="s">
        <v>131</v>
      </c>
      <c r="E1" s="0" t="s">
        <v>259</v>
      </c>
    </row>
    <row r="2" customFormat="false" ht="15" hidden="false" customHeight="false" outlineLevel="0" collapsed="false">
      <c r="C2" s="162"/>
      <c r="D2" s="162"/>
    </row>
    <row r="3" customFormat="false" ht="15" hidden="false" customHeight="false" outlineLevel="0" collapsed="false">
      <c r="B3" s="162" t="s">
        <v>472</v>
      </c>
      <c r="C3" s="162" t="s">
        <v>442</v>
      </c>
      <c r="D3" s="162" t="s">
        <v>63</v>
      </c>
      <c r="E3" s="162" t="s">
        <v>443</v>
      </c>
      <c r="F3" s="162" t="s">
        <v>444</v>
      </c>
      <c r="G3" s="162" t="s">
        <v>68</v>
      </c>
      <c r="H3" s="0" t="s">
        <v>445</v>
      </c>
      <c r="I3" s="0" t="s">
        <v>73</v>
      </c>
      <c r="J3" s="0" t="s">
        <v>73</v>
      </c>
      <c r="K3" s="162" t="s">
        <v>446</v>
      </c>
      <c r="L3" s="162" t="s">
        <v>447</v>
      </c>
      <c r="M3" s="162" t="s">
        <v>448</v>
      </c>
      <c r="N3" s="162" t="s">
        <v>80</v>
      </c>
      <c r="O3" s="162" t="s">
        <v>449</v>
      </c>
      <c r="P3" s="162" t="s">
        <v>80</v>
      </c>
      <c r="Q3" s="162" t="s">
        <v>450</v>
      </c>
      <c r="R3" s="162" t="s">
        <v>450</v>
      </c>
      <c r="S3" s="162" t="s">
        <v>451</v>
      </c>
      <c r="T3" s="162" t="s">
        <v>452</v>
      </c>
      <c r="U3" s="162" t="s">
        <v>450</v>
      </c>
      <c r="V3" s="162" t="s">
        <v>450</v>
      </c>
      <c r="W3" s="162" t="s">
        <v>450</v>
      </c>
      <c r="X3" s="162" t="s">
        <v>450</v>
      </c>
      <c r="Y3" s="162" t="s">
        <v>453</v>
      </c>
      <c r="Z3" s="162" t="s">
        <v>450</v>
      </c>
      <c r="AA3" s="0" t="s">
        <v>97</v>
      </c>
      <c r="AB3" s="162" t="s">
        <v>454</v>
      </c>
      <c r="AC3" s="162" t="s">
        <v>455</v>
      </c>
      <c r="AD3" s="162" t="s">
        <v>83</v>
      </c>
      <c r="AE3" s="162" t="s">
        <v>456</v>
      </c>
      <c r="AF3" s="162" t="s">
        <v>457</v>
      </c>
      <c r="AG3" s="162" t="s">
        <v>458</v>
      </c>
      <c r="AH3" s="162" t="s">
        <v>459</v>
      </c>
      <c r="AI3" s="162" t="s">
        <v>459</v>
      </c>
      <c r="AJ3" s="162" t="s">
        <v>459</v>
      </c>
      <c r="AK3" s="162" t="s">
        <v>459</v>
      </c>
      <c r="AL3" s="162" t="s">
        <v>460</v>
      </c>
      <c r="AM3" s="162" t="s">
        <v>459</v>
      </c>
      <c r="AN3" s="162" t="s">
        <v>461</v>
      </c>
      <c r="AO3" s="162" t="s">
        <v>462</v>
      </c>
      <c r="AP3" s="162" t="s">
        <v>92</v>
      </c>
      <c r="AQ3" s="162" t="s">
        <v>463</v>
      </c>
      <c r="AR3" s="162" t="s">
        <v>92</v>
      </c>
      <c r="AS3" s="162" t="s">
        <v>464</v>
      </c>
      <c r="AT3" s="162" t="s">
        <v>465</v>
      </c>
      <c r="AU3" s="162" t="s">
        <v>466</v>
      </c>
      <c r="AV3" s="162" t="s">
        <v>467</v>
      </c>
      <c r="AW3" s="162" t="s">
        <v>468</v>
      </c>
      <c r="AX3" s="162" t="s">
        <v>469</v>
      </c>
      <c r="AY3" s="162" t="s">
        <v>293</v>
      </c>
      <c r="AZ3" s="162" t="s">
        <v>293</v>
      </c>
      <c r="BA3" s="162" t="s">
        <v>470</v>
      </c>
      <c r="BB3" s="162" t="s">
        <v>471</v>
      </c>
      <c r="BC3" s="0" t="s">
        <v>99</v>
      </c>
    </row>
    <row r="4" customFormat="false" ht="15" hidden="false" customHeight="false" outlineLevel="0" collapsed="false">
      <c r="B4" s="76" t="s">
        <v>328</v>
      </c>
      <c r="C4" s="51" t="s">
        <v>134</v>
      </c>
      <c r="D4" s="51" t="s">
        <v>178</v>
      </c>
      <c r="E4" s="163" t="s">
        <v>133</v>
      </c>
      <c r="F4" s="0" t="s">
        <v>141</v>
      </c>
      <c r="G4" s="0" t="s">
        <v>179</v>
      </c>
      <c r="H4" s="0" t="s">
        <v>135</v>
      </c>
      <c r="I4" s="0" t="s">
        <v>182</v>
      </c>
      <c r="J4" s="0" t="s">
        <v>183</v>
      </c>
      <c r="K4" s="0" t="s">
        <v>165</v>
      </c>
      <c r="L4" s="0" t="s">
        <v>166</v>
      </c>
      <c r="M4" s="0" t="s">
        <v>145</v>
      </c>
      <c r="N4" s="0" t="s">
        <v>217</v>
      </c>
      <c r="O4" s="0" t="s">
        <v>151</v>
      </c>
      <c r="P4" s="0" t="s">
        <v>218</v>
      </c>
      <c r="Q4" s="0" t="s">
        <v>219</v>
      </c>
      <c r="R4" s="0" t="s">
        <v>188</v>
      </c>
      <c r="S4" s="0" t="s">
        <v>139</v>
      </c>
      <c r="T4" s="0" t="s">
        <v>146</v>
      </c>
      <c r="U4" s="0" t="s">
        <v>189</v>
      </c>
      <c r="V4" s="0" t="s">
        <v>190</v>
      </c>
      <c r="W4" s="0" t="s">
        <v>191</v>
      </c>
      <c r="X4" s="0" t="s">
        <v>192</v>
      </c>
      <c r="Y4" s="0" t="s">
        <v>193</v>
      </c>
      <c r="Z4" s="0" t="s">
        <v>152</v>
      </c>
      <c r="AA4" s="0" t="s">
        <v>138</v>
      </c>
      <c r="AB4" s="0" t="s">
        <v>167</v>
      </c>
      <c r="AC4" s="0" t="s">
        <v>200</v>
      </c>
      <c r="AD4" s="0" t="s">
        <v>150</v>
      </c>
      <c r="AE4" s="0" t="s">
        <v>143</v>
      </c>
      <c r="AF4" s="0" t="s">
        <v>169</v>
      </c>
      <c r="AG4" s="0" t="s">
        <v>144</v>
      </c>
      <c r="AH4" s="0" t="s">
        <v>195</v>
      </c>
      <c r="AI4" s="0" t="s">
        <v>203</v>
      </c>
      <c r="AJ4" s="0" t="s">
        <v>340</v>
      </c>
      <c r="AK4" s="0" t="s">
        <v>196</v>
      </c>
      <c r="AL4" s="0" t="s">
        <v>170</v>
      </c>
      <c r="AM4" s="0" t="s">
        <v>341</v>
      </c>
      <c r="AN4" s="0" t="s">
        <v>168</v>
      </c>
      <c r="AO4" s="0" t="s">
        <v>171</v>
      </c>
      <c r="AP4" s="0" t="s">
        <v>180</v>
      </c>
      <c r="AQ4" s="0" t="s">
        <v>147</v>
      </c>
      <c r="AR4" s="0" t="s">
        <v>181</v>
      </c>
      <c r="AS4" s="0" t="s">
        <v>136</v>
      </c>
      <c r="AT4" s="0" t="s">
        <v>142</v>
      </c>
      <c r="AU4" s="0" t="s">
        <v>149</v>
      </c>
      <c r="AV4" s="0" t="s">
        <v>155</v>
      </c>
      <c r="AW4" s="0" t="s">
        <v>148</v>
      </c>
      <c r="AX4" s="0" t="s">
        <v>154</v>
      </c>
      <c r="AY4" s="0" t="s">
        <v>186</v>
      </c>
      <c r="AZ4" s="0" t="s">
        <v>187</v>
      </c>
      <c r="BA4" s="0" t="s">
        <v>159</v>
      </c>
      <c r="BB4" s="0" t="s">
        <v>160</v>
      </c>
      <c r="BC4" s="0" t="s">
        <v>137</v>
      </c>
    </row>
    <row r="5" customFormat="false" ht="15" hidden="false" customHeight="false" outlineLevel="0" collapsed="false">
      <c r="B5" s="164" t="n">
        <f aca="false">'[1]Gebäudehülle u.T.'!L4/B17</f>
        <v>0.000985</v>
      </c>
      <c r="C5" s="164" t="n">
        <f aca="false">'[1]Gebäudehülle u.T.'!L4/B17</f>
        <v>0.000985</v>
      </c>
      <c r="D5" s="164" t="n">
        <f aca="false">'[1]Gebäudehülle u.T.'!L4/B17</f>
        <v>0.000985</v>
      </c>
      <c r="E5" s="164" t="n">
        <f aca="false">'[1]Gebäudehülle u.T.'!L23/B17</f>
        <v>0.00165333333333333</v>
      </c>
      <c r="F5" s="164" t="n">
        <f aca="false">'[1]Gebäudehülle u.T.'!L23/B17</f>
        <v>0.00165333333333333</v>
      </c>
      <c r="G5" s="164" t="n">
        <f aca="false">'[1]Gebäudehülle u.T.'!L35/B17</f>
        <v>0.00165333333333333</v>
      </c>
      <c r="H5" s="164" t="n">
        <f aca="false">'[1]Gebäudehülle u.T.'!L47/B17</f>
        <v>0.00165333333333333</v>
      </c>
      <c r="I5" s="164" t="n">
        <f aca="false">'[1]Gebäudehülle u.T.'!L56/B17</f>
        <v>0.00165333333333333</v>
      </c>
      <c r="J5" s="164" t="n">
        <f aca="false">'[1]Gebäudehülle u.T.'!L67/B17</f>
        <v>0.00165333333333333</v>
      </c>
      <c r="K5" s="164" t="n">
        <f aca="false">'[1]Gebäudehülle über Terrain'!L4/B17</f>
        <v>0.00165333333333333</v>
      </c>
      <c r="L5" s="164" t="n">
        <f aca="false">'[1]Gebäudehülle über Terrain'!L12/B17</f>
        <v>0.0043</v>
      </c>
      <c r="M5" s="164" t="n">
        <f aca="false">'[1]Gebäudehülle über Terrain'!L19/B17</f>
        <v>0.00168333333333333</v>
      </c>
      <c r="N5" s="164" t="n">
        <f aca="false">'[1]Gebäudehülle über Terrain'!L27/B17</f>
        <v>0.00165333333333333</v>
      </c>
      <c r="O5" s="164" t="n">
        <f aca="false">'[1]Gebäudehülle über Terrain'!L32/B17</f>
        <v>0.00286666666666667</v>
      </c>
      <c r="P5" s="164" t="n">
        <f aca="false">'[1]Gebäudehülle über Terrain'!L40/B17</f>
        <v>0.0168333333333333</v>
      </c>
      <c r="Q5" s="164" t="n">
        <f aca="false">'[1]Gebäudehülle über Terrain'!L50/B15</f>
        <v>0.00896666666666667</v>
      </c>
      <c r="R5" s="164" t="n">
        <f aca="false">'[1]Gebäudehülle über Terrain'!L55/B15</f>
        <v>0.0135333333333333</v>
      </c>
      <c r="S5" s="164" t="n">
        <f aca="false">'[1]Gebäudehülle über Terrain'!L64/B15</f>
        <v>0.0135333333333333</v>
      </c>
      <c r="T5" s="164" t="n">
        <f aca="false">'[1]Gebäudehülle über Terrain'!L76/B16</f>
        <v>0.003575</v>
      </c>
      <c r="U5" s="164" t="n">
        <f aca="false">'[1]Gebäudehülle über Terrain'!L86/B16</f>
        <v>0.02725</v>
      </c>
      <c r="V5" s="164" t="n">
        <f aca="false">'[1]Gebäudehülle über Terrain'!L95/B16</f>
        <v>0.00084</v>
      </c>
      <c r="W5" s="164" t="n">
        <f aca="false">'[1]Gebäudehülle über Terrain'!L105/B16</f>
        <v>0.155985915492958</v>
      </c>
      <c r="X5" s="164" t="n">
        <f aca="false">'[1]Gebäudehülle über Terrain'!L113/B16</f>
        <v>0.029</v>
      </c>
      <c r="Y5" s="164" t="n">
        <f aca="false">'[1]Gebäudehülle über Terrain'!L123/B16</f>
        <v>0.009375</v>
      </c>
      <c r="Z5" s="164" t="n">
        <f aca="false">'[1]Gebäudehülle über Terrain'!L130/B16</f>
        <v>4.425</v>
      </c>
      <c r="AA5" s="166" t="n">
        <f aca="false">'[1]Baumaterialien Matériaux'!$S$101/B15</f>
        <v>7.23333333333333</v>
      </c>
      <c r="AB5" s="164" t="n">
        <f aca="false">'[1]Gebäudehülle über Terrain'!L144/B17</f>
        <v>0.00165333333333333</v>
      </c>
      <c r="AC5" s="164" t="n">
        <f aca="false">'[1]Gebäudehülle über Terrain'!L152/B17</f>
        <v>0.00165333333333333</v>
      </c>
      <c r="AD5" s="164" t="n">
        <f aca="false">'[1]Gebäudehülle über Terrain'!L160/B17</f>
        <v>0.00165333333333333</v>
      </c>
      <c r="AE5" s="164" t="n">
        <f aca="false">'[1]Gebäudehülle über Terrain'!L166/B17</f>
        <v>0.00871666666666667</v>
      </c>
      <c r="AF5" s="164" t="n">
        <f aca="false">'[1]Gebäudehülle über Terrain'!L174/B17</f>
        <v>0.00238333333333333</v>
      </c>
      <c r="AG5" s="164" t="n">
        <f aca="false">'[1]Gebäudehülle über Terrain'!L185/B15</f>
        <v>0.254666666666667</v>
      </c>
      <c r="AH5" s="164" t="n">
        <f aca="false">'[1]Gebäudehülle über Terrain'!L194/B15</f>
        <v>0.250666666666667</v>
      </c>
      <c r="AI5" s="164" t="n">
        <f aca="false">'[1]Gebäudehülle über Terrain'!L203/B15</f>
        <v>0.0376666666666667</v>
      </c>
      <c r="AJ5" s="0" t="n">
        <f aca="false">'[1]Baumaterialien Matériaux'!$S$260/B15</f>
        <v>0.0235333333333333</v>
      </c>
      <c r="AK5" s="0" t="n">
        <f aca="false">'[1]Baumaterialien Matériaux'!$S$155/B16</f>
        <v>0.002525</v>
      </c>
      <c r="AL5" s="0" t="n">
        <f aca="false">'[1]Baumaterialien Matériaux'!$S$155/B16</f>
        <v>0.002525</v>
      </c>
      <c r="AM5" s="0" t="n">
        <f aca="false">'[1]Baumaterialien Matériaux'!$S$155/B16</f>
        <v>0.002525</v>
      </c>
      <c r="AN5" s="164" t="n">
        <f aca="false">'[1]Innenbauteile &amp; Aussenbauteile'!L4/B17</f>
        <v>0.00165333333333333</v>
      </c>
      <c r="AO5" s="164" t="n">
        <f aca="false">'[1]Innenbauteile &amp; Aussenbauteile'!L12/B17</f>
        <v>0.0043</v>
      </c>
      <c r="AP5" s="164" t="n">
        <f aca="false">'[1]Innenbauteile &amp; Aussenbauteile'!L19/B17</f>
        <v>0.0023</v>
      </c>
      <c r="AQ5" s="164" t="n">
        <f aca="false">'[1]Innenbauteile &amp; Aussenbauteile'!L29/B15</f>
        <v>0.00976666666666667</v>
      </c>
      <c r="AR5" s="164" t="n">
        <f aca="false">'[1]Innenbauteile &amp; Aussenbauteile'!L36/B15</f>
        <v>0.0179</v>
      </c>
      <c r="AS5" s="164" t="n">
        <f aca="false">'[1]Innenbauteile &amp; Aussenbauteile'!L46/B17</f>
        <v>0.00165333333333333</v>
      </c>
      <c r="AT5" s="164" t="n">
        <f aca="false">'[1]Innenbauteile &amp; Aussenbauteile'!L54/B17</f>
        <v>0.00238333333333333</v>
      </c>
      <c r="AU5" s="164" t="n">
        <f aca="false">'[1]Innenbauteile &amp; Aussenbauteile'!L64/B17</f>
        <v>0.00165333333333333</v>
      </c>
      <c r="AV5" s="164" t="n">
        <f aca="false">'[1]Innenbauteile &amp; Aussenbauteile'!L73/B15</f>
        <v>0.0376666666666667</v>
      </c>
      <c r="AW5" s="164" t="n">
        <f aca="false">'[1]Innenbauteile &amp; Aussenbauteile'!L77/B15</f>
        <v>0.0179</v>
      </c>
      <c r="AX5" s="164" t="n">
        <f aca="false">'[1]Innenbauteile &amp; Aussenbauteile'!L83/B15</f>
        <v>0.117</v>
      </c>
      <c r="AY5" s="164" t="n">
        <f aca="false">'[1]Innenbauteile &amp; Aussenbauteile'!L93/B15</f>
        <v>0.0731034482758621</v>
      </c>
      <c r="AZ5" s="164" t="n">
        <f aca="false">'[1]Innenbauteile &amp; Aussenbauteile'!L97/B15</f>
        <v>0.0410382513661202</v>
      </c>
      <c r="BA5" s="164" t="n">
        <f aca="false">'[1]Innenbauteile &amp; Aussenbauteile'!L104/B15</f>
        <v>0.0410382513661202</v>
      </c>
      <c r="BB5" s="164" t="n">
        <f aca="false">'[1]Innenbauteile &amp; Aussenbauteile'!L111/B15</f>
        <v>0.0259259259259259</v>
      </c>
      <c r="BC5" s="164" t="n">
        <f aca="false">'[1]Innenbauteile &amp; Aussenbauteile'!L124/B16</f>
        <v>0.00248</v>
      </c>
    </row>
    <row r="6" customFormat="false" ht="15" hidden="false" customHeight="false" outlineLevel="0" collapsed="false">
      <c r="B6" s="164" t="n">
        <f aca="false">'[1]Gebäudehülle u.T.'!L5/B17</f>
        <v>0.00165333333333333</v>
      </c>
      <c r="C6" s="164" t="n">
        <f aca="false">'[1]Gebäudehülle u.T.'!L5/B17</f>
        <v>0.00165333333333333</v>
      </c>
      <c r="D6" s="164" t="n">
        <f aca="false">'[1]Gebäudehülle u.T.'!L5/B17</f>
        <v>0.00165333333333333</v>
      </c>
      <c r="E6" s="164" t="n">
        <f aca="false">'[1]Gebäudehülle u.T.'!L24/B17</f>
        <v>0.0113666666666667</v>
      </c>
      <c r="F6" s="164" t="n">
        <f aca="false">'[1]Gebäudehülle u.T.'!L24/B17</f>
        <v>0.0113666666666667</v>
      </c>
      <c r="G6" s="164" t="n">
        <f aca="false">'[1]Gebäudehülle u.T.'!L36/B17</f>
        <v>0.0113666666666667</v>
      </c>
      <c r="H6" s="164" t="n">
        <f aca="false">'[1]Gebäudehülle u.T.'!L48/B17</f>
        <v>0.0113666666666667</v>
      </c>
      <c r="I6" s="164" t="n">
        <f aca="false">'[1]Gebäudehülle u.T.'!L57/B17</f>
        <v>0.0113666666666667</v>
      </c>
      <c r="J6" s="164" t="n">
        <f aca="false">'[1]Gebäudehülle u.T.'!L68/B17</f>
        <v>0.0113666666666667</v>
      </c>
      <c r="K6" s="164" t="n">
        <f aca="false">'[1]Gebäudehülle über Terrain'!L5/B17</f>
        <v>0.0113666666666667</v>
      </c>
      <c r="L6" s="164" t="n">
        <f aca="false">'[1]Gebäudehülle über Terrain'!L13/B17</f>
        <v>0.00448333333333333</v>
      </c>
      <c r="M6" s="164" t="n">
        <f aca="false">'[1]Gebäudehülle über Terrain'!L20/B15</f>
        <v>0.00336666666666667</v>
      </c>
      <c r="N6" s="164" t="n">
        <f aca="false">'[1]Gebäudehülle über Terrain'!L28/B17</f>
        <v>0.0113666666666667</v>
      </c>
      <c r="O6" s="164" t="n">
        <f aca="false">'[1]Gebäudehülle über Terrain'!L33/B17</f>
        <v>0.0113666666666667</v>
      </c>
      <c r="P6" s="164" t="n">
        <f aca="false">'[1]Gebäudehülle über Terrain'!L41/B17</f>
        <v>0.0043</v>
      </c>
      <c r="Q6" s="164" t="n">
        <f aca="false">'[1]Gebäudehülle über Terrain'!L51/B15</f>
        <v>0.00823333333333333</v>
      </c>
      <c r="R6" s="164" t="n">
        <f aca="false">'[1]Gebäudehülle über Terrain'!L56/B15</f>
        <v>0.0376666666666667</v>
      </c>
      <c r="S6" s="164" t="n">
        <f aca="false">'[1]Gebäudehülle über Terrain'!L65/B15</f>
        <v>0.254666666666667</v>
      </c>
      <c r="T6" s="164" t="n">
        <f aca="false">'[1]Gebäudehülle über Terrain'!L77/B16</f>
        <v>0.113333333333333</v>
      </c>
      <c r="U6" s="164" t="n">
        <f aca="false">'[1]Gebäudehülle über Terrain'!L87/B16</f>
        <v>0.14275</v>
      </c>
      <c r="V6" s="164" t="n">
        <f aca="false">'[1]Gebäudehülle über Terrain'!L96/B16</f>
        <v>0.14275</v>
      </c>
      <c r="W6" s="164" t="n">
        <f aca="false">'[1]Gebäudehülle über Terrain'!L106/B16</f>
        <v>0.14275</v>
      </c>
      <c r="X6" s="164" t="n">
        <f aca="false">'[1]Gebäudehülle über Terrain'!L114/B16</f>
        <v>0.14275</v>
      </c>
      <c r="Y6" s="164" t="n">
        <f aca="false">'[1]Gebäudehülle über Terrain'!L124/B16</f>
        <v>0.094</v>
      </c>
      <c r="Z6" s="164" t="n">
        <f aca="false">'[1]Gebäudehülle über Terrain'!L131/B16</f>
        <v>1.435</v>
      </c>
      <c r="AA6" s="0" t="n">
        <f aca="false">'[1]Baumaterialien Matériaux'!$S$109/B15</f>
        <v>2.22666666666667</v>
      </c>
      <c r="AB6" s="164" t="n">
        <f aca="false">'[1]Gebäudehülle über Terrain'!L145/B17</f>
        <v>0.0113666666666667</v>
      </c>
      <c r="AC6" s="164" t="n">
        <f aca="false">'[1]Gebäudehülle über Terrain'!L153/B17</f>
        <v>0.0113666666666667</v>
      </c>
      <c r="AD6" s="164" t="n">
        <f aca="false">'[1]Gebäudehülle über Terrain'!L161/B17</f>
        <v>0.0113666666666667</v>
      </c>
      <c r="AE6" s="164" t="n">
        <f aca="false">'[1]Gebäudehülle über Terrain'!L167/B17</f>
        <v>0.00238333333333333</v>
      </c>
      <c r="AF6" s="164" t="n">
        <f aca="false">'[1]Gebäudehülle über Terrain'!L175/B17</f>
        <v>0.0243333333333333</v>
      </c>
      <c r="AG6" s="164" t="n">
        <f aca="false">'[1]Gebäudehülle über Terrain'!L186/B15</f>
        <v>0.118</v>
      </c>
      <c r="AH6" s="164" t="n">
        <f aca="false">'[1]Gebäudehülle über Terrain'!L195/B15</f>
        <v>0.118</v>
      </c>
      <c r="AI6" s="164" t="n">
        <f aca="false">'[1]Gebäudehülle über Terrain'!L204/B15</f>
        <v>0.118</v>
      </c>
      <c r="AJ6" s="85" t="n">
        <f aca="false">'[1]Baumaterialien Matériaux'!$S$173/B15</f>
        <v>0.108333333333333</v>
      </c>
      <c r="AK6" s="85" t="n">
        <f aca="false">'[1]Baumaterialien Matériaux'!$S$188/B16</f>
        <v>0.13825</v>
      </c>
      <c r="AL6" s="85" t="n">
        <f aca="false">'[1]Baumaterialien Matériaux'!$S$188/B16</f>
        <v>0.13825</v>
      </c>
      <c r="AM6" s="85" t="n">
        <f aca="false">'[1]Baumaterialien Matériaux'!$S$188/B16</f>
        <v>0.13825</v>
      </c>
      <c r="AN6" s="164" t="n">
        <f aca="false">'[1]Innenbauteile &amp; Aussenbauteile'!L5/B17</f>
        <v>0.0113666666666667</v>
      </c>
      <c r="AO6" s="164" t="n">
        <f aca="false">'[1]Innenbauteile &amp; Aussenbauteile'!L13/B17</f>
        <v>0.00448333333333333</v>
      </c>
      <c r="AP6" s="164" t="n">
        <f aca="false">'[1]Innenbauteile &amp; Aussenbauteile'!L20/B17</f>
        <v>0.00448333333333333</v>
      </c>
      <c r="AQ6" s="164" t="n">
        <f aca="false">'[1]Innenbauteile &amp; Aussenbauteile'!L30/B15</f>
        <v>0.0244666666666667</v>
      </c>
      <c r="AR6" s="164" t="n">
        <f aca="false">'[1]Innenbauteile &amp; Aussenbauteile'!L37/B15</f>
        <v>0.0244666666666667</v>
      </c>
      <c r="AS6" s="164" t="n">
        <f aca="false">'[1]Innenbauteile &amp; Aussenbauteile'!L47/B17</f>
        <v>0.0113666666666667</v>
      </c>
      <c r="AT6" s="164" t="n">
        <f aca="false">'[1]Innenbauteile &amp; Aussenbauteile'!L55/B17</f>
        <v>0.0991666666666667</v>
      </c>
      <c r="AU6" s="164" t="n">
        <f aca="false">'[1]Innenbauteile &amp; Aussenbauteile'!L65/B17</f>
        <v>0.0113666666666667</v>
      </c>
      <c r="AV6" s="164" t="n">
        <f aca="false">'[1]Innenbauteile &amp; Aussenbauteile'!L74/B15</f>
        <v>0.184333333333333</v>
      </c>
      <c r="AW6" s="164" t="n">
        <f aca="false">'[1]Innenbauteile &amp; Aussenbauteile'!L78/B15</f>
        <v>0.0244666666666667</v>
      </c>
      <c r="AX6" s="164" t="n">
        <f aca="false">'[1]Innenbauteile &amp; Aussenbauteile'!L84/B15</f>
        <v>1.5</v>
      </c>
      <c r="AY6" s="164" t="n">
        <f aca="false">'[1]Innenbauteile &amp; Aussenbauteile'!L94/B15</f>
        <v>0.198333333333333</v>
      </c>
      <c r="AZ6" s="164" t="n">
        <f aca="false">'[1]Innenbauteile &amp; Aussenbauteile'!L98/B15</f>
        <v>0.198333333333333</v>
      </c>
      <c r="BA6" s="164" t="n">
        <f aca="false">'[1]Innenbauteile &amp; Aussenbauteile'!L105/B15</f>
        <v>0.198333333333333</v>
      </c>
      <c r="BB6" s="164" t="n">
        <f aca="false">'[1]Innenbauteile &amp; Aussenbauteile'!L112/B15</f>
        <v>0.0135333333333333</v>
      </c>
      <c r="BC6" s="164" t="n">
        <f aca="false">'[1]Innenbauteile &amp; Aussenbauteile'!L125/B16</f>
        <v>0.01705</v>
      </c>
    </row>
    <row r="7" customFormat="false" ht="15" hidden="false" customHeight="false" outlineLevel="0" collapsed="false">
      <c r="B7" s="164" t="n">
        <f aca="false">'[1]Gebäudehülle u.T.'!L6/B17</f>
        <v>0.0113666666666667</v>
      </c>
      <c r="C7" s="164" t="n">
        <f aca="false">'[1]Gebäudehülle u.T.'!L6/B17</f>
        <v>0.0113666666666667</v>
      </c>
      <c r="D7" s="164" t="n">
        <f aca="false">'[1]Gebäudehülle u.T.'!L6/B17</f>
        <v>0.0113666666666667</v>
      </c>
      <c r="E7" s="164" t="n">
        <f aca="false">'[1]Gebäudehülle u.T.'!L25/B17</f>
        <v>0.00871666666666667</v>
      </c>
      <c r="F7" s="164" t="n">
        <f aca="false">'[1]Gebäudehülle u.T.'!L25/B17</f>
        <v>0.00871666666666667</v>
      </c>
      <c r="G7" s="164" t="n">
        <f aca="false">'[1]Gebäudehülle u.T.'!L37/B17</f>
        <v>0.00871666666666667</v>
      </c>
      <c r="H7" s="164" t="n">
        <f aca="false">'[1]Gebäudehülle u.T.'!L49/B17</f>
        <v>0.00871666666666667</v>
      </c>
      <c r="I7" s="164" t="n">
        <f aca="false">'[1]Gebäudehülle u.T.'!L58/B17</f>
        <v>0.00871666666666667</v>
      </c>
      <c r="J7" s="164" t="n">
        <f aca="false">'[1]Gebäudehülle u.T.'!L69/B17</f>
        <v>0.00871666666666667</v>
      </c>
      <c r="K7" s="164" t="n">
        <f aca="false">'[1]Gebäudehülle über Terrain'!L6/B17</f>
        <v>0.00871666666666667</v>
      </c>
      <c r="L7" s="164" t="n">
        <f aca="false">'[1]Gebäudehülle über Terrain'!L14/B15</f>
        <v>0.00823333333333333</v>
      </c>
      <c r="M7" s="164" t="n">
        <f aca="false">'[1]Gebäudehülle über Terrain'!L21/B15</f>
        <v>0.00976666666666667</v>
      </c>
      <c r="N7" s="164" t="n">
        <f aca="false">'[1]Gebäudehülle über Terrain'!L29/B17</f>
        <v>0.00871666666666667</v>
      </c>
      <c r="O7" s="164" t="n">
        <f aca="false">'[1]Gebäudehülle über Terrain'!L34/B17</f>
        <v>0.00871666666666667</v>
      </c>
      <c r="P7" s="164" t="n">
        <f aca="false">'[1]Gebäudehülle über Terrain'!L42/B17</f>
        <v>0.00676666666666667</v>
      </c>
      <c r="Q7" s="164" t="n">
        <f aca="false">'[1]Gebäudehülle über Terrain'!L52/B15</f>
        <v>0.151111111111111</v>
      </c>
      <c r="R7" s="164" t="n">
        <f aca="false">'[1]Gebäudehülle über Terrain'!L57/B15</f>
        <v>0.32</v>
      </c>
      <c r="S7" s="164" t="n">
        <f aca="false">'[1]Gebäudehülle über Terrain'!L66/B15</f>
        <v>0.32</v>
      </c>
      <c r="T7" s="164" t="n">
        <f aca="false">'[1]Gebäudehülle über Terrain'!L78/B16</f>
        <v>0.094</v>
      </c>
      <c r="U7" s="164" t="n">
        <f aca="false">'[1]Gebäudehülle über Terrain'!L88/B16</f>
        <v>0.094</v>
      </c>
      <c r="V7" s="164" t="n">
        <f aca="false">'[1]Gebäudehülle über Terrain'!L97/B16</f>
        <v>0.24</v>
      </c>
      <c r="W7" s="164" t="n">
        <f aca="false">'[1]Gebäudehülle über Terrain'!L107/B16</f>
        <v>0.24</v>
      </c>
      <c r="X7" s="164" t="n">
        <f aca="false">'[1]Gebäudehülle über Terrain'!L115/B16</f>
        <v>0.24</v>
      </c>
      <c r="Y7" s="164" t="n">
        <f aca="false">'[1]Gebäudehülle über Terrain'!L125/B16</f>
        <v>0.24</v>
      </c>
      <c r="Z7" s="164" t="n">
        <f aca="false">'[1]Gebäudehülle über Terrain'!L132/B16</f>
        <v>1.625</v>
      </c>
      <c r="AA7" s="166" t="n">
        <f aca="false">'[1]Baumaterialien Matériaux'!$S$117/B15</f>
        <v>1.91333333333333</v>
      </c>
      <c r="AB7" s="164" t="n">
        <f aca="false">'[1]Gebäudehülle über Terrain'!L146/B17</f>
        <v>0.00871666666666667</v>
      </c>
      <c r="AC7" s="164" t="n">
        <f aca="false">'[1]Gebäudehülle über Terrain'!L154/B17</f>
        <v>0.00871666666666667</v>
      </c>
      <c r="AD7" s="164" t="n">
        <f aca="false">'[1]Gebäudehülle über Terrain'!L162/B17</f>
        <v>0.0585</v>
      </c>
      <c r="AE7" s="164" t="n">
        <f aca="false">'[1]Gebäudehülle über Terrain'!L168/B15</f>
        <v>0.00336666666666667</v>
      </c>
      <c r="AF7" s="164" t="n">
        <f aca="false">'[1]Gebäudehülle über Terrain'!L176/B17</f>
        <v>0.0991666666666667</v>
      </c>
      <c r="AG7" s="164" t="n">
        <f aca="false">'[1]Gebäudehülle über Terrain'!L187/B15</f>
        <v>0.0941333333333333</v>
      </c>
      <c r="AH7" s="164" t="n">
        <f aca="false">'[1]Gebäudehülle über Terrain'!L196/B15</f>
        <v>0.0941333333333333</v>
      </c>
      <c r="AI7" s="164" t="n">
        <f aca="false">'[1]Gebäudehülle über Terrain'!L205/B15</f>
        <v>0.0941333333333333</v>
      </c>
      <c r="AJ7" s="85" t="n">
        <f aca="false">'[1]Baumaterialien Matériaux'!$S$188/B15</f>
        <v>0.184333333333333</v>
      </c>
      <c r="AK7" s="0" t="n">
        <f aca="false">'[1]Baumaterialien Matériaux'!$S$73/B16</f>
        <v>0.009375</v>
      </c>
      <c r="AL7" s="0" t="n">
        <f aca="false">'[1]Baumaterialien Matériaux'!$S$73/B16</f>
        <v>0.009375</v>
      </c>
      <c r="AM7" s="0" t="n">
        <f aca="false">'[1]Baumaterialien Matériaux'!$S$73/B16</f>
        <v>0.009375</v>
      </c>
      <c r="AN7" s="164" t="n">
        <f aca="false">'[1]Innenbauteile &amp; Aussenbauteile'!L6/B17</f>
        <v>0.00871666666666667</v>
      </c>
      <c r="AO7" s="164" t="n">
        <f aca="false">'[1]Innenbauteile &amp; Aussenbauteile'!L14/B15</f>
        <v>0.00823333333333333</v>
      </c>
      <c r="AP7" s="164" t="n">
        <f aca="false">'[1]Innenbauteile &amp; Aussenbauteile'!L21/B15</f>
        <v>0.00823333333333333</v>
      </c>
      <c r="AQ7" s="164" t="n">
        <f aca="false">'[1]Innenbauteile &amp; Aussenbauteile'!L31/B15</f>
        <v>0.0376666666666667</v>
      </c>
      <c r="AR7" s="164" t="n">
        <f aca="false">'[1]Innenbauteile &amp; Aussenbauteile'!L38/B15</f>
        <v>0.0376666666666667</v>
      </c>
      <c r="AS7" s="164" t="n">
        <f aca="false">'[1]Innenbauteile &amp; Aussenbauteile'!L48/B17</f>
        <v>0.00871666666666667</v>
      </c>
      <c r="AT7" s="164" t="n">
        <f aca="false">'[1]Innenbauteile &amp; Aussenbauteile'!L56/B17</f>
        <v>0.000223333333333333</v>
      </c>
      <c r="AU7" s="164" t="n">
        <f aca="false">'[1]Innenbauteile &amp; Aussenbauteile'!L66/B17</f>
        <v>0.00168333333333333</v>
      </c>
      <c r="AW7" s="164" t="n">
        <f aca="false">'[1]Innenbauteile &amp; Aussenbauteile'!L79/B15</f>
        <v>0.00516666666666667</v>
      </c>
      <c r="AX7" s="164" t="n">
        <f aca="false">'[1]Innenbauteile &amp; Aussenbauteile'!L85/B15</f>
        <v>0.184333333333333</v>
      </c>
      <c r="BA7" s="164" t="n">
        <f aca="false">'[1]Innenbauteile &amp; Aussenbauteile'!L106/B15</f>
        <v>0.0043</v>
      </c>
      <c r="BB7" s="164" t="n">
        <f aca="false">'[1]Innenbauteile &amp; Aussenbauteile'!L113/B15</f>
        <v>0.0043</v>
      </c>
      <c r="BC7" s="164" t="n">
        <f aca="false">'[1]Innenbauteile &amp; Aussenbauteile'!L126/B16</f>
        <v>0.013075</v>
      </c>
    </row>
    <row r="8" customFormat="false" ht="15" hidden="false" customHeight="false" outlineLevel="0" collapsed="false">
      <c r="C8" s="164" t="n">
        <f aca="false">'[1]Gebäudehülle u.T.'!$L$12/B17</f>
        <v>0.241666666666667</v>
      </c>
      <c r="D8" s="164" t="n">
        <f aca="false">'[1]Gebäudehülle u.T.'!$L$16/B17</f>
        <v>0.0195</v>
      </c>
      <c r="E8" s="164" t="n">
        <f aca="false">'[1]Gebäudehülle u.T.'!L26/B17</f>
        <v>0.0470666666666667</v>
      </c>
      <c r="F8" s="164" t="n">
        <f aca="false">'[1]Gebäudehülle u.T.'!L26/B17</f>
        <v>0.0470666666666667</v>
      </c>
      <c r="G8" s="164" t="n">
        <f aca="false">'[1]Gebäudehülle u.T.'!L38/B17</f>
        <v>0.0470666666666667</v>
      </c>
      <c r="H8" s="164" t="n">
        <f aca="false">'[1]Gebäudehülle u.T.'!L50/B17</f>
        <v>0.0470666666666667</v>
      </c>
      <c r="I8" s="164" t="n">
        <f aca="false">'[1]Gebäudehülle u.T.'!L59/B17</f>
        <v>0.0470666666666667</v>
      </c>
      <c r="J8" s="164" t="n">
        <f aca="false">'[1]Gebäudehülle u.T.'!L70/B17</f>
        <v>0.0470666666666667</v>
      </c>
      <c r="K8" s="164" t="n">
        <f aca="false">'[1]Gebäudehülle über Terrain'!L7/B15</f>
        <v>0.00823333333333333</v>
      </c>
      <c r="L8" s="164" t="n">
        <f aca="false">'[1]Gebäudehülle über Terrain'!L15/B15</f>
        <v>0.0049</v>
      </c>
      <c r="M8" s="164" t="n">
        <f aca="false">'[1]Gebäudehülle über Terrain'!L22/B15</f>
        <v>0.00516666666666667</v>
      </c>
      <c r="P8" s="164" t="n">
        <f aca="false">'[1]Gebäudehülle über Terrain'!L43/B15</f>
        <v>0.00823333333333333</v>
      </c>
      <c r="R8" s="164" t="n">
        <f aca="false">'[1]Gebäudehülle über Terrain'!L58/B15</f>
        <v>0.0142333333333333</v>
      </c>
      <c r="S8" s="164" t="n">
        <f aca="false">'[1]Gebäudehülle über Terrain'!L67/B15</f>
        <v>0.0142333333333333</v>
      </c>
      <c r="T8" s="164" t="n">
        <f aca="false">'[1]Gebäudehülle über Terrain'!L79/B16</f>
        <v>0.24</v>
      </c>
      <c r="U8" s="164" t="n">
        <f aca="false">'[1]Gebäudehülle über Terrain'!L89/B16</f>
        <v>0.1105</v>
      </c>
      <c r="V8" s="164" t="n">
        <f aca="false">'[1]Gebäudehülle über Terrain'!L98/B16</f>
        <v>0.02825</v>
      </c>
      <c r="W8" s="164" t="n">
        <f aca="false">'[1]Gebäudehülle über Terrain'!L108/B16</f>
        <v>0.02825</v>
      </c>
      <c r="X8" s="164" t="n">
        <f aca="false">'[1]Gebäudehülle über Terrain'!L116/B16</f>
        <v>0.02825</v>
      </c>
      <c r="Y8" s="164" t="n">
        <f aca="false">'[1]Gebäudehülle über Terrain'!L126/B16</f>
        <v>0.02825</v>
      </c>
      <c r="AB8" s="164" t="n">
        <f aca="false">'[1]Gebäudehülle über Terrain'!L147/B15</f>
        <v>0.00823333333333333</v>
      </c>
      <c r="AC8" s="164" t="n">
        <f aca="false">'[1]Gebäudehülle über Terrain'!L155/B15</f>
        <v>0.00823333333333333</v>
      </c>
      <c r="AD8" s="164" t="n">
        <f aca="false">'[1]Gebäudehülle über Terrain'!L163/B17</f>
        <v>0.0122333333333333</v>
      </c>
      <c r="AE8" s="164" t="n">
        <f aca="false">'[1]Gebäudehülle über Terrain'!L169/B15</f>
        <v>0.00976666666666667</v>
      </c>
      <c r="AF8" s="164" t="n">
        <f aca="false">'[1]Gebäudehülle über Terrain'!L177/B15</f>
        <v>0.00336666666666667</v>
      </c>
      <c r="AG8" s="164" t="n">
        <f aca="false">'[1]Gebäudehülle über Terrain'!L188/B15</f>
        <v>0.108333333333333</v>
      </c>
      <c r="AH8" s="164" t="n">
        <f aca="false">'[1]Gebäudehülle über Terrain'!L197/B15</f>
        <v>0.108333333333333</v>
      </c>
      <c r="AI8" s="164" t="n">
        <f aca="false">'[1]Gebäudehülle über Terrain'!L206/B15</f>
        <v>0.108333333333333</v>
      </c>
      <c r="AJ8" s="0" t="n">
        <f aca="false">'[1]Baumaterialien Matériaux'!$S$69/B15</f>
        <v>0.00039</v>
      </c>
      <c r="AK8" s="85" t="n">
        <f aca="false">'[1]Baumaterialien Matériaux'!$S$133/B16</f>
        <v>0.08775</v>
      </c>
      <c r="AL8" s="85" t="n">
        <f aca="false">'[1]Baumaterialien Matériaux'!$S$133/B16</f>
        <v>0.08775</v>
      </c>
      <c r="AM8" s="85" t="n">
        <f aca="false">'[1]Baumaterialien Matériaux'!$S$133/B16</f>
        <v>0.08775</v>
      </c>
      <c r="AN8" s="164" t="n">
        <f aca="false">'[1]Innenbauteile &amp; Aussenbauteile'!L7/B15</f>
        <v>0.00823333333333333</v>
      </c>
      <c r="AO8" s="164" t="n">
        <f aca="false">'[1]Innenbauteile &amp; Aussenbauteile'!L15/B15</f>
        <v>0.0049</v>
      </c>
      <c r="AP8" s="164" t="n">
        <f aca="false">'[1]Innenbauteile &amp; Aussenbauteile'!L22/B15</f>
        <v>0.0049</v>
      </c>
      <c r="AQ8" s="164" t="n">
        <f aca="false">'[1]Innenbauteile &amp; Aussenbauteile'!L32/B15</f>
        <v>0.00516666666666667</v>
      </c>
      <c r="AR8" s="164" t="n">
        <f aca="false">'[1]Innenbauteile &amp; Aussenbauteile'!L39/B15</f>
        <v>0.00516666666666667</v>
      </c>
      <c r="AS8" s="164" t="n">
        <f aca="false">'[1]Innenbauteile &amp; Aussenbauteile'!L49/B15</f>
        <v>0.00823333333333333</v>
      </c>
      <c r="AT8" s="164" t="n">
        <f aca="false">'[1]Innenbauteile &amp; Aussenbauteile'!L57/B15</f>
        <v>0.00336666666666667</v>
      </c>
      <c r="AU8" s="164" t="n">
        <f aca="false">'[1]Innenbauteile &amp; Aussenbauteile'!L67/B15</f>
        <v>0.00336666666666667</v>
      </c>
      <c r="AW8" s="164" t="n">
        <f aca="false">'[1]Innenbauteile &amp; Aussenbauteile'!L80/B15</f>
        <v>0.151111111111111</v>
      </c>
      <c r="AX8" s="164" t="n">
        <f aca="false">'[1]Innenbauteile &amp; Aussenbauteile'!L86/B15</f>
        <v>0.0244666666666667</v>
      </c>
      <c r="BA8" s="164" t="n">
        <f aca="false">'[1]Innenbauteile &amp; Aussenbauteile'!L107/B15</f>
        <v>0.177666666666667</v>
      </c>
      <c r="BB8" s="164" t="n">
        <f aca="false">'[1]Innenbauteile &amp; Aussenbauteile'!L114/B15</f>
        <v>0.177666666666667</v>
      </c>
      <c r="BC8" s="164" t="n">
        <f aca="false">'[1]Innenbauteile &amp; Aussenbauteile'!L127/B16</f>
        <v>0.094</v>
      </c>
    </row>
    <row r="9" customFormat="false" ht="15" hidden="false" customHeight="false" outlineLevel="0" collapsed="false">
      <c r="E9" s="164" t="n">
        <f aca="false">'[1]Gebäudehülle u.T.'!L27/B17</f>
        <v>0.0901666666666667</v>
      </c>
      <c r="F9" s="164" t="n">
        <f aca="false">'[1]Gebäudehülle u.T.'!L27/B17</f>
        <v>0.0901666666666667</v>
      </c>
      <c r="G9" s="164" t="n">
        <f aca="false">'[1]Gebäudehülle u.T.'!L39/B17</f>
        <v>0.0901666666666667</v>
      </c>
      <c r="H9" s="164" t="n">
        <f aca="false">'[1]Gebäudehülle u.T.'!L51/B17</f>
        <v>0.051</v>
      </c>
      <c r="I9" s="164" t="n">
        <f aca="false">'[1]Gebäudehülle u.T.'!L60/B17</f>
        <v>0.0511666666666667</v>
      </c>
      <c r="J9" s="164" t="n">
        <f aca="false">'[1]Gebäudehülle u.T.'!L71/B17</f>
        <v>0.0511666666666667</v>
      </c>
      <c r="K9" s="164" t="n">
        <f aca="false">'[1]Gebäudehülle über Terrain'!L8/B15</f>
        <v>0.0049</v>
      </c>
      <c r="L9" s="164" t="n">
        <f aca="false">'[1]Gebäudehülle über Terrain'!L16/B15</f>
        <v>0.151111111111111</v>
      </c>
      <c r="M9" s="164" t="n">
        <f aca="false">'[1]Gebäudehülle über Terrain'!L23/B15</f>
        <v>0.151111111111111</v>
      </c>
      <c r="P9" s="164" t="n">
        <f aca="false">'[1]Gebäudehülle über Terrain'!L44/B15</f>
        <v>0.0049</v>
      </c>
      <c r="R9" s="164" t="n">
        <f aca="false">'[1]Gebäudehülle über Terrain'!L59/B15</f>
        <v>0.32</v>
      </c>
      <c r="S9" s="164" t="n">
        <f aca="false">'[1]Gebäudehülle über Terrain'!L68/B15</f>
        <v>0.32</v>
      </c>
      <c r="T9" s="164" t="n">
        <f aca="false">'[1]Gebäudehülle über Terrain'!L80/B16</f>
        <v>0.08775</v>
      </c>
      <c r="U9" s="164" t="n">
        <f aca="false">'[1]Gebäudehülle über Terrain'!L90/B16</f>
        <v>0.24</v>
      </c>
      <c r="V9" s="164" t="n">
        <f aca="false">'[1]Gebäudehülle über Terrain'!L99/B16</f>
        <v>0.13825</v>
      </c>
      <c r="W9" s="164" t="n">
        <f aca="false">'[1]Gebäudehülle über Terrain'!L109/B16</f>
        <v>0.13825</v>
      </c>
      <c r="X9" s="164" t="n">
        <f aca="false">'[1]Gebäudehülle über Terrain'!L117/B16</f>
        <v>0.13825</v>
      </c>
      <c r="Y9" s="164" t="n">
        <f aca="false">'[1]Gebäudehülle über Terrain'!L127/B16</f>
        <v>0.13825</v>
      </c>
      <c r="AB9" s="164" t="n">
        <f aca="false">'[1]Gebäudehülle über Terrain'!L148/B15</f>
        <v>0.0049</v>
      </c>
      <c r="AC9" s="164" t="n">
        <f aca="false">'[1]Gebäudehülle über Terrain'!L156/B15</f>
        <v>0.0049</v>
      </c>
      <c r="AE9" s="164" t="n">
        <f aca="false">'[1]Gebäudehülle über Terrain'!L170/B15</f>
        <v>0.00516666666666667</v>
      </c>
      <c r="AF9" s="164" t="n">
        <f aca="false">'[1]Gebäudehülle über Terrain'!L178/B15</f>
        <v>0.00976666666666667</v>
      </c>
      <c r="AG9" s="164" t="n">
        <f aca="false">'[1]Gebäudehülle über Terrain'!L189/B15</f>
        <v>0.184333333333333</v>
      </c>
      <c r="AH9" s="164" t="n">
        <f aca="false">'[1]Gebäudehülle über Terrain'!L198/B15</f>
        <v>0.184333333333333</v>
      </c>
      <c r="AI9" s="164" t="n">
        <f aca="false">'[1]Gebäudehülle über Terrain'!L207/B15</f>
        <v>0.184333333333333</v>
      </c>
      <c r="AJ9" s="0" t="n">
        <f aca="false">'[1]Baumaterialien Matériaux'!$S$70/B15</f>
        <v>0.000466666666666667</v>
      </c>
      <c r="AK9" s="85" t="n">
        <f aca="false">'[1]Baumaterialien Matériaux'!$S$207/B16</f>
        <v>0.02825</v>
      </c>
      <c r="AL9" s="85" t="n">
        <f aca="false">'[1]Baumaterialien Matériaux'!$S$197/B16</f>
        <v>0.02825</v>
      </c>
      <c r="AN9" s="164" t="n">
        <f aca="false">'[1]Innenbauteile &amp; Aussenbauteile'!L8/B15</f>
        <v>0.0049</v>
      </c>
      <c r="AO9" s="164" t="n">
        <f aca="false">'[1]Innenbauteile &amp; Aussenbauteile'!L16/B15</f>
        <v>0.151111111111111</v>
      </c>
      <c r="AP9" s="164" t="n">
        <f aca="false">'[1]Innenbauteile &amp; Aussenbauteile'!L23/B15</f>
        <v>0.151111111111111</v>
      </c>
      <c r="AQ9" s="164" t="n">
        <f aca="false">'[1]Innenbauteile &amp; Aussenbauteile'!L33/B15</f>
        <v>0.151111111111111</v>
      </c>
      <c r="AR9" s="164" t="n">
        <f aca="false">'[1]Innenbauteile &amp; Aussenbauteile'!L40/B15</f>
        <v>0.151111111111111</v>
      </c>
      <c r="AS9" s="164" t="n">
        <f aca="false">'[1]Innenbauteile &amp; Aussenbauteile'!L50/B15</f>
        <v>0.0049</v>
      </c>
      <c r="AT9" s="164" t="n">
        <f aca="false">'[1]Innenbauteile &amp; Aussenbauteile'!L58/B15</f>
        <v>0.00976666666666667</v>
      </c>
      <c r="AU9" s="164" t="n">
        <f aca="false">'[1]Innenbauteile &amp; Aussenbauteile'!L68/B15</f>
        <v>0.00976666666666667</v>
      </c>
      <c r="BA9" s="164" t="n">
        <f aca="false">'[1]Innenbauteile &amp; Aussenbauteile'!L108/B15</f>
        <v>0.254666666666667</v>
      </c>
      <c r="BB9" s="164" t="n">
        <f aca="false">'[1]Innenbauteile &amp; Aussenbauteile'!L115/B15</f>
        <v>0.254666666666667</v>
      </c>
      <c r="BC9" s="164" t="n">
        <f aca="false">'[1]Innenbauteile &amp; Aussenbauteile'!L128/B16</f>
        <v>0.3625</v>
      </c>
    </row>
    <row r="10" customFormat="false" ht="15" hidden="false" customHeight="false" outlineLevel="0" collapsed="false">
      <c r="F10" s="164" t="n">
        <f aca="false">'[1]Gebäudehülle u.T.'!L31/B17</f>
        <v>0.241666666666667</v>
      </c>
      <c r="G10" s="164" t="n">
        <f aca="false">'[1]Gebäudehülle u.T.'!L40/B17</f>
        <v>0.0195</v>
      </c>
      <c r="H10" s="164" t="n">
        <f aca="false">'[1]Gebäudehülle u.T.'!L52/B17</f>
        <v>0.0921666666666667</v>
      </c>
      <c r="I10" s="164" t="n">
        <f aca="false">'[1]Gebäudehülle u.T.'!L61/B17</f>
        <v>0.241666666666667</v>
      </c>
      <c r="J10" s="164" t="n">
        <f aca="false">'[1]Gebäudehülle u.T.'!L72/B17</f>
        <v>0.0195</v>
      </c>
      <c r="K10" s="164" t="n">
        <f aca="false">'[1]Gebäudehülle über Terrain'!L9/B15</f>
        <v>0.151111111111111</v>
      </c>
      <c r="P10" s="164" t="n">
        <f aca="false">'[1]Gebäudehülle über Terrain'!L45/B15</f>
        <v>0.151111111111111</v>
      </c>
      <c r="R10" s="164" t="n">
        <f aca="false">'[1]Gebäudehülle über Terrain'!L60/B15</f>
        <v>0.00823333333333333</v>
      </c>
      <c r="S10" s="164" t="n">
        <f aca="false">'[1]Gebäudehülle über Terrain'!L69/B15</f>
        <v>0.00823333333333333</v>
      </c>
      <c r="T10" s="164" t="n">
        <f aca="false">'[1]Gebäudehülle über Terrain'!L81/B16</f>
        <v>0.24</v>
      </c>
      <c r="U10" s="164" t="n">
        <f aca="false">'[1]Gebäudehülle über Terrain'!L91/B16</f>
        <v>0.02825</v>
      </c>
      <c r="AB10" s="164" t="n">
        <f aca="false">'[1]Gebäudehülle über Terrain'!L149/B15</f>
        <v>0.151111111111111</v>
      </c>
      <c r="AC10" s="164" t="n">
        <f aca="false">'[1]Gebäudehülle über Terrain'!L157/B15</f>
        <v>0.151111111111111</v>
      </c>
      <c r="AE10" s="164" t="n">
        <f aca="false">'[1]Gebäudehülle über Terrain'!L171/B15</f>
        <v>0.151111111111111</v>
      </c>
      <c r="AF10" s="164" t="n">
        <f aca="false">'[1]Gebäudehülle über Terrain'!L179/B15</f>
        <v>0.00516666666666667</v>
      </c>
      <c r="AG10" s="164" t="n">
        <f aca="false">'[1]Gebäudehülle über Terrain'!L190/B15</f>
        <v>0.00039</v>
      </c>
      <c r="AH10" s="164" t="n">
        <f aca="false">'[1]Gebäudehülle über Terrain'!L199/B15</f>
        <v>0.00039</v>
      </c>
      <c r="AI10" s="164" t="n">
        <f aca="false">'[1]Gebäudehülle über Terrain'!L208/B15</f>
        <v>0.00039</v>
      </c>
      <c r="AK10" s="85" t="n">
        <f aca="false">'[1]Baumaterialien Matériaux'!$S$187/B16</f>
        <v>0.13325</v>
      </c>
      <c r="AL10" s="85" t="n">
        <f aca="false">'[1]Baumaterialien Matériaux'!$S$187/B16</f>
        <v>0.13325</v>
      </c>
      <c r="AN10" s="164" t="n">
        <f aca="false">'[1]Innenbauteile &amp; Aussenbauteile'!L9/B15</f>
        <v>0.151111111111111</v>
      </c>
      <c r="AS10" s="164" t="n">
        <f aca="false">'[1]Innenbauteile &amp; Aussenbauteile'!L51/B15</f>
        <v>0.151111111111111</v>
      </c>
      <c r="AT10" s="164" t="n">
        <f aca="false">'[1]Innenbauteile &amp; Aussenbauteile'!L59/B15</f>
        <v>0.00516666666666667</v>
      </c>
      <c r="AU10" s="164" t="n">
        <f aca="false">'[1]Innenbauteile &amp; Aussenbauteile'!L69/B15</f>
        <v>0.00516666666666667</v>
      </c>
      <c r="BC10" s="164" t="n">
        <f aca="false">'[1]Innenbauteile &amp; Aussenbauteile'!L129/B16</f>
        <v>0.00730968858131488</v>
      </c>
    </row>
    <row r="11" customFormat="false" ht="15" hidden="false" customHeight="false" outlineLevel="0" collapsed="false">
      <c r="F11" s="164" t="n">
        <f aca="false">'[1]Gebäudehülle u.T.'!L32/B17</f>
        <v>0.051</v>
      </c>
      <c r="G11" s="164" t="n">
        <f aca="false">'[1]Gebäudehülle u.T.'!L41/B17</f>
        <v>0.051</v>
      </c>
      <c r="H11" s="164" t="n">
        <f aca="false">'[1]Gebäudehülle u.T.'!L53/B17</f>
        <v>0.000195</v>
      </c>
      <c r="I11" s="164" t="n">
        <f aca="false">'[1]Gebäudehülle u.T.'!L62/B17</f>
        <v>0.0496666666666667</v>
      </c>
      <c r="J11" s="164" t="n">
        <f aca="false">'[1]Gebäudehülle u.T.'!L73/B17</f>
        <v>0.051</v>
      </c>
      <c r="R11" s="164" t="n">
        <f aca="false">'[1]Gebäudehülle über Terrain'!L61/B15</f>
        <v>0.151111111111111</v>
      </c>
      <c r="S11" s="164" t="n">
        <f aca="false">'[1]Gebäudehülle über Terrain'!L70/B15</f>
        <v>0.151111111111111</v>
      </c>
      <c r="T11" s="164" t="n">
        <f aca="false">'[1]Gebäudehülle über Terrain'!L82/B16</f>
        <v>0.02825</v>
      </c>
      <c r="U11" s="164" t="n">
        <f aca="false">'[1]Gebäudehülle über Terrain'!L92/B16</f>
        <v>0.13825</v>
      </c>
      <c r="AF11" s="164" t="n">
        <f aca="false">'[1]Gebäudehülle über Terrain'!L180/B15</f>
        <v>0.151111111111111</v>
      </c>
      <c r="AG11" s="164" t="n">
        <f aca="false">'[1]Gebäudehülle über Terrain'!L191/B15</f>
        <v>0.000466666666666667</v>
      </c>
      <c r="AH11" s="164" t="n">
        <f aca="false">'[1]Gebäudehülle über Terrain'!L200/B15</f>
        <v>0.000466666666666667</v>
      </c>
      <c r="AI11" s="164" t="n">
        <f aca="false">'[1]Gebäudehülle über Terrain'!L209/B15</f>
        <v>0.000466666666666667</v>
      </c>
      <c r="AT11" s="164" t="n">
        <f aca="false">'[1]Innenbauteile &amp; Aussenbauteile'!L60/B15</f>
        <v>0.151111111111111</v>
      </c>
      <c r="AU11" s="164" t="n">
        <f aca="false">'[1]Innenbauteile &amp; Aussenbauteile'!L70/B15</f>
        <v>0.151111111111111</v>
      </c>
      <c r="BC11" s="164" t="n">
        <f aca="false">'[1]Innenbauteile &amp; Aussenbauteile'!L130/B16</f>
        <v>0.08775</v>
      </c>
    </row>
    <row r="12" customFormat="false" ht="15" hidden="false" customHeight="false" outlineLevel="0" collapsed="false">
      <c r="I12" s="164" t="n">
        <f aca="false">'[1]Gebäudehülle u.T.'!L63/B17</f>
        <v>0.0921666666666667</v>
      </c>
      <c r="J12" s="164" t="n">
        <f aca="false">'[1]Gebäudehülle u.T.'!L74/B17</f>
        <v>0.0496666666666667</v>
      </c>
      <c r="T12" s="164" t="n">
        <f aca="false">'[1]Gebäudehülle über Terrain'!L83/B16</f>
        <v>0.13825</v>
      </c>
    </row>
    <row r="13" customFormat="false" ht="15" hidden="false" customHeight="false" outlineLevel="0" collapsed="false">
      <c r="I13" s="164" t="n">
        <f aca="false">'[1]Gebäudehülle u.T.'!L64/B17</f>
        <v>0.000195</v>
      </c>
      <c r="J13" s="164" t="n">
        <f aca="false">'[1]Gebäudehülle u.T.'!L75/B17</f>
        <v>0.0921666666666667</v>
      </c>
    </row>
    <row r="14" customFormat="false" ht="15" hidden="false" customHeight="false" outlineLevel="0" collapsed="false">
      <c r="B14" s="163" t="s">
        <v>473</v>
      </c>
      <c r="J14" s="164" t="n">
        <f aca="false">'[1]Gebäudehülle u.T.'!L76/B17</f>
        <v>0.000195</v>
      </c>
    </row>
    <row r="15" customFormat="false" ht="15" hidden="false" customHeight="false" outlineLevel="0" collapsed="false">
      <c r="B15" s="0" t="n">
        <v>30</v>
      </c>
    </row>
    <row r="16" customFormat="false" ht="15" hidden="false" customHeight="false" outlineLevel="0" collapsed="false">
      <c r="B16" s="0" t="n">
        <v>40</v>
      </c>
    </row>
    <row r="17" customFormat="false" ht="15" hidden="false" customHeight="false" outlineLevel="0" collapsed="false">
      <c r="B17" s="0" t="n">
        <v>60</v>
      </c>
    </row>
    <row r="20" customFormat="false" ht="15" hidden="false" customHeight="false" outlineLevel="0" collapsed="false">
      <c r="B20" s="41"/>
    </row>
    <row r="21" customFormat="false" ht="15" hidden="false" customHeight="false" outlineLevel="0" collapsed="false">
      <c r="D21" s="97"/>
      <c r="E21" s="97"/>
      <c r="F21" s="97"/>
      <c r="H21" s="73"/>
      <c r="I21" s="73"/>
      <c r="J21" s="73"/>
      <c r="K21" s="73"/>
      <c r="L21" s="73"/>
      <c r="M21" s="73"/>
    </row>
  </sheetData>
  <mergeCells count="2">
    <mergeCell ref="D21:F21"/>
    <mergeCell ref="H21:M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B1:BG20"/>
  <sheetViews>
    <sheetView showFormulas="false" showGridLines="true" showRowColHeaders="true" showZeros="true" rightToLeft="false" tabSelected="false" showOutlineSymbols="true" defaultGridColor="true" view="normal" topLeftCell="AG1" colorId="64" zoomScale="100" zoomScaleNormal="100" zoomScalePageLayoutView="100" workbookViewId="0">
      <selection pane="topLeft" activeCell="BC5" activeCellId="0" sqref="BC5"/>
    </sheetView>
  </sheetViews>
  <sheetFormatPr defaultColWidth="10.921875" defaultRowHeight="15" zeroHeight="false" outlineLevelRow="0" outlineLevelCol="0"/>
  <cols>
    <col collapsed="false" customWidth="true" hidden="false" outlineLevel="0" max="6" min="6" style="0" width="35.42"/>
    <col collapsed="false" customWidth="true" hidden="false" outlineLevel="0" max="7" min="7" style="0" width="14.15"/>
  </cols>
  <sheetData>
    <row r="1" customFormat="false" ht="15" hidden="false" customHeight="false" outlineLevel="0" collapsed="false">
      <c r="F1" s="0" t="s">
        <v>131</v>
      </c>
      <c r="G1" s="0" t="s">
        <v>260</v>
      </c>
    </row>
    <row r="3" customFormat="false" ht="15" hidden="false" customHeight="false" outlineLevel="0" collapsed="false">
      <c r="B3" s="162" t="s">
        <v>472</v>
      </c>
      <c r="C3" s="162" t="s">
        <v>442</v>
      </c>
      <c r="D3" s="162" t="s">
        <v>63</v>
      </c>
      <c r="E3" s="162" t="s">
        <v>443</v>
      </c>
      <c r="F3" s="162" t="s">
        <v>444</v>
      </c>
      <c r="G3" s="162" t="s">
        <v>68</v>
      </c>
      <c r="H3" s="0" t="s">
        <v>445</v>
      </c>
      <c r="I3" s="0" t="s">
        <v>73</v>
      </c>
      <c r="J3" s="0" t="s">
        <v>73</v>
      </c>
      <c r="K3" s="162" t="s">
        <v>446</v>
      </c>
      <c r="L3" s="162" t="s">
        <v>447</v>
      </c>
      <c r="M3" s="162" t="s">
        <v>448</v>
      </c>
      <c r="N3" s="162" t="s">
        <v>80</v>
      </c>
      <c r="O3" s="162" t="s">
        <v>449</v>
      </c>
      <c r="P3" s="162" t="s">
        <v>80</v>
      </c>
      <c r="Q3" s="162" t="s">
        <v>450</v>
      </c>
      <c r="R3" s="162" t="s">
        <v>450</v>
      </c>
      <c r="S3" s="162" t="s">
        <v>451</v>
      </c>
      <c r="T3" s="162" t="s">
        <v>452</v>
      </c>
      <c r="U3" s="162" t="s">
        <v>450</v>
      </c>
      <c r="V3" s="162" t="s">
        <v>450</v>
      </c>
      <c r="W3" s="162" t="s">
        <v>450</v>
      </c>
      <c r="X3" s="162" t="s">
        <v>450</v>
      </c>
      <c r="Y3" s="162" t="s">
        <v>453</v>
      </c>
      <c r="Z3" s="162" t="s">
        <v>450</v>
      </c>
      <c r="AA3" s="0" t="s">
        <v>97</v>
      </c>
      <c r="AB3" s="162" t="s">
        <v>454</v>
      </c>
      <c r="AC3" s="162" t="s">
        <v>455</v>
      </c>
      <c r="AD3" s="162" t="s">
        <v>83</v>
      </c>
      <c r="AE3" s="162" t="s">
        <v>456</v>
      </c>
      <c r="AF3" s="162" t="s">
        <v>457</v>
      </c>
      <c r="AG3" s="162" t="s">
        <v>458</v>
      </c>
      <c r="AH3" s="162" t="s">
        <v>459</v>
      </c>
      <c r="AI3" s="162" t="s">
        <v>459</v>
      </c>
      <c r="AJ3" s="162" t="s">
        <v>459</v>
      </c>
      <c r="AK3" s="162" t="s">
        <v>459</v>
      </c>
      <c r="AL3" s="162" t="s">
        <v>460</v>
      </c>
      <c r="AM3" s="162" t="s">
        <v>459</v>
      </c>
      <c r="AN3" s="162" t="s">
        <v>461</v>
      </c>
      <c r="AO3" s="162" t="s">
        <v>462</v>
      </c>
      <c r="AP3" s="162" t="s">
        <v>92</v>
      </c>
      <c r="AQ3" s="162" t="s">
        <v>463</v>
      </c>
      <c r="AR3" s="162" t="s">
        <v>92</v>
      </c>
      <c r="AS3" s="162" t="s">
        <v>464</v>
      </c>
      <c r="AT3" s="162" t="s">
        <v>465</v>
      </c>
      <c r="AU3" s="162" t="s">
        <v>466</v>
      </c>
      <c r="AV3" s="162" t="s">
        <v>467</v>
      </c>
      <c r="AW3" s="162" t="s">
        <v>468</v>
      </c>
      <c r="AX3" s="162" t="s">
        <v>469</v>
      </c>
      <c r="AY3" s="162" t="s">
        <v>293</v>
      </c>
      <c r="AZ3" s="162" t="s">
        <v>293</v>
      </c>
      <c r="BA3" s="162" t="s">
        <v>470</v>
      </c>
      <c r="BB3" s="162" t="s">
        <v>471</v>
      </c>
      <c r="BC3" s="0" t="s">
        <v>99</v>
      </c>
    </row>
    <row r="4" customFormat="false" ht="15" hidden="false" customHeight="false" outlineLevel="0" collapsed="false">
      <c r="B4" s="76" t="s">
        <v>328</v>
      </c>
      <c r="C4" s="51" t="s">
        <v>134</v>
      </c>
      <c r="D4" s="51" t="s">
        <v>178</v>
      </c>
      <c r="E4" s="163" t="s">
        <v>133</v>
      </c>
      <c r="F4" s="0" t="s">
        <v>141</v>
      </c>
      <c r="G4" s="0" t="s">
        <v>179</v>
      </c>
      <c r="H4" s="0" t="s">
        <v>135</v>
      </c>
      <c r="I4" s="0" t="s">
        <v>182</v>
      </c>
      <c r="J4" s="0" t="s">
        <v>183</v>
      </c>
      <c r="K4" s="0" t="s">
        <v>165</v>
      </c>
      <c r="L4" s="0" t="s">
        <v>166</v>
      </c>
      <c r="M4" s="0" t="s">
        <v>145</v>
      </c>
      <c r="N4" s="0" t="s">
        <v>217</v>
      </c>
      <c r="O4" s="0" t="s">
        <v>151</v>
      </c>
      <c r="P4" s="0" t="s">
        <v>218</v>
      </c>
      <c r="Q4" s="0" t="s">
        <v>219</v>
      </c>
      <c r="R4" s="0" t="s">
        <v>188</v>
      </c>
      <c r="S4" s="0" t="s">
        <v>139</v>
      </c>
      <c r="T4" s="0" t="s">
        <v>146</v>
      </c>
      <c r="U4" s="0" t="s">
        <v>189</v>
      </c>
      <c r="V4" s="0" t="s">
        <v>190</v>
      </c>
      <c r="W4" s="0" t="s">
        <v>191</v>
      </c>
      <c r="X4" s="0" t="s">
        <v>192</v>
      </c>
      <c r="Y4" s="0" t="s">
        <v>193</v>
      </c>
      <c r="Z4" s="0" t="s">
        <v>152</v>
      </c>
      <c r="AA4" s="0" t="s">
        <v>138</v>
      </c>
      <c r="AB4" s="0" t="s">
        <v>167</v>
      </c>
      <c r="AC4" s="0" t="s">
        <v>200</v>
      </c>
      <c r="AD4" s="0" t="s">
        <v>150</v>
      </c>
      <c r="AE4" s="0" t="s">
        <v>143</v>
      </c>
      <c r="AF4" s="0" t="s">
        <v>169</v>
      </c>
      <c r="AG4" s="0" t="s">
        <v>144</v>
      </c>
      <c r="AH4" s="0" t="s">
        <v>195</v>
      </c>
      <c r="AI4" s="0" t="s">
        <v>203</v>
      </c>
      <c r="AJ4" s="0" t="s">
        <v>340</v>
      </c>
      <c r="AK4" s="0" t="s">
        <v>196</v>
      </c>
      <c r="AL4" s="0" t="s">
        <v>170</v>
      </c>
      <c r="AM4" s="0" t="s">
        <v>341</v>
      </c>
      <c r="AN4" s="0" t="s">
        <v>168</v>
      </c>
      <c r="AO4" s="0" t="s">
        <v>171</v>
      </c>
      <c r="AP4" s="0" t="s">
        <v>180</v>
      </c>
      <c r="AQ4" s="0" t="s">
        <v>147</v>
      </c>
      <c r="AR4" s="0" t="s">
        <v>181</v>
      </c>
      <c r="AS4" s="0" t="s">
        <v>136</v>
      </c>
      <c r="AT4" s="0" t="s">
        <v>142</v>
      </c>
      <c r="AU4" s="0" t="s">
        <v>149</v>
      </c>
      <c r="AV4" s="0" t="s">
        <v>155</v>
      </c>
      <c r="AW4" s="0" t="s">
        <v>148</v>
      </c>
      <c r="AX4" s="0" t="s">
        <v>154</v>
      </c>
      <c r="AY4" s="0" t="s">
        <v>186</v>
      </c>
      <c r="AZ4" s="0" t="s">
        <v>187</v>
      </c>
      <c r="BA4" s="0" t="s">
        <v>159</v>
      </c>
      <c r="BB4" s="0" t="s">
        <v>160</v>
      </c>
      <c r="BC4" s="0" t="s">
        <v>137</v>
      </c>
    </row>
    <row r="5" customFormat="false" ht="15" hidden="false" customHeight="false" outlineLevel="0" collapsed="false">
      <c r="B5" s="164" t="n">
        <f aca="false">'[1]Gebäudehülle u.T.'!H4</f>
        <v>2150</v>
      </c>
      <c r="C5" s="164" t="n">
        <f aca="false">'[1]Gebäudehülle u.T.'!H4</f>
        <v>2150</v>
      </c>
      <c r="D5" s="164" t="n">
        <f aca="false">'[1]Gebäudehülle u.T.'!H4</f>
        <v>2150</v>
      </c>
      <c r="E5" s="164" t="n">
        <f aca="false">'[1]Gebäudehülle u.T.'!H23</f>
        <v>2300</v>
      </c>
      <c r="F5" s="164" t="n">
        <f aca="false">'[1]Gebäudehülle u.T.'!H23</f>
        <v>2300</v>
      </c>
      <c r="G5" s="164" t="n">
        <f aca="false">'[1]Gebäudehülle u.T.'!H35</f>
        <v>2300</v>
      </c>
      <c r="H5" s="164" t="n">
        <f aca="false">'[1]Gebäudehülle u.T.'!H47</f>
        <v>2300</v>
      </c>
      <c r="I5" s="164" t="n">
        <f aca="false">'[1]Gebäudehülle u.T.'!H56</f>
        <v>2300</v>
      </c>
      <c r="J5" s="164" t="n">
        <f aca="false">'[1]Gebäudehülle u.T.'!H67</f>
        <v>2300</v>
      </c>
      <c r="K5" s="164" t="n">
        <f aca="false">'[1]Gebäudehülle über Terrain'!H4</f>
        <v>2300</v>
      </c>
      <c r="L5" s="164" t="n">
        <f aca="false">'[1]Gebäudehülle über Terrain'!H12</f>
        <v>900</v>
      </c>
      <c r="M5" s="164" t="n">
        <f aca="false">'[1]Gebäudehülle über Terrain'!H19</f>
        <v>485</v>
      </c>
      <c r="N5" s="164" t="n">
        <f aca="false">'[1]Gebäudehülle über Terrain'!H27</f>
        <v>2300</v>
      </c>
      <c r="O5" s="164" t="n">
        <f aca="false">'[1]Gebäudehülle über Terrain'!H32</f>
        <v>2500</v>
      </c>
      <c r="P5" s="164" t="n">
        <f aca="false">'[1]Gebäudehülle über Terrain'!H40</f>
        <v>102.5</v>
      </c>
      <c r="Q5" s="164" t="n">
        <f aca="false">'[1]Gebäudehülle über Terrain'!H50</f>
        <v>1550</v>
      </c>
      <c r="R5" s="164" t="n">
        <f aca="false">'[1]Gebäudehülle über Terrain'!H55</f>
        <v>1400</v>
      </c>
      <c r="S5" s="164" t="n">
        <f aca="false">'[1]Gebäudehülle über Terrain'!H64</f>
        <v>1400</v>
      </c>
      <c r="T5" s="164" t="n">
        <f aca="false">'[1]Gebäudehülle über Terrain'!H76</f>
        <v>465</v>
      </c>
      <c r="U5" s="164" t="n">
        <f aca="false">'[1]Gebäudehülle über Terrain'!H86</f>
        <v>1800</v>
      </c>
      <c r="V5" s="164" t="n">
        <f aca="false">'[1]Gebäudehülle über Terrain'!H95</f>
        <v>2500</v>
      </c>
      <c r="W5" s="164" t="n">
        <f aca="false">'[1]Gebäudehülle über Terrain'!H105</f>
        <v>1775</v>
      </c>
      <c r="X5" s="164" t="n">
        <f aca="false">'[1]Gebäudehülle über Terrain'!H113</f>
        <v>2500</v>
      </c>
      <c r="Y5" s="164" t="n">
        <f aca="false">'[1]Gebäudehülle über Terrain'!H123</f>
        <v>1700</v>
      </c>
      <c r="Z5" s="164" t="n">
        <f aca="false">'[1]Gebäudehülle über Terrain'!H130</f>
        <v>10</v>
      </c>
      <c r="AA5" s="164" t="n">
        <f aca="false">'[1]Gebäudehülle über Terrain'!F137</f>
        <v>0.22</v>
      </c>
      <c r="AB5" s="164" t="n">
        <f aca="false">'[1]Gebäudehülle über Terrain'!H144</f>
        <v>2300</v>
      </c>
      <c r="AC5" s="164" t="n">
        <f aca="false">'[1]Gebäudehülle über Terrain'!H152</f>
        <v>2300</v>
      </c>
      <c r="AD5" s="164" t="n">
        <f aca="false">'[1]Gebäudehülle über Terrain'!H160</f>
        <v>2300</v>
      </c>
      <c r="AE5" s="164" t="n">
        <f aca="false">'[1]Gebäudehülle über Terrain'!H166</f>
        <v>470</v>
      </c>
      <c r="AF5" s="164" t="n">
        <f aca="false">'[1]Gebäudehülle über Terrain'!H174</f>
        <v>465</v>
      </c>
      <c r="AG5" s="164" t="n">
        <f aca="false">'[1]Gebäudehülle über Terrain'!H185</f>
        <v>25</v>
      </c>
      <c r="AH5" s="164" t="n">
        <f aca="false">'[1]Gebäudehülle über Terrain'!H194</f>
        <v>30</v>
      </c>
      <c r="AI5" s="164" t="n">
        <f aca="false">'[1]Gebäudehülle über Terrain'!H203</f>
        <v>160</v>
      </c>
      <c r="AJ5" s="164" t="n">
        <f aca="false">'[1]Gebäudehülle über Terrain'!H215</f>
        <v>125</v>
      </c>
      <c r="AK5" s="164" t="n">
        <f aca="false">'[1]Gebäudehülle über Terrain'!H223</f>
        <v>485</v>
      </c>
      <c r="AL5" s="164" t="n">
        <f aca="false">'[1]Gebäudehülle über Terrain'!H231</f>
        <v>485</v>
      </c>
      <c r="AM5" s="164" t="n">
        <f aca="false">'[1]Gebäudehülle über Terrain'!H242</f>
        <v>485</v>
      </c>
      <c r="AN5" s="164" t="n">
        <f aca="false">'[1]Innenbauteile &amp; Aussenbauteile'!H4</f>
        <v>2300</v>
      </c>
      <c r="AO5" s="164" t="n">
        <f aca="false">'[1]Innenbauteile &amp; Aussenbauteile'!H12</f>
        <v>900</v>
      </c>
      <c r="AP5" s="164" t="n">
        <f aca="false">'[1]Innenbauteile &amp; Aussenbauteile'!H19</f>
        <v>1400</v>
      </c>
      <c r="AQ5" s="164" t="n">
        <f aca="false">'[1]Innenbauteile &amp; Aussenbauteile'!H29</f>
        <v>850</v>
      </c>
      <c r="AR5" s="164" t="n">
        <f aca="false">'[1]Innenbauteile &amp; Aussenbauteile'!H36</f>
        <v>1200</v>
      </c>
      <c r="AS5" s="164" t="n">
        <f aca="false">'[1]Innenbauteile &amp; Aussenbauteile'!H46</f>
        <v>2300</v>
      </c>
      <c r="AT5" s="164" t="n">
        <f aca="false">'[1]Innenbauteile &amp; Aussenbauteile'!H54</f>
        <v>465</v>
      </c>
      <c r="AU5" s="164" t="n">
        <f aca="false">'[1]Innenbauteile &amp; Aussenbauteile'!H64</f>
        <v>2300</v>
      </c>
      <c r="AV5" s="164" t="n">
        <f aca="false">'[1]Innenbauteile &amp; Aussenbauteile'!H73</f>
        <v>50</v>
      </c>
      <c r="AW5" s="164" t="n">
        <f aca="false">'[1]Innenbauteile &amp; Aussenbauteile'!H77</f>
        <v>1200</v>
      </c>
      <c r="AX5" s="164" t="n">
        <f aca="false">'[1]Innenbauteile &amp; Aussenbauteile'!H83</f>
        <v>7850</v>
      </c>
      <c r="AY5" s="164" t="n">
        <f aca="false">'[1]Innenbauteile &amp; Aussenbauteile'!H93</f>
        <v>1160</v>
      </c>
      <c r="AZ5" s="164" t="n">
        <f aca="false">'[1]Innenbauteile &amp; Aussenbauteile'!H97</f>
        <v>554.545454545455</v>
      </c>
      <c r="BA5" s="164" t="n">
        <f aca="false">'[1]Innenbauteile &amp; Aussenbauteile'!H104</f>
        <v>554.545454545455</v>
      </c>
      <c r="BB5" s="164" t="n">
        <f aca="false">'[1]Innenbauteile &amp; Aussenbauteile'!H111</f>
        <v>2000</v>
      </c>
      <c r="BC5" s="164" t="n">
        <f aca="false">'[1]Innenbauteile &amp; Aussenbauteile'!H124</f>
        <v>2300</v>
      </c>
      <c r="BD5" s="164"/>
      <c r="BE5" s="164"/>
      <c r="BF5" s="164"/>
      <c r="BG5" s="164"/>
    </row>
    <row r="6" customFormat="false" ht="15" hidden="false" customHeight="false" outlineLevel="0" collapsed="false">
      <c r="B6" s="164" t="n">
        <f aca="false">'[1]Gebäudehülle u.T.'!H5</f>
        <v>2300</v>
      </c>
      <c r="C6" s="164" t="n">
        <f aca="false">'[1]Gebäudehülle u.T.'!H5</f>
        <v>2300</v>
      </c>
      <c r="D6" s="164" t="n">
        <f aca="false">'[1]Gebäudehülle u.T.'!H5</f>
        <v>2300</v>
      </c>
      <c r="E6" s="164" t="n">
        <f aca="false">'[1]Gebäudehülle u.T.'!H24</f>
        <v>7850</v>
      </c>
      <c r="F6" s="164" t="n">
        <f aca="false">'[1]Gebäudehülle u.T.'!H24</f>
        <v>7850</v>
      </c>
      <c r="G6" s="164" t="n">
        <f aca="false">'[1]Gebäudehülle u.T.'!H36</f>
        <v>7850</v>
      </c>
      <c r="H6" s="164" t="n">
        <f aca="false">'[1]Gebäudehülle u.T.'!H48</f>
        <v>7850</v>
      </c>
      <c r="I6" s="164" t="n">
        <f aca="false">'[1]Gebäudehülle u.T.'!H57</f>
        <v>7850</v>
      </c>
      <c r="J6" s="164" t="n">
        <f aca="false">'[1]Gebäudehülle u.T.'!H68</f>
        <v>7850</v>
      </c>
      <c r="K6" s="164" t="n">
        <f aca="false">'[1]Gebäudehülle über Terrain'!H5</f>
        <v>7850</v>
      </c>
      <c r="L6" s="164" t="n">
        <f aca="false">'[1]Gebäudehülle über Terrain'!H13</f>
        <v>1550</v>
      </c>
      <c r="M6" s="164" t="n">
        <f aca="false">'[1]Gebäudehülle über Terrain'!H20</f>
        <v>485</v>
      </c>
      <c r="N6" s="164" t="n">
        <f aca="false">'[1]Gebäudehülle über Terrain'!H28</f>
        <v>7850</v>
      </c>
      <c r="O6" s="164" t="n">
        <f aca="false">'[1]Gebäudehülle über Terrain'!H33</f>
        <v>7850</v>
      </c>
      <c r="P6" s="164" t="n">
        <f aca="false">'[1]Gebäudehülle über Terrain'!H41</f>
        <v>900</v>
      </c>
      <c r="Q6" s="164" t="n">
        <f aca="false">'[1]Gebäudehülle über Terrain'!H51</f>
        <v>1550</v>
      </c>
      <c r="R6" s="164" t="n">
        <f aca="false">'[1]Gebäudehülle über Terrain'!H56</f>
        <v>80</v>
      </c>
      <c r="S6" s="164" t="n">
        <f aca="false">'[1]Gebäudehülle über Terrain'!H65</f>
        <v>16</v>
      </c>
      <c r="T6" s="164" t="n">
        <f aca="false">'[1]Gebäudehülle über Terrain'!H77</f>
        <v>150</v>
      </c>
      <c r="U6" s="164" t="n">
        <f aca="false">'[1]Gebäudehülle über Terrain'!H87</f>
        <v>2690</v>
      </c>
      <c r="V6" s="164" t="n">
        <f aca="false">'[1]Gebäudehülle über Terrain'!H96</f>
        <v>2690</v>
      </c>
      <c r="W6" s="164" t="n">
        <f aca="false">'[1]Gebäudehülle über Terrain'!H106</f>
        <v>2690</v>
      </c>
      <c r="X6" s="164" t="n">
        <f aca="false">'[1]Gebäudehülle über Terrain'!H114</f>
        <v>2690</v>
      </c>
      <c r="Y6" s="164" t="n">
        <f aca="false">'[1]Gebäudehülle über Terrain'!H124</f>
        <v>7900</v>
      </c>
      <c r="Z6" s="164" t="n">
        <f aca="false">'[1]Gebäudehülle über Terrain'!H131</f>
        <v>10</v>
      </c>
      <c r="AA6" s="164" t="n">
        <f aca="false">'[1]Gebäudehülle über Terrain'!F138</f>
        <v>0.78</v>
      </c>
      <c r="AB6" s="164" t="n">
        <f aca="false">'[1]Gebäudehülle über Terrain'!H145</f>
        <v>7850</v>
      </c>
      <c r="AC6" s="164" t="n">
        <f aca="false">'[1]Gebäudehülle über Terrain'!H153</f>
        <v>7850</v>
      </c>
      <c r="AD6" s="164" t="n">
        <f aca="false">'[1]Gebäudehülle über Terrain'!H161</f>
        <v>7850</v>
      </c>
      <c r="AE6" s="164" t="n">
        <f aca="false">'[1]Gebäudehülle über Terrain'!H167</f>
        <v>465</v>
      </c>
      <c r="AF6" s="164" t="n">
        <f aca="false">'[1]Gebäudehülle über Terrain'!H175</f>
        <v>500</v>
      </c>
      <c r="AG6" s="164" t="n">
        <f aca="false">'[1]Gebäudehülle über Terrain'!H186</f>
        <v>1100</v>
      </c>
      <c r="AH6" s="164" t="n">
        <f aca="false">'[1]Gebäudehülle über Terrain'!H195</f>
        <v>1100</v>
      </c>
      <c r="AI6" s="164" t="n">
        <f aca="false">'[1]Gebäudehülle über Terrain'!H204</f>
        <v>1100</v>
      </c>
      <c r="AJ6" s="164" t="n">
        <f aca="false">'[1]Gebäudehülle über Terrain'!H216</f>
        <v>1100</v>
      </c>
      <c r="AK6" s="164" t="n">
        <f aca="false">'[1]Gebäudehülle über Terrain'!H224</f>
        <v>920</v>
      </c>
      <c r="AL6" s="164" t="n">
        <f aca="false">'[1]Gebäudehülle über Terrain'!H232</f>
        <v>920</v>
      </c>
      <c r="AM6" s="164" t="n">
        <f aca="false">'[1]Gebäudehülle über Terrain'!H243</f>
        <v>920</v>
      </c>
      <c r="AN6" s="164" t="n">
        <f aca="false">'[1]Innenbauteile &amp; Aussenbauteile'!H5</f>
        <v>7850</v>
      </c>
      <c r="AO6" s="164" t="n">
        <f aca="false">'[1]Innenbauteile &amp; Aussenbauteile'!H13</f>
        <v>1550</v>
      </c>
      <c r="AP6" s="164" t="n">
        <f aca="false">'[1]Innenbauteile &amp; Aussenbauteile'!H20</f>
        <v>1550</v>
      </c>
      <c r="AQ6" s="164" t="n">
        <f aca="false">'[1]Innenbauteile &amp; Aussenbauteile'!H30</f>
        <v>7850</v>
      </c>
      <c r="AR6" s="164" t="n">
        <f aca="false">'[1]Innenbauteile &amp; Aussenbauteile'!H37</f>
        <v>7850</v>
      </c>
      <c r="AS6" s="164" t="n">
        <f aca="false">'[1]Innenbauteile &amp; Aussenbauteile'!H47</f>
        <v>7850</v>
      </c>
      <c r="AT6" s="164" t="n">
        <f aca="false">'[1]Innenbauteile &amp; Aussenbauteile'!H55</f>
        <v>1500</v>
      </c>
      <c r="AU6" s="164" t="n">
        <f aca="false">'[1]Innenbauteile &amp; Aussenbauteile'!H65</f>
        <v>7850</v>
      </c>
      <c r="AV6" s="164" t="n">
        <f aca="false">'[1]Innenbauteile &amp; Aussenbauteile'!H74</f>
        <v>920</v>
      </c>
      <c r="AW6" s="164" t="n">
        <f aca="false">'[1]Innenbauteile &amp; Aussenbauteile'!H78</f>
        <v>7850</v>
      </c>
      <c r="AX6" s="164" t="n">
        <f aca="false">'[1]Innenbauteile &amp; Aussenbauteile'!H84</f>
        <v>1000</v>
      </c>
      <c r="AY6" s="164" t="n">
        <f aca="false">'[1]Innenbauteile &amp; Aussenbauteile'!H94</f>
        <v>1500</v>
      </c>
      <c r="AZ6" s="164" t="n">
        <f aca="false">'[1]Innenbauteile &amp; Aussenbauteile'!H98</f>
        <v>1500</v>
      </c>
      <c r="BA6" s="164" t="n">
        <f aca="false">'[1]Innenbauteile &amp; Aussenbauteile'!H105</f>
        <v>1500</v>
      </c>
      <c r="BB6" s="164" t="n">
        <f aca="false">'[1]Innenbauteile &amp; Aussenbauteile'!H112</f>
        <v>1400</v>
      </c>
      <c r="BC6" s="164" t="n">
        <f aca="false">'[1]Innenbauteile &amp; Aussenbauteile'!H125</f>
        <v>7850</v>
      </c>
      <c r="BD6" s="164"/>
      <c r="BE6" s="164"/>
      <c r="BF6" s="164"/>
      <c r="BG6" s="164"/>
    </row>
    <row r="7" customFormat="false" ht="15" hidden="false" customHeight="false" outlineLevel="0" collapsed="false">
      <c r="B7" s="164" t="n">
        <f aca="false">'[1]Gebäudehülle u.T.'!H6</f>
        <v>7850</v>
      </c>
      <c r="C7" s="164" t="n">
        <f aca="false">'[1]Gebäudehülle u.T.'!H6</f>
        <v>7850</v>
      </c>
      <c r="D7" s="164" t="n">
        <f aca="false">'[1]Gebäudehülle u.T.'!H6</f>
        <v>7850</v>
      </c>
      <c r="E7" s="164" t="n">
        <f aca="false">'[1]Gebäudehülle u.T.'!H25</f>
        <v>470</v>
      </c>
      <c r="F7" s="164" t="n">
        <f aca="false">'[1]Gebäudehülle u.T.'!H25</f>
        <v>470</v>
      </c>
      <c r="G7" s="164" t="n">
        <f aca="false">'[1]Gebäudehülle u.T.'!H37</f>
        <v>470</v>
      </c>
      <c r="H7" s="164" t="n">
        <f aca="false">'[1]Gebäudehülle u.T.'!H49</f>
        <v>470</v>
      </c>
      <c r="I7" s="164" t="n">
        <f aca="false">'[1]Gebäudehülle u.T.'!H58</f>
        <v>470</v>
      </c>
      <c r="J7" s="164" t="n">
        <f aca="false">'[1]Gebäudehülle u.T.'!H69</f>
        <v>470</v>
      </c>
      <c r="K7" s="164" t="n">
        <f aca="false">'[1]Gebäudehülle über Terrain'!H6</f>
        <v>470</v>
      </c>
      <c r="L7" s="164" t="n">
        <f aca="false">'[1]Gebäudehülle über Terrain'!H14</f>
        <v>1550</v>
      </c>
      <c r="M7" s="164" t="n">
        <f aca="false">'[1]Gebäudehülle über Terrain'!H21</f>
        <v>850</v>
      </c>
      <c r="N7" s="164" t="n">
        <f aca="false">'[1]Gebäudehülle über Terrain'!H29</f>
        <v>470</v>
      </c>
      <c r="O7" s="164" t="n">
        <f aca="false">'[1]Gebäudehülle über Terrain'!H34</f>
        <v>470</v>
      </c>
      <c r="P7" s="164" t="n">
        <f aca="false">'[1]Gebäudehülle über Terrain'!H42</f>
        <v>1400</v>
      </c>
      <c r="Q7" s="164" t="n">
        <f aca="false">'[1]Gebäudehülle über Terrain'!H52</f>
        <v>150</v>
      </c>
      <c r="R7" s="164" t="n">
        <f aca="false">'[1]Gebäudehülle über Terrain'!H57</f>
        <v>1450</v>
      </c>
      <c r="S7" s="164" t="n">
        <f aca="false">'[1]Gebäudehülle über Terrain'!H66</f>
        <v>1450</v>
      </c>
      <c r="T7" s="164" t="n">
        <f aca="false">'[1]Gebäudehülle über Terrain'!H78</f>
        <v>7900</v>
      </c>
      <c r="U7" s="164" t="n">
        <f aca="false">'[1]Gebäudehülle über Terrain'!H88</f>
        <v>7900</v>
      </c>
      <c r="V7" s="164" t="n">
        <f aca="false">'[1]Gebäudehülle über Terrain'!H97</f>
        <v>1450</v>
      </c>
      <c r="W7" s="164" t="n">
        <f aca="false">'[1]Gebäudehülle über Terrain'!H107</f>
        <v>1450</v>
      </c>
      <c r="X7" s="164" t="n">
        <f aca="false">'[1]Gebäudehülle über Terrain'!H115</f>
        <v>1450</v>
      </c>
      <c r="Y7" s="164" t="n">
        <f aca="false">'[1]Gebäudehülle über Terrain'!H125</f>
        <v>1450</v>
      </c>
      <c r="Z7" s="164" t="n">
        <f aca="false">'[1]Gebäudehülle über Terrain'!H132</f>
        <v>10</v>
      </c>
      <c r="AA7" s="164" t="n">
        <f aca="false">'[1]Gebäudehülle über Terrain'!F139</f>
        <v>1</v>
      </c>
      <c r="AB7" s="164" t="n">
        <f aca="false">'[1]Gebäudehülle über Terrain'!H146</f>
        <v>470</v>
      </c>
      <c r="AC7" s="164" t="n">
        <f aca="false">'[1]Gebäudehülle über Terrain'!H154</f>
        <v>470</v>
      </c>
      <c r="AD7" s="164" t="n">
        <f aca="false">'[1]Gebäudehülle über Terrain'!H162</f>
        <v>7850</v>
      </c>
      <c r="AE7" s="164" t="n">
        <f aca="false">'[1]Gebäudehülle über Terrain'!H168</f>
        <v>485</v>
      </c>
      <c r="AF7" s="164" t="n">
        <f aca="false">'[1]Gebäudehülle über Terrain'!H176</f>
        <v>1500</v>
      </c>
      <c r="AG7" s="164" t="n">
        <f aca="false">'[1]Gebäudehülle über Terrain'!H187</f>
        <v>125</v>
      </c>
      <c r="AH7" s="164" t="n">
        <f aca="false">'[1]Gebäudehülle über Terrain'!H196</f>
        <v>125</v>
      </c>
      <c r="AI7" s="164" t="n">
        <f aca="false">'[1]Gebäudehülle über Terrain'!H205</f>
        <v>125</v>
      </c>
      <c r="AJ7" s="164" t="n">
        <f aca="false">'[1]Gebäudehülle über Terrain'!H217</f>
        <v>920</v>
      </c>
      <c r="AK7" s="164" t="n">
        <f aca="false">'[1]Gebäudehülle über Terrain'!H225</f>
        <v>1700</v>
      </c>
      <c r="AL7" s="164" t="n">
        <f aca="false">'[1]Gebäudehülle über Terrain'!H233</f>
        <v>1700</v>
      </c>
      <c r="AM7" s="164" t="n">
        <f aca="false">'[1]Gebäudehülle über Terrain'!H244</f>
        <v>1700</v>
      </c>
      <c r="AN7" s="164" t="n">
        <f aca="false">'[1]Innenbauteile &amp; Aussenbauteile'!H6</f>
        <v>470</v>
      </c>
      <c r="AO7" s="164" t="n">
        <f aca="false">'[1]Innenbauteile &amp; Aussenbauteile'!H14</f>
        <v>1550</v>
      </c>
      <c r="AP7" s="164" t="n">
        <f aca="false">'[1]Innenbauteile &amp; Aussenbauteile'!H21</f>
        <v>1550</v>
      </c>
      <c r="AQ7" s="164" t="n">
        <f aca="false">'[1]Innenbauteile &amp; Aussenbauteile'!H31</f>
        <v>20</v>
      </c>
      <c r="AR7" s="164" t="n">
        <f aca="false">'[1]Innenbauteile &amp; Aussenbauteile'!H38</f>
        <v>32</v>
      </c>
      <c r="AS7" s="164" t="n">
        <f aca="false">'[1]Innenbauteile &amp; Aussenbauteile'!H48</f>
        <v>470</v>
      </c>
      <c r="AT7" s="164" t="n">
        <f aca="false">'[1]Innenbauteile &amp; Aussenbauteile'!H56</f>
        <v>2000</v>
      </c>
      <c r="AU7" s="164" t="n">
        <f aca="false">'[1]Innenbauteile &amp; Aussenbauteile'!H66</f>
        <v>485</v>
      </c>
      <c r="AV7" s="164"/>
      <c r="AW7" s="164" t="n">
        <f aca="false">'[1]Innenbauteile &amp; Aussenbauteile'!H79</f>
        <v>925</v>
      </c>
      <c r="AX7" s="164" t="n">
        <f aca="false">'[1]Innenbauteile &amp; Aussenbauteile'!H85</f>
        <v>920</v>
      </c>
      <c r="AY7" s="164"/>
      <c r="AZ7" s="164"/>
      <c r="BA7" s="164" t="n">
        <f aca="false">'[1]Innenbauteile &amp; Aussenbauteile'!H106</f>
        <v>1700</v>
      </c>
      <c r="BB7" s="164" t="n">
        <f aca="false">'[1]Innenbauteile &amp; Aussenbauteile'!H113</f>
        <v>1700</v>
      </c>
      <c r="BC7" s="164" t="n">
        <f aca="false">'[1]Innenbauteile &amp; Aussenbauteile'!H126</f>
        <v>470</v>
      </c>
      <c r="BD7" s="164"/>
      <c r="BE7" s="164"/>
      <c r="BF7" s="164"/>
      <c r="BG7" s="164"/>
    </row>
    <row r="8" customFormat="false" ht="15" hidden="false" customHeight="false" outlineLevel="0" collapsed="false">
      <c r="C8" s="164" t="n">
        <f aca="false">'[1]Gebäudehülle u.T.'!H12</f>
        <v>33</v>
      </c>
      <c r="D8" s="164" t="n">
        <f aca="false">'[1]Gebäudehülle u.T.'!H16</f>
        <v>115</v>
      </c>
      <c r="E8" s="164" t="n">
        <f aca="false">'[1]Gebäudehülle u.T.'!H26</f>
        <v>250</v>
      </c>
      <c r="F8" s="164" t="n">
        <f aca="false">'[1]Gebäudehülle u.T.'!H26</f>
        <v>250</v>
      </c>
      <c r="G8" s="164" t="n">
        <f aca="false">'[1]Gebäudehülle u.T.'!H38</f>
        <v>250</v>
      </c>
      <c r="H8" s="164" t="n">
        <f aca="false">'[1]Gebäudehülle u.T.'!H50</f>
        <v>250</v>
      </c>
      <c r="I8" s="164" t="n">
        <f aca="false">'[1]Gebäudehülle u.T.'!H59</f>
        <v>250</v>
      </c>
      <c r="J8" s="164" t="n">
        <f aca="false">'[1]Gebäudehülle u.T.'!H70</f>
        <v>250</v>
      </c>
      <c r="K8" s="164" t="n">
        <f aca="false">'[1]Gebäudehülle über Terrain'!H7</f>
        <v>1550</v>
      </c>
      <c r="L8" s="164" t="n">
        <f aca="false">'[1]Gebäudehülle über Terrain'!H15</f>
        <v>1100</v>
      </c>
      <c r="M8" s="164" t="n">
        <f aca="false">'[1]Gebäudehülle über Terrain'!H22</f>
        <v>925</v>
      </c>
      <c r="N8" s="164"/>
      <c r="O8" s="164"/>
      <c r="P8" s="164" t="n">
        <f aca="false">'[1]Gebäudehülle über Terrain'!H43</f>
        <v>1550</v>
      </c>
      <c r="Q8" s="164"/>
      <c r="R8" s="164" t="n">
        <f aca="false">'[1]Gebäudehülle über Terrain'!H58</f>
        <v>1100</v>
      </c>
      <c r="S8" s="164" t="n">
        <f aca="false">'[1]Gebäudehülle über Terrain'!H67</f>
        <v>1100</v>
      </c>
      <c r="T8" s="164" t="n">
        <f aca="false">'[1]Gebäudehülle über Terrain'!H79</f>
        <v>1450</v>
      </c>
      <c r="U8" s="164" t="n">
        <f aca="false">'[1]Gebäudehülle über Terrain'!H89</f>
        <v>1390</v>
      </c>
      <c r="V8" s="164" t="n">
        <f aca="false">'[1]Gebäudehülle über Terrain'!H98</f>
        <v>48</v>
      </c>
      <c r="W8" s="164" t="n">
        <f aca="false">'[1]Gebäudehülle über Terrain'!H108</f>
        <v>48</v>
      </c>
      <c r="X8" s="164" t="n">
        <f aca="false">'[1]Gebäudehülle über Terrain'!H116</f>
        <v>38</v>
      </c>
      <c r="Y8" s="164" t="n">
        <f aca="false">'[1]Gebäudehülle über Terrain'!H126</f>
        <v>48</v>
      </c>
      <c r="Z8" s="164"/>
      <c r="AA8" s="164"/>
      <c r="AB8" s="164" t="n">
        <f aca="false">'[1]Gebäudehülle über Terrain'!H147</f>
        <v>1550</v>
      </c>
      <c r="AC8" s="164" t="n">
        <f aca="false">'[1]Gebäudehülle über Terrain'!H155</f>
        <v>1550</v>
      </c>
      <c r="AD8" s="164" t="n">
        <f aca="false">'[1]Gebäudehülle über Terrain'!H163</f>
        <v>7850</v>
      </c>
      <c r="AE8" s="164" t="n">
        <f aca="false">'[1]Gebäudehülle über Terrain'!H169</f>
        <v>850</v>
      </c>
      <c r="AF8" s="164" t="n">
        <f aca="false">'[1]Gebäudehülle über Terrain'!H177</f>
        <v>485</v>
      </c>
      <c r="AG8" s="164" t="n">
        <f aca="false">'[1]Gebäudehülle über Terrain'!H188</f>
        <v>1100</v>
      </c>
      <c r="AH8" s="164" t="n">
        <f aca="false">'[1]Gebäudehülle über Terrain'!H197</f>
        <v>1100</v>
      </c>
      <c r="AI8" s="164" t="n">
        <f aca="false">'[1]Gebäudehülle über Terrain'!H206</f>
        <v>1100</v>
      </c>
      <c r="AJ8" s="164" t="n">
        <f aca="false">'[1]Gebäudehülle über Terrain'!H218</f>
        <v>2000</v>
      </c>
      <c r="AK8" s="164" t="n">
        <f aca="false">'[1]Gebäudehülle über Terrain'!H226</f>
        <v>7850</v>
      </c>
      <c r="AL8" s="164" t="n">
        <f aca="false">'[1]Gebäudehülle über Terrain'!H234</f>
        <v>7850</v>
      </c>
      <c r="AM8" s="164" t="n">
        <f aca="false">'[1]Gebäudehülle über Terrain'!H245</f>
        <v>7850</v>
      </c>
      <c r="AN8" s="164" t="n">
        <f aca="false">'[1]Innenbauteile &amp; Aussenbauteile'!H7</f>
        <v>1550</v>
      </c>
      <c r="AO8" s="164" t="n">
        <f aca="false">'[1]Innenbauteile &amp; Aussenbauteile'!H15</f>
        <v>1100</v>
      </c>
      <c r="AP8" s="164" t="n">
        <f aca="false">'[1]Innenbauteile &amp; Aussenbauteile'!H22</f>
        <v>1100</v>
      </c>
      <c r="AQ8" s="164" t="n">
        <f aca="false">'[1]Innenbauteile &amp; Aussenbauteile'!H32</f>
        <v>925</v>
      </c>
      <c r="AR8" s="164" t="n">
        <f aca="false">'[1]Innenbauteile &amp; Aussenbauteile'!H39</f>
        <v>925</v>
      </c>
      <c r="AS8" s="164" t="n">
        <f aca="false">'[1]Innenbauteile &amp; Aussenbauteile'!H49</f>
        <v>1550</v>
      </c>
      <c r="AT8" s="164" t="n">
        <f aca="false">'[1]Innenbauteile &amp; Aussenbauteile'!H57</f>
        <v>485</v>
      </c>
      <c r="AU8" s="164" t="n">
        <f aca="false">'[1]Innenbauteile &amp; Aussenbauteile'!H67</f>
        <v>485</v>
      </c>
      <c r="AV8" s="164"/>
      <c r="AW8" s="164" t="n">
        <f aca="false">'[1]Innenbauteile &amp; Aussenbauteile'!H80</f>
        <v>150</v>
      </c>
      <c r="AX8" s="164" t="n">
        <f aca="false">'[1]Innenbauteile &amp; Aussenbauteile'!H86</f>
        <v>7850</v>
      </c>
      <c r="AY8" s="164"/>
      <c r="AZ8" s="164"/>
      <c r="BA8" s="164" t="n">
        <f aca="false">'[1]Innenbauteile &amp; Aussenbauteile'!H107</f>
        <v>920</v>
      </c>
      <c r="BB8" s="164" t="n">
        <f aca="false">'[1]Innenbauteile &amp; Aussenbauteile'!H114</f>
        <v>920</v>
      </c>
      <c r="BC8" s="164" t="n">
        <f aca="false">'[1]Innenbauteile &amp; Aussenbauteile'!H127</f>
        <v>7900</v>
      </c>
      <c r="BD8" s="164"/>
      <c r="BE8" s="164"/>
      <c r="BF8" s="164"/>
      <c r="BG8" s="164"/>
    </row>
    <row r="9" customFormat="false" ht="15" hidden="false" customHeight="false" outlineLevel="0" collapsed="false">
      <c r="E9" s="164" t="n">
        <f aca="false">'[1]Gebäudehülle u.T.'!H27</f>
        <v>960</v>
      </c>
      <c r="F9" s="164" t="n">
        <f aca="false">'[1]Gebäudehülle u.T.'!H27</f>
        <v>960</v>
      </c>
      <c r="G9" s="164" t="n">
        <f aca="false">'[1]Gebäudehülle u.T.'!H39</f>
        <v>960</v>
      </c>
      <c r="H9" s="164" t="n">
        <f aca="false">'[1]Gebäudehülle u.T.'!H51</f>
        <v>1180</v>
      </c>
      <c r="I9" s="164" t="n">
        <f aca="false">'[1]Gebäudehülle u.T.'!H60</f>
        <v>1175</v>
      </c>
      <c r="J9" s="164" t="n">
        <f aca="false">'[1]Gebäudehülle u.T.'!H71</f>
        <v>1175</v>
      </c>
      <c r="K9" s="164" t="n">
        <f aca="false">'[1]Gebäudehülle über Terrain'!H8</f>
        <v>1100</v>
      </c>
      <c r="L9" s="164" t="n">
        <f aca="false">'[1]Gebäudehülle über Terrain'!H16</f>
        <v>150</v>
      </c>
      <c r="M9" s="164" t="n">
        <f aca="false">'[1]Gebäudehülle über Terrain'!H23</f>
        <v>150</v>
      </c>
      <c r="N9" s="164"/>
      <c r="O9" s="164"/>
      <c r="P9" s="164" t="n">
        <f aca="false">'[1]Gebäudehülle über Terrain'!H44</f>
        <v>1100</v>
      </c>
      <c r="Q9" s="164"/>
      <c r="R9" s="164" t="n">
        <f aca="false">'[1]Gebäudehülle über Terrain'!H59</f>
        <v>1450</v>
      </c>
      <c r="S9" s="164" t="n">
        <f aca="false">'[1]Gebäudehülle über Terrain'!H68</f>
        <v>1360</v>
      </c>
      <c r="T9" s="164" t="n">
        <f aca="false">'[1]Gebäudehülle über Terrain'!H80</f>
        <v>7850</v>
      </c>
      <c r="U9" s="164" t="n">
        <f aca="false">'[1]Gebäudehülle über Terrain'!H90</f>
        <v>1360</v>
      </c>
      <c r="V9" s="164" t="n">
        <f aca="false">'[1]Gebäudehülle über Terrain'!H99</f>
        <v>920</v>
      </c>
      <c r="W9" s="164" t="n">
        <f aca="false">'[1]Gebäudehülle über Terrain'!H109</f>
        <v>920</v>
      </c>
      <c r="X9" s="164" t="n">
        <f aca="false">'[1]Gebäudehülle über Terrain'!H117</f>
        <v>920</v>
      </c>
      <c r="Y9" s="164" t="n">
        <f aca="false">'[1]Gebäudehülle über Terrain'!H127</f>
        <v>920</v>
      </c>
      <c r="Z9" s="164"/>
      <c r="AA9" s="164"/>
      <c r="AB9" s="164" t="n">
        <f aca="false">'[1]Gebäudehülle über Terrain'!H148</f>
        <v>1100</v>
      </c>
      <c r="AC9" s="164" t="n">
        <f aca="false">'[1]Gebäudehülle über Terrain'!H156</f>
        <v>1100</v>
      </c>
      <c r="AD9" s="164"/>
      <c r="AE9" s="164" t="n">
        <f aca="false">'[1]Gebäudehülle über Terrain'!H170</f>
        <v>925</v>
      </c>
      <c r="AF9" s="164" t="n">
        <f aca="false">'[1]Gebäudehülle über Terrain'!H178</f>
        <v>850</v>
      </c>
      <c r="AG9" s="164" t="n">
        <f aca="false">'[1]Gebäudehülle über Terrain'!H189</f>
        <v>920</v>
      </c>
      <c r="AH9" s="164" t="n">
        <f aca="false">'[1]Gebäudehülle über Terrain'!H198</f>
        <v>920</v>
      </c>
      <c r="AI9" s="164" t="n">
        <f aca="false">'[1]Gebäudehülle über Terrain'!H207</f>
        <v>920</v>
      </c>
      <c r="AJ9" s="164" t="n">
        <f aca="false">'[1]Gebäudehülle über Terrain'!H219</f>
        <v>2000</v>
      </c>
      <c r="AK9" s="164" t="n">
        <f aca="false">'[1]Gebäudehülle über Terrain'!H227</f>
        <v>90</v>
      </c>
      <c r="AL9" s="164" t="n">
        <f aca="false">'[1]Gebäudehülle über Terrain'!H235</f>
        <v>60</v>
      </c>
      <c r="AM9" s="164"/>
      <c r="AN9" s="164" t="n">
        <f aca="false">'[1]Innenbauteile &amp; Aussenbauteile'!H8</f>
        <v>1100</v>
      </c>
      <c r="AO9" s="164" t="n">
        <f aca="false">'[1]Innenbauteile &amp; Aussenbauteile'!H16</f>
        <v>150</v>
      </c>
      <c r="AP9" s="164" t="n">
        <f aca="false">'[1]Innenbauteile &amp; Aussenbauteile'!H23</f>
        <v>150</v>
      </c>
      <c r="AQ9" s="164" t="n">
        <f aca="false">'[1]Innenbauteile &amp; Aussenbauteile'!H33</f>
        <v>150</v>
      </c>
      <c r="AR9" s="164" t="n">
        <f aca="false">'[1]Innenbauteile &amp; Aussenbauteile'!H40</f>
        <v>150</v>
      </c>
      <c r="AS9" s="164" t="n">
        <f aca="false">'[1]Innenbauteile &amp; Aussenbauteile'!H50</f>
        <v>1100</v>
      </c>
      <c r="AT9" s="164" t="n">
        <f aca="false">'[1]Innenbauteile &amp; Aussenbauteile'!H58</f>
        <v>850</v>
      </c>
      <c r="AU9" s="164" t="n">
        <f aca="false">'[1]Innenbauteile &amp; Aussenbauteile'!H68</f>
        <v>850</v>
      </c>
      <c r="AV9" s="164"/>
      <c r="AW9" s="164"/>
      <c r="AX9" s="164"/>
      <c r="AY9" s="164"/>
      <c r="BA9" s="164" t="n">
        <f aca="false">'[1]Innenbauteile &amp; Aussenbauteile'!H108</f>
        <v>13</v>
      </c>
      <c r="BB9" s="164" t="n">
        <f aca="false">'[1]Innenbauteile &amp; Aussenbauteile'!H115</f>
        <v>13</v>
      </c>
      <c r="BC9" s="164" t="n">
        <f aca="false">'[1]Innenbauteile &amp; Aussenbauteile'!H128</f>
        <v>35</v>
      </c>
      <c r="BD9" s="164"/>
      <c r="BE9" s="164"/>
      <c r="BF9" s="164"/>
      <c r="BG9" s="164"/>
    </row>
    <row r="10" customFormat="false" ht="15" hidden="false" customHeight="false" outlineLevel="0" collapsed="false">
      <c r="F10" s="164" t="n">
        <f aca="false">'[1]Gebäudehülle u.T.'!H31</f>
        <v>33</v>
      </c>
      <c r="G10" s="164" t="n">
        <f aca="false">'[1]Gebäudehülle u.T.'!H40</f>
        <v>115</v>
      </c>
      <c r="H10" s="164" t="n">
        <f aca="false">'[1]Gebäudehülle u.T.'!H52</f>
        <v>920</v>
      </c>
      <c r="I10" s="164" t="n">
        <f aca="false">'[1]Gebäudehülle u.T.'!H61</f>
        <v>33</v>
      </c>
      <c r="J10" s="164" t="n">
        <f aca="false">'[1]Gebäudehülle u.T.'!H72</f>
        <v>115</v>
      </c>
      <c r="K10" s="164" t="n">
        <f aca="false">'[1]Gebäudehülle über Terrain'!H9</f>
        <v>150</v>
      </c>
      <c r="L10" s="164"/>
      <c r="M10" s="164"/>
      <c r="N10" s="164"/>
      <c r="O10" s="164"/>
      <c r="P10" s="164" t="n">
        <f aca="false">'[1]Gebäudehülle über Terrain'!H45</f>
        <v>150</v>
      </c>
      <c r="Q10" s="164"/>
      <c r="R10" s="164" t="n">
        <f aca="false">'[1]Gebäudehülle über Terrain'!H60</f>
        <v>1550</v>
      </c>
      <c r="S10" s="164" t="n">
        <f aca="false">'[1]Gebäudehülle über Terrain'!H69</f>
        <v>1550</v>
      </c>
      <c r="T10" s="164" t="n">
        <f aca="false">'[1]Gebäudehülle über Terrain'!H81</f>
        <v>1450</v>
      </c>
      <c r="U10" s="164" t="n">
        <f aca="false">'[1]Gebäudehülle über Terrain'!H91</f>
        <v>38</v>
      </c>
      <c r="V10" s="164"/>
      <c r="W10" s="164"/>
      <c r="X10" s="164"/>
      <c r="Y10" s="164"/>
      <c r="AB10" s="164" t="n">
        <f aca="false">'[1]Gebäudehülle über Terrain'!H149</f>
        <v>150</v>
      </c>
      <c r="AC10" s="164" t="n">
        <f aca="false">'[1]Gebäudehülle über Terrain'!H157</f>
        <v>150</v>
      </c>
      <c r="AD10" s="164"/>
      <c r="AE10" s="164" t="n">
        <f aca="false">'[1]Gebäudehülle über Terrain'!H171</f>
        <v>150</v>
      </c>
      <c r="AF10" s="164" t="n">
        <f aca="false">'[1]Gebäudehülle über Terrain'!H179</f>
        <v>925</v>
      </c>
      <c r="AG10" s="164" t="n">
        <f aca="false">'[1]Gebäudehülle über Terrain'!H190</f>
        <v>2000</v>
      </c>
      <c r="AH10" s="164" t="n">
        <f aca="false">'[1]Gebäudehülle über Terrain'!H199</f>
        <v>2000</v>
      </c>
      <c r="AI10" s="164" t="n">
        <f aca="false">'[1]Gebäudehülle über Terrain'!H208</f>
        <v>2000</v>
      </c>
      <c r="AJ10" s="164"/>
      <c r="AK10" s="164" t="n">
        <f aca="false">'[1]Gebäudehülle über Terrain'!H228</f>
        <v>920</v>
      </c>
      <c r="AL10" s="164" t="n">
        <f aca="false">'[1]Gebäudehülle über Terrain'!H236</f>
        <v>920</v>
      </c>
      <c r="AM10" s="85"/>
      <c r="AN10" s="164" t="n">
        <f aca="false">'[1]Innenbauteile &amp; Aussenbauteile'!H9</f>
        <v>150</v>
      </c>
      <c r="AO10" s="164"/>
      <c r="AP10" s="164"/>
      <c r="AQ10" s="164"/>
      <c r="AR10" s="164"/>
      <c r="AS10" s="164" t="n">
        <f aca="false">'[1]Innenbauteile &amp; Aussenbauteile'!H51</f>
        <v>150</v>
      </c>
      <c r="AT10" s="164" t="n">
        <f aca="false">'[1]Innenbauteile &amp; Aussenbauteile'!H59</f>
        <v>925</v>
      </c>
      <c r="AU10" s="164" t="n">
        <f aca="false">'[1]Innenbauteile &amp; Aussenbauteile'!H69</f>
        <v>925</v>
      </c>
      <c r="AV10" s="164"/>
      <c r="AW10" s="164"/>
      <c r="AX10" s="164"/>
      <c r="AY10" s="164"/>
      <c r="BC10" s="164" t="n">
        <f aca="false">'[1]Innenbauteile &amp; Aussenbauteile'!H129</f>
        <v>2101.81818181818</v>
      </c>
      <c r="BD10" s="164"/>
      <c r="BE10" s="164"/>
      <c r="BF10" s="164"/>
      <c r="BG10" s="164"/>
    </row>
    <row r="11" customFormat="false" ht="15" hidden="false" customHeight="false" outlineLevel="0" collapsed="false">
      <c r="F11" s="164" t="n">
        <f aca="false">'[1]Gebäudehülle u.T.'!H32</f>
        <v>1000</v>
      </c>
      <c r="G11" s="164" t="n">
        <f aca="false">'[1]Gebäudehülle u.T.'!H41</f>
        <v>1000</v>
      </c>
      <c r="H11" s="164" t="n">
        <f aca="false">'[1]Gebäudehülle u.T.'!H53</f>
        <v>2000</v>
      </c>
      <c r="I11" s="164" t="n">
        <f aca="false">'[1]Gebäudehülle u.T.'!H62</f>
        <v>1200</v>
      </c>
      <c r="J11" s="164" t="n">
        <f aca="false">'[1]Gebäudehülle u.T.'!H73</f>
        <v>1000</v>
      </c>
      <c r="K11" s="164"/>
      <c r="L11" s="164"/>
      <c r="M11" s="164"/>
      <c r="N11" s="164"/>
      <c r="R11" s="164" t="n">
        <f aca="false">'[1]Gebäudehülle über Terrain'!H61</f>
        <v>150</v>
      </c>
      <c r="S11" s="164" t="n">
        <f aca="false">'[1]Gebäudehülle über Terrain'!H70</f>
        <v>150</v>
      </c>
      <c r="T11" s="164" t="n">
        <f aca="false">'[1]Gebäudehülle über Terrain'!H82</f>
        <v>38</v>
      </c>
      <c r="U11" s="164" t="n">
        <f aca="false">'[1]Gebäudehülle über Terrain'!H92</f>
        <v>920</v>
      </c>
      <c r="V11" s="164"/>
      <c r="W11" s="164"/>
      <c r="X11" s="164"/>
      <c r="Y11" s="164"/>
      <c r="AF11" s="164" t="n">
        <f aca="false">'[1]Gebäudehülle über Terrain'!H180</f>
        <v>150</v>
      </c>
      <c r="AG11" s="164" t="n">
        <f aca="false">'[1]Gebäudehülle über Terrain'!H191</f>
        <v>2000</v>
      </c>
      <c r="AH11" s="164" t="n">
        <f aca="false">'[1]Gebäudehülle über Terrain'!H200</f>
        <v>2000</v>
      </c>
      <c r="AI11" s="164" t="n">
        <f aca="false">'[1]Gebäudehülle über Terrain'!H209</f>
        <v>2000</v>
      </c>
      <c r="AJ11" s="164"/>
      <c r="AK11" s="164"/>
      <c r="AL11" s="164"/>
      <c r="AM11" s="164"/>
      <c r="AT11" s="164" t="n">
        <f aca="false">'[1]Innenbauteile &amp; Aussenbauteile'!H60</f>
        <v>150</v>
      </c>
      <c r="AU11" s="164" t="n">
        <f aca="false">'[1]Innenbauteile &amp; Aussenbauteile'!H70</f>
        <v>150</v>
      </c>
      <c r="AV11" s="164"/>
      <c r="AW11" s="164"/>
      <c r="AX11" s="164"/>
      <c r="AY11" s="164"/>
      <c r="BC11" s="164" t="n">
        <f aca="false">'[1]Innenbauteile &amp; Aussenbauteile'!H130</f>
        <v>7850</v>
      </c>
      <c r="BD11" s="164"/>
      <c r="BE11" s="164"/>
      <c r="BF11" s="164"/>
      <c r="BG11" s="164"/>
    </row>
    <row r="12" customFormat="false" ht="15" hidden="false" customHeight="false" outlineLevel="0" collapsed="false">
      <c r="I12" s="164" t="n">
        <f aca="false">'[1]Gebäudehülle u.T.'!H63</f>
        <v>920</v>
      </c>
      <c r="J12" s="164" t="n">
        <f aca="false">'[1]Gebäudehülle u.T.'!H74</f>
        <v>1200</v>
      </c>
      <c r="K12" s="164"/>
      <c r="L12" s="164"/>
      <c r="M12" s="164"/>
      <c r="N12" s="164"/>
      <c r="T12" s="164" t="n">
        <f aca="false">'[1]Gebäudehülle über Terrain'!H83</f>
        <v>920</v>
      </c>
      <c r="U12" s="164"/>
      <c r="V12" s="164"/>
      <c r="W12" s="164"/>
      <c r="X12" s="164"/>
    </row>
    <row r="13" customFormat="false" ht="15" hidden="false" customHeight="false" outlineLevel="0" collapsed="false">
      <c r="I13" s="164" t="n">
        <f aca="false">'[1]Gebäudehülle u.T.'!H64</f>
        <v>2000</v>
      </c>
      <c r="J13" s="164" t="n">
        <f aca="false">'[1]Gebäudehülle u.T.'!H75</f>
        <v>920</v>
      </c>
      <c r="K13" s="164"/>
      <c r="L13" s="164"/>
      <c r="M13" s="164"/>
      <c r="N13" s="164"/>
    </row>
    <row r="14" customFormat="false" ht="15" hidden="false" customHeight="false" outlineLevel="0" collapsed="false">
      <c r="F14" s="163"/>
      <c r="I14" s="164"/>
      <c r="J14" s="164" t="n">
        <f aca="false">'[1]Gebäudehülle u.T.'!H76</f>
        <v>2000</v>
      </c>
      <c r="K14" s="164"/>
      <c r="L14" s="164"/>
      <c r="M14" s="164"/>
      <c r="N14" s="164"/>
    </row>
    <row r="16" customFormat="false" ht="15" hidden="false" customHeight="false" outlineLevel="0" collapsed="false">
      <c r="I16" s="167" t="s">
        <v>474</v>
      </c>
      <c r="J16" s="167" t="s">
        <v>475</v>
      </c>
    </row>
    <row r="17" customFormat="false" ht="15" hidden="false" customHeight="false" outlineLevel="0" collapsed="false">
      <c r="I17" s="167" t="n">
        <f aca="false">(30+35)/2</f>
        <v>32.5</v>
      </c>
      <c r="J17" s="167" t="n">
        <f aca="false">(100+165)/2</f>
        <v>132.5</v>
      </c>
    </row>
    <row r="20" customFormat="false" ht="15" hidden="false" customHeight="false" outlineLevel="0" collapsed="false">
      <c r="E20" s="97"/>
      <c r="F20" s="97"/>
      <c r="G20" s="97"/>
      <c r="I20" s="73"/>
      <c r="J20" s="73"/>
      <c r="K20" s="73"/>
      <c r="L20" s="73"/>
      <c r="M20" s="73"/>
      <c r="N20" s="73"/>
      <c r="O20" s="73"/>
      <c r="P20" s="73"/>
      <c r="Q20" s="73"/>
      <c r="R20" s="73"/>
    </row>
  </sheetData>
  <mergeCells count="2">
    <mergeCell ref="E20:G20"/>
    <mergeCell ref="I20:R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B1:BI19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J18" activeCellId="0" sqref="AJ18"/>
    </sheetView>
  </sheetViews>
  <sheetFormatPr defaultColWidth="10.921875" defaultRowHeight="15" zeroHeight="false" outlineLevelRow="0" outlineLevelCol="0"/>
  <cols>
    <col collapsed="false" customWidth="true" hidden="false" outlineLevel="0" max="7" min="5" style="0" width="35.42"/>
    <col collapsed="false" customWidth="true" hidden="false" outlineLevel="0" max="8" min="8" style="0" width="14.15"/>
  </cols>
  <sheetData>
    <row r="1" customFormat="false" ht="15" hidden="false" customHeight="false" outlineLevel="0" collapsed="false">
      <c r="E1" s="0" t="s">
        <v>131</v>
      </c>
      <c r="H1" s="0" t="s">
        <v>476</v>
      </c>
    </row>
    <row r="2" customFormat="false" ht="15" hidden="false" customHeight="false" outlineLevel="0" collapsed="false">
      <c r="F2" s="162"/>
      <c r="G2" s="162"/>
    </row>
    <row r="3" customFormat="false" ht="15" hidden="false" customHeight="false" outlineLevel="0" collapsed="false">
      <c r="D3" s="162"/>
      <c r="E3" s="162"/>
      <c r="F3" s="162"/>
      <c r="G3" s="162"/>
      <c r="H3" s="162"/>
      <c r="I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</row>
    <row r="4" customFormat="false" ht="15" hidden="false" customHeight="false" outlineLevel="0" collapsed="false">
      <c r="B4" s="76" t="s">
        <v>328</v>
      </c>
      <c r="C4" s="51" t="s">
        <v>134</v>
      </c>
      <c r="D4" s="51" t="s">
        <v>178</v>
      </c>
      <c r="E4" s="163" t="s">
        <v>133</v>
      </c>
      <c r="F4" s="0" t="s">
        <v>141</v>
      </c>
      <c r="G4" s="0" t="s">
        <v>179</v>
      </c>
      <c r="H4" s="0" t="s">
        <v>135</v>
      </c>
      <c r="I4" s="0" t="s">
        <v>182</v>
      </c>
      <c r="J4" s="0" t="s">
        <v>183</v>
      </c>
      <c r="K4" s="0" t="s">
        <v>165</v>
      </c>
      <c r="L4" s="0" t="s">
        <v>166</v>
      </c>
      <c r="M4" s="0" t="s">
        <v>145</v>
      </c>
      <c r="N4" s="0" t="s">
        <v>217</v>
      </c>
      <c r="O4" s="0" t="s">
        <v>151</v>
      </c>
      <c r="P4" s="0" t="s">
        <v>218</v>
      </c>
      <c r="Q4" s="0" t="s">
        <v>219</v>
      </c>
      <c r="R4" s="0" t="s">
        <v>188</v>
      </c>
      <c r="S4" s="0" t="s">
        <v>139</v>
      </c>
      <c r="T4" s="0" t="s">
        <v>146</v>
      </c>
      <c r="U4" s="0" t="s">
        <v>189</v>
      </c>
      <c r="V4" s="0" t="s">
        <v>190</v>
      </c>
      <c r="W4" s="0" t="s">
        <v>191</v>
      </c>
      <c r="X4" s="0" t="s">
        <v>192</v>
      </c>
      <c r="Y4" s="0" t="s">
        <v>193</v>
      </c>
      <c r="Z4" s="0" t="s">
        <v>152</v>
      </c>
      <c r="AA4" s="0" t="s">
        <v>138</v>
      </c>
      <c r="AB4" s="0" t="s">
        <v>167</v>
      </c>
      <c r="AC4" s="0" t="s">
        <v>200</v>
      </c>
      <c r="AD4" s="0" t="s">
        <v>150</v>
      </c>
      <c r="AE4" s="0" t="s">
        <v>143</v>
      </c>
      <c r="AF4" s="0" t="s">
        <v>169</v>
      </c>
      <c r="AG4" s="0" t="s">
        <v>144</v>
      </c>
      <c r="AH4" s="0" t="s">
        <v>195</v>
      </c>
      <c r="AI4" s="0" t="s">
        <v>203</v>
      </c>
      <c r="AJ4" s="0" t="s">
        <v>340</v>
      </c>
      <c r="AK4" s="0" t="s">
        <v>196</v>
      </c>
      <c r="AL4" s="0" t="s">
        <v>170</v>
      </c>
      <c r="AM4" s="0" t="s">
        <v>341</v>
      </c>
      <c r="AN4" s="0" t="s">
        <v>168</v>
      </c>
      <c r="AO4" s="0" t="s">
        <v>171</v>
      </c>
      <c r="AP4" s="0" t="s">
        <v>180</v>
      </c>
      <c r="AQ4" s="0" t="s">
        <v>147</v>
      </c>
      <c r="AR4" s="0" t="s">
        <v>181</v>
      </c>
      <c r="AS4" s="0" t="s">
        <v>136</v>
      </c>
      <c r="AT4" s="0" t="s">
        <v>142</v>
      </c>
      <c r="AU4" s="0" t="s">
        <v>149</v>
      </c>
      <c r="AV4" s="0" t="s">
        <v>155</v>
      </c>
      <c r="AW4" s="0" t="s">
        <v>148</v>
      </c>
      <c r="AX4" s="0" t="s">
        <v>154</v>
      </c>
      <c r="AY4" s="0" t="s">
        <v>186</v>
      </c>
      <c r="AZ4" s="0" t="s">
        <v>187</v>
      </c>
      <c r="BA4" s="0" t="s">
        <v>159</v>
      </c>
      <c r="BB4" s="0" t="s">
        <v>160</v>
      </c>
      <c r="BC4" s="0" t="s">
        <v>137</v>
      </c>
    </row>
    <row r="5" customFormat="false" ht="15" hidden="false" customHeight="false" outlineLevel="0" collapsed="false">
      <c r="B5" s="164" t="n">
        <f aca="false">'[1]Gebäudehülle u.T.'!I4</f>
        <v>7</v>
      </c>
      <c r="C5" s="164" t="n">
        <f aca="false">'[1]Gebäudehülle u.T.'!I4</f>
        <v>7</v>
      </c>
      <c r="D5" s="164" t="n">
        <f aca="false">'[1]Gebäudehülle u.T.'!I4</f>
        <v>7</v>
      </c>
      <c r="E5" s="164" t="n">
        <f aca="false">'[1]Gebäudehülle u.T.'!I23</f>
        <v>24.6894904458599</v>
      </c>
      <c r="F5" s="164" t="n">
        <f aca="false">'[1]Gebäudehülle u.T.'!I23</f>
        <v>24.6894904458599</v>
      </c>
      <c r="G5" s="164" t="n">
        <f aca="false">'[1]Gebäudehülle u.T.'!I35</f>
        <v>24.7133757961783</v>
      </c>
      <c r="H5" s="164" t="n">
        <f aca="false">'[1]Gebäudehülle u.T.'!I47</f>
        <v>29.5700636942675</v>
      </c>
      <c r="I5" s="164" t="n">
        <f aca="false">'[1]Gebäudehülle u.T.'!I56</f>
        <v>29.5700636942675</v>
      </c>
      <c r="J5" s="164" t="n">
        <f aca="false">'[1]Gebäudehülle u.T.'!I67</f>
        <v>29.5700636942675</v>
      </c>
      <c r="K5" s="164" t="n">
        <f aca="false">'[1]Gebäudehülle über Terrain'!I4</f>
        <v>19.7515923566879</v>
      </c>
      <c r="L5" s="164" t="n">
        <f aca="false">'[1]Gebäudehülle über Terrain'!I12</f>
        <v>17.5</v>
      </c>
      <c r="M5" s="164" t="n">
        <f aca="false">'[1]Gebäudehülle über Terrain'!I19</f>
        <v>10</v>
      </c>
      <c r="N5" s="164" t="n">
        <f aca="false">'[1]Gebäudehülle über Terrain'!I27</f>
        <v>1.28237791932059</v>
      </c>
      <c r="O5" s="164" t="n">
        <f aca="false">'[1]Gebäudehülle über Terrain'!I32</f>
        <v>1.29087048832272</v>
      </c>
      <c r="P5" s="164" t="n">
        <f aca="false">'[1]Gebäudehülle über Terrain'!I40</f>
        <v>37.2878048780488</v>
      </c>
      <c r="Q5" s="164" t="n">
        <f aca="false">'[1]Gebäudehülle über Terrain'!I50</f>
        <v>1</v>
      </c>
      <c r="R5" s="164" t="n">
        <f aca="false">'[1]Gebäudehülle über Terrain'!I55</f>
        <v>0.392857142857143</v>
      </c>
      <c r="S5" s="164" t="n">
        <f aca="false">'[1]Gebäudehülle über Terrain'!I64</f>
        <v>0.392857142857143</v>
      </c>
      <c r="T5" s="164" t="n">
        <f aca="false">'[1]Gebäudehülle über Terrain'!I76</f>
        <v>2.85</v>
      </c>
      <c r="U5" s="164" t="n">
        <f aca="false">'[1]Gebäudehülle über Terrain'!I86</f>
        <v>0.872222222222222</v>
      </c>
      <c r="V5" s="164" t="n">
        <f aca="false">'[1]Gebäudehülle über Terrain'!I95</f>
        <v>3</v>
      </c>
      <c r="W5" s="164" t="n">
        <f aca="false">'[1]Gebäudehülle über Terrain'!I105</f>
        <v>0.4</v>
      </c>
      <c r="X5" s="164" t="n">
        <f aca="false">'[1]Gebäudehülle über Terrain'!I113</f>
        <v>1</v>
      </c>
      <c r="Y5" s="164" t="n">
        <f aca="false">'[1]Gebäudehülle über Terrain'!I123</f>
        <v>11.5</v>
      </c>
      <c r="Z5" s="168" t="n">
        <v>10</v>
      </c>
      <c r="AA5" s="164" t="s">
        <v>65</v>
      </c>
      <c r="AB5" s="164" t="n">
        <f aca="false">'[1]Gebäudehülle über Terrain'!I144</f>
        <v>24.7133757961783</v>
      </c>
      <c r="AC5" s="164" t="n">
        <f aca="false">'[1]Gebäudehülle über Terrain'!I152</f>
        <v>39.2484076433121</v>
      </c>
      <c r="AD5" s="164" t="n">
        <f aca="false">'[1]Gebäudehülle über Terrain'!I160</f>
        <v>24.7452229299363</v>
      </c>
      <c r="AE5" s="164" t="n">
        <f aca="false">'[1]Gebäudehülle über Terrain'!I166</f>
        <v>2</v>
      </c>
      <c r="AF5" s="164" t="n">
        <f aca="false">'[1]Gebäudehülle über Terrain'!I174</f>
        <v>5.6</v>
      </c>
      <c r="AG5" s="164" t="n">
        <f aca="false">'[1]Gebäudehülle über Terrain'!I185</f>
        <v>22</v>
      </c>
      <c r="AH5" s="164" t="n">
        <f aca="false">'[1]Gebäudehülle über Terrain'!I194</f>
        <v>16</v>
      </c>
      <c r="AI5" s="164" t="n">
        <f aca="false">'[1]Gebäudehülle über Terrain'!I203</f>
        <v>28</v>
      </c>
      <c r="AJ5" s="169" t="n">
        <f aca="false">'[1]Gebäudehülle über Terrain'!I215</f>
        <v>0.2</v>
      </c>
      <c r="AK5" s="164" t="n">
        <f aca="false">'[1]Gebäudehülle über Terrain'!I223</f>
        <v>0.330379970544919</v>
      </c>
      <c r="AL5" s="164" t="n">
        <f aca="false">'[1]Gebäudehülle über Terrain'!I231</f>
        <v>0.330379970544919</v>
      </c>
      <c r="AM5" s="164" t="n">
        <f aca="false">'[1]Gebäudehülle über Terrain'!I242</f>
        <v>0.330379970544919</v>
      </c>
      <c r="AN5" s="164" t="n">
        <f aca="false">'[1]Innenbauteile &amp; Aussenbauteile'!I4</f>
        <v>19.7515923566879</v>
      </c>
      <c r="AO5" s="164" t="n">
        <f aca="false">'[1]Innenbauteile &amp; Aussenbauteile'!I12</f>
        <v>15</v>
      </c>
      <c r="AP5" s="164" t="n">
        <f aca="false">'[1]Innenbauteile &amp; Aussenbauteile'!I19</f>
        <v>15</v>
      </c>
      <c r="AQ5" s="164" t="n">
        <f aca="false">'[1]Innenbauteile &amp; Aussenbauteile'!I29</f>
        <v>5</v>
      </c>
      <c r="AR5" s="164" t="n">
        <f aca="false">'[1]Innenbauteile &amp; Aussenbauteile'!I36</f>
        <v>4.5</v>
      </c>
      <c r="AS5" s="164" t="n">
        <f aca="false">'[1]Innenbauteile &amp; Aussenbauteile'!I46</f>
        <v>24.6496815286624</v>
      </c>
      <c r="AT5" s="164" t="n">
        <f aca="false">'[1]Innenbauteile &amp; Aussenbauteile'!I54</f>
        <v>8.96</v>
      </c>
      <c r="AU5" s="164" t="n">
        <f aca="false">'[1]Innenbauteile &amp; Aussenbauteile'!I64</f>
        <v>8.9656050955414</v>
      </c>
      <c r="AV5" s="164" t="n">
        <f aca="false">'[1]Innenbauteile &amp; Aussenbauteile'!I73</f>
        <v>12</v>
      </c>
      <c r="AW5" s="164" t="n">
        <f aca="false">'[1]Innenbauteile &amp; Aussenbauteile'!I77</f>
        <v>1.5625</v>
      </c>
      <c r="AX5" s="164" t="n">
        <f aca="false">'[1]Innenbauteile &amp; Aussenbauteile'!I83</f>
        <v>0.06</v>
      </c>
      <c r="AY5" s="164" t="n">
        <f aca="false">'[1]Innenbauteile &amp; Aussenbauteile'!I93</f>
        <v>0.25</v>
      </c>
      <c r="AZ5" s="164" t="n">
        <f aca="false">'[1]Innenbauteile &amp; Aussenbauteile'!I97</f>
        <v>1.1</v>
      </c>
      <c r="BA5" s="164" t="n">
        <f aca="false">'[1]Innenbauteile &amp; Aussenbauteile'!I104</f>
        <v>1.1</v>
      </c>
      <c r="BB5" s="164" t="n">
        <v>0.9</v>
      </c>
      <c r="BC5" s="164" t="n">
        <f aca="false">'[1]Innenbauteile &amp; Aussenbauteile'!I124</f>
        <v>20.375</v>
      </c>
      <c r="BF5" s="164"/>
      <c r="BG5" s="164"/>
      <c r="BH5" s="164"/>
      <c r="BI5" s="164"/>
    </row>
    <row r="6" customFormat="false" ht="15" hidden="false" customHeight="false" outlineLevel="0" collapsed="false">
      <c r="B6" s="164" t="n">
        <f aca="false">'[1]Gebäudehülle u.T.'!I5</f>
        <v>29.5987261146497</v>
      </c>
      <c r="C6" s="164" t="n">
        <f aca="false">'[1]Gebäudehülle u.T.'!I5</f>
        <v>29.5987261146497</v>
      </c>
      <c r="D6" s="164" t="n">
        <f aca="false">'[1]Gebäudehülle u.T.'!I5</f>
        <v>29.5987261146497</v>
      </c>
      <c r="E6" s="164" t="n">
        <f aca="false">'[1]Gebäudehülle u.T.'!I24</f>
        <v>0.310509554140127</v>
      </c>
      <c r="F6" s="164" t="n">
        <f aca="false">'[1]Gebäudehülle u.T.'!I24</f>
        <v>0.310509554140127</v>
      </c>
      <c r="G6" s="164" t="n">
        <f aca="false">'[1]Gebäudehülle u.T.'!I36</f>
        <v>0.286624203821656</v>
      </c>
      <c r="H6" s="164" t="n">
        <f aca="false">'[1]Gebäudehülle u.T.'!I48</f>
        <v>0.429936305732484</v>
      </c>
      <c r="I6" s="164" t="n">
        <f aca="false">'[1]Gebäudehülle u.T.'!I57</f>
        <v>0.429936305732484</v>
      </c>
      <c r="J6" s="164" t="n">
        <f aca="false">'[1]Gebäudehülle u.T.'!I68</f>
        <v>0.429936305732484</v>
      </c>
      <c r="K6" s="164" t="n">
        <f aca="false">'[1]Gebäudehülle über Terrain'!I5</f>
        <v>0.248407643312102</v>
      </c>
      <c r="L6" s="164" t="n">
        <f aca="false">'[1]Gebäudehülle über Terrain'!I13</f>
        <v>3.32903225806452</v>
      </c>
      <c r="M6" s="164" t="n">
        <f aca="false">'[1]Gebäudehülle über Terrain'!I20</f>
        <v>0.4</v>
      </c>
      <c r="N6" s="164" t="n">
        <f aca="false">'[1]Gebäudehülle über Terrain'!I28</f>
        <v>0.0509554140127389</v>
      </c>
      <c r="O6" s="164" t="n">
        <f aca="false">'[1]Gebäudehülle über Terrain'!I33</f>
        <v>0.0955414012738854</v>
      </c>
      <c r="P6" s="164" t="n">
        <f aca="false">'[1]Gebäudehülle über Terrain'!I41</f>
        <v>28.4644444444444</v>
      </c>
      <c r="Q6" s="164" t="n">
        <f aca="false">'[1]Gebäudehülle über Terrain'!I51</f>
        <v>0.15</v>
      </c>
      <c r="R6" s="164" t="n">
        <f aca="false">'[1]Gebäudehülle über Terrain'!I56</f>
        <v>22</v>
      </c>
      <c r="S6" s="164" t="n">
        <f aca="false">'[1]Gebäudehülle über Terrain'!I65</f>
        <v>20</v>
      </c>
      <c r="T6" s="164" t="n">
        <f aca="false">'[1]Gebäudehülle über Terrain'!I77</f>
        <v>0.2</v>
      </c>
      <c r="U6" s="164" t="n">
        <f aca="false">'[1]Gebäudehülle über Terrain'!I87</f>
        <v>0.0820703460108665</v>
      </c>
      <c r="V6" s="164" t="n">
        <f aca="false">'[1]Gebäudehülle über Terrain'!I96</f>
        <v>0.165174514663362</v>
      </c>
      <c r="W6" s="164" t="n">
        <f aca="false">'[1]Gebäudehülle über Terrain'!I106</f>
        <v>0.124845105328377</v>
      </c>
      <c r="X6" s="164" t="n">
        <f aca="false">'[1]Gebäudehülle über Terrain'!I114</f>
        <v>0.165174514663362</v>
      </c>
      <c r="Y6" s="164" t="n">
        <f aca="false">'[1]Gebäudehülle über Terrain'!I124</f>
        <v>0.0253164556962025</v>
      </c>
      <c r="Z6" s="164" t="n">
        <f aca="false">'[1]Gebäudehülle über Terrain'!I131</f>
        <v>10</v>
      </c>
      <c r="AA6" s="164" t="s">
        <v>65</v>
      </c>
      <c r="AB6" s="164" t="n">
        <f aca="false">'[1]Gebäudehülle über Terrain'!I145</f>
        <v>0.286624203821656</v>
      </c>
      <c r="AC6" s="164" t="n">
        <f aca="false">'[1]Gebäudehülle über Terrain'!I153</f>
        <v>0.751592356687898</v>
      </c>
      <c r="AD6" s="164" t="n">
        <f aca="false">'[1]Gebäudehülle über Terrain'!I161</f>
        <v>0.254777070063694</v>
      </c>
      <c r="AE6" s="164" t="n">
        <f aca="false">'[1]Gebäudehülle über Terrain'!I167</f>
        <v>23</v>
      </c>
      <c r="AF6" s="164" t="n">
        <f aca="false">'[1]Gebäudehülle über Terrain'!I175</f>
        <v>2.4</v>
      </c>
      <c r="AG6" s="164" t="n">
        <f aca="false">'[1]Gebäudehülle über Terrain'!I186</f>
        <v>0.654545454545455</v>
      </c>
      <c r="AH6" s="164" t="n">
        <f aca="false">'[1]Gebäudehülle über Terrain'!I195</f>
        <v>0.654545454545455</v>
      </c>
      <c r="AI6" s="164" t="n">
        <f aca="false">'[1]Gebäudehülle über Terrain'!I204</f>
        <v>0.654545454545455</v>
      </c>
      <c r="AJ6" s="169" t="n">
        <f aca="false">'[1]Gebäudehülle über Terrain'!I216</f>
        <v>0.945454545454546</v>
      </c>
      <c r="AK6" s="164" t="n">
        <f aca="false">'[1]Gebäudehülle über Terrain'!I224</f>
        <v>0.0152173913043478</v>
      </c>
      <c r="AL6" s="164" t="n">
        <f aca="false">'[1]Gebäudehülle über Terrain'!I232</f>
        <v>0.0152173913043478</v>
      </c>
      <c r="AM6" s="164" t="n">
        <f aca="false">'[1]Gebäudehülle über Terrain'!I243</f>
        <v>0.0152173913043478</v>
      </c>
      <c r="AN6" s="164" t="n">
        <f aca="false">'[1]Innenbauteile &amp; Aussenbauteile'!I5</f>
        <v>0.248407643312102</v>
      </c>
      <c r="AO6" s="164" t="n">
        <f aca="false">'[1]Innenbauteile &amp; Aussenbauteile'!I13</f>
        <v>2.80974193548387</v>
      </c>
      <c r="AP6" s="164" t="n">
        <f aca="false">'[1]Innenbauteile &amp; Aussenbauteile'!I20</f>
        <v>2.39354838709677</v>
      </c>
      <c r="AQ6" s="164" t="n">
        <f aca="false">'[1]Innenbauteile &amp; Aussenbauteile'!I30</f>
        <v>0.0336305732484076</v>
      </c>
      <c r="AR6" s="164" t="n">
        <f aca="false">'[1]Innenbauteile &amp; Aussenbauteile'!I37</f>
        <v>0.0168</v>
      </c>
      <c r="AS6" s="164" t="n">
        <f aca="false">'[1]Innenbauteile &amp; Aussenbauteile'!I47</f>
        <v>0.35031847133758</v>
      </c>
      <c r="AT6" s="164" t="n">
        <f aca="false">'[1]Innenbauteile &amp; Aussenbauteile'!I55</f>
        <v>0.0133333333333333</v>
      </c>
      <c r="AU6" s="164" t="n">
        <f aca="false">'[1]Innenbauteile &amp; Aussenbauteile'!I65</f>
        <v>0.0343949044585987</v>
      </c>
      <c r="AV6" s="164" t="n">
        <f aca="false">'[1]Innenbauteile &amp; Aussenbauteile'!I74</f>
        <v>0.016304347826087</v>
      </c>
      <c r="AW6" s="164" t="n">
        <f aca="false">'[1]Innenbauteile &amp; Aussenbauteile'!I78</f>
        <v>0.0280254777070064</v>
      </c>
      <c r="AX6" s="164" t="n">
        <f aca="false">'[1]Innenbauteile &amp; Aussenbauteile'!I84</f>
        <v>0.01</v>
      </c>
      <c r="AY6" s="164" t="n">
        <f aca="false">'[1]Innenbauteile &amp; Aussenbauteile'!I94</f>
        <v>0.0266666666666667</v>
      </c>
      <c r="AZ6" s="164" t="n">
        <f aca="false">'[1]Innenbauteile &amp; Aussenbauteile'!I98</f>
        <v>0.0666666666666667</v>
      </c>
      <c r="BA6" s="164" t="n">
        <f aca="false">'[1]Innenbauteile &amp; Aussenbauteile'!I105</f>
        <v>0.0666666666666667</v>
      </c>
      <c r="BB6" s="164" t="n">
        <f aca="false">'[1]Innenbauteile &amp; Aussenbauteile'!I112</f>
        <v>0.928571428571429</v>
      </c>
      <c r="BC6" s="164" t="n">
        <f aca="false">'[1]Innenbauteile &amp; Aussenbauteile'!I125</f>
        <v>0.223328025477707</v>
      </c>
      <c r="BF6" s="164"/>
      <c r="BG6" s="164"/>
      <c r="BH6" s="164"/>
      <c r="BI6" s="164"/>
    </row>
    <row r="7" customFormat="false" ht="15" hidden="false" customHeight="false" outlineLevel="0" collapsed="false">
      <c r="B7" s="164" t="n">
        <f aca="false">'[1]Gebäudehülle u.T.'!I6</f>
        <v>0.401273885350318</v>
      </c>
      <c r="C7" s="164" t="n">
        <f aca="false">'[1]Gebäudehülle u.T.'!I6</f>
        <v>0.401273885350318</v>
      </c>
      <c r="D7" s="164" t="n">
        <f aca="false">'[1]Gebäudehülle u.T.'!I6</f>
        <v>0.401273885350318</v>
      </c>
      <c r="E7" s="164" t="n">
        <f aca="false">'[1]Gebäudehülle u.T.'!I25</f>
        <v>1</v>
      </c>
      <c r="F7" s="164" t="n">
        <f aca="false">'[1]Gebäudehülle u.T.'!I25</f>
        <v>1</v>
      </c>
      <c r="G7" s="164" t="n">
        <f aca="false">'[1]Gebäudehülle u.T.'!I37</f>
        <v>1</v>
      </c>
      <c r="H7" s="164" t="n">
        <f aca="false">'[1]Gebäudehülle u.T.'!I49</f>
        <v>1</v>
      </c>
      <c r="I7" s="164" t="n">
        <f aca="false">'[1]Gebäudehülle u.T.'!I58</f>
        <v>1</v>
      </c>
      <c r="J7" s="164" t="n">
        <f aca="false">'[1]Gebäudehülle u.T.'!I69</f>
        <v>1</v>
      </c>
      <c r="K7" s="164" t="n">
        <f aca="false">'[1]Gebäudehülle über Terrain'!I6</f>
        <v>1</v>
      </c>
      <c r="L7" s="164" t="n">
        <f aca="false">'[1]Gebäudehülle über Terrain'!I14</f>
        <v>1.16129032258065</v>
      </c>
      <c r="M7" s="164" t="n">
        <f aca="false">'[1]Gebäudehülle über Terrain'!I21</f>
        <v>1.25</v>
      </c>
      <c r="N7" s="164" t="n">
        <f aca="false">'[1]Gebäudehülle über Terrain'!I29</f>
        <v>0.133333333333333</v>
      </c>
      <c r="O7" s="164" t="n">
        <f aca="false">'[1]Gebäudehülle über Terrain'!I34</f>
        <v>0.133333333333333</v>
      </c>
      <c r="P7" s="164" t="n">
        <f aca="false">'[1]Gebäudehülle über Terrain'!I42</f>
        <v>0.255</v>
      </c>
      <c r="Q7" s="164" t="n">
        <f aca="false">'[1]Gebäudehülle über Terrain'!I52</f>
        <v>0.2</v>
      </c>
      <c r="R7" s="164" t="n">
        <f aca="false">'[1]Gebäudehülle über Terrain'!I57</f>
        <v>0.00827586206896552</v>
      </c>
      <c r="S7" s="164" t="n">
        <f aca="false">'[1]Gebäudehülle über Terrain'!I66</f>
        <v>0.00827586206896552</v>
      </c>
      <c r="T7" s="164" t="n">
        <f aca="false">'[1]Gebäudehülle über Terrain'!I78</f>
        <v>0.00469177215189873</v>
      </c>
      <c r="U7" s="170" t="n">
        <f aca="false">'[1]Gebäudehülle über Terrain'!I88</f>
        <v>0.000620253164556962</v>
      </c>
      <c r="V7" s="164" t="n">
        <f aca="false">'[1]Gebäudehülle über Terrain'!I97</f>
        <v>0.00827586206896552</v>
      </c>
      <c r="W7" s="164" t="n">
        <f aca="false">'[1]Gebäudehülle über Terrain'!I107</f>
        <v>0.00827586206896552</v>
      </c>
      <c r="X7" s="164" t="n">
        <f aca="false">'[1]Gebäudehülle über Terrain'!I115</f>
        <v>0.00827586206896552</v>
      </c>
      <c r="Y7" s="164" t="n">
        <f aca="false">'[1]Gebäudehülle über Terrain'!I125</f>
        <v>0.00827586206896552</v>
      </c>
      <c r="Z7" s="164" t="n">
        <f aca="false">'[1]Gebäudehülle über Terrain'!I132</f>
        <v>10</v>
      </c>
      <c r="AA7" s="164" t="s">
        <v>65</v>
      </c>
      <c r="AB7" s="164" t="n">
        <f aca="false">'[1]Gebäudehülle über Terrain'!I146</f>
        <v>1</v>
      </c>
      <c r="AC7" s="164" t="n">
        <f aca="false">'[1]Gebäudehülle über Terrain'!I154</f>
        <v>1</v>
      </c>
      <c r="AD7" s="164" t="n">
        <f aca="false">'[1]Gebäudehülle über Terrain'!I162</f>
        <v>0.165605095541401</v>
      </c>
      <c r="AE7" s="164" t="n">
        <f aca="false">'[1]Gebäudehülle über Terrain'!I168</f>
        <v>0.4</v>
      </c>
      <c r="AF7" s="164" t="n">
        <f aca="false">'[1]Gebäudehülle über Terrain'!I176</f>
        <v>0.0186666666666667</v>
      </c>
      <c r="AG7" s="164" t="n">
        <f aca="false">'[1]Gebäudehülle über Terrain'!I187</f>
        <v>0.2</v>
      </c>
      <c r="AH7" s="164" t="n">
        <f aca="false">'[1]Gebäudehülle über Terrain'!I196</f>
        <v>0.2</v>
      </c>
      <c r="AI7" s="164" t="n">
        <f aca="false">'[1]Gebäudehülle über Terrain'!I205</f>
        <v>0.2</v>
      </c>
      <c r="AJ7" s="169" t="n">
        <f aca="false">'[1]Gebäudehülle über Terrain'!I217</f>
        <v>0.0152173913043478</v>
      </c>
      <c r="AK7" s="164" t="n">
        <f aca="false">'[1]Gebäudehülle über Terrain'!I225</f>
        <v>2.94117647058823</v>
      </c>
      <c r="AL7" s="164" t="n">
        <f aca="false">'[1]Gebäudehülle über Terrain'!I233</f>
        <v>2.94117647058823</v>
      </c>
      <c r="AM7" s="164" t="n">
        <f aca="false">'[1]Gebäudehülle über Terrain'!I244</f>
        <v>2.94117647058823</v>
      </c>
      <c r="AN7" s="164" t="n">
        <f aca="false">'[1]Innenbauteile &amp; Aussenbauteile'!I6</f>
        <v>1</v>
      </c>
      <c r="AO7" s="164" t="n">
        <f aca="false">'[1]Innenbauteile &amp; Aussenbauteile'!I14</f>
        <v>2.32258064516129</v>
      </c>
      <c r="AP7" s="164" t="n">
        <f aca="false">'[1]Innenbauteile &amp; Aussenbauteile'!I21</f>
        <v>2.32258064516129</v>
      </c>
      <c r="AQ7" s="164" t="n">
        <f aca="false">'[1]Innenbauteile &amp; Aussenbauteile'!I31</f>
        <v>5</v>
      </c>
      <c r="AR7" s="164" t="n">
        <f aca="false">'[1]Innenbauteile &amp; Aussenbauteile'!I38</f>
        <v>6.25</v>
      </c>
      <c r="AS7" s="164" t="n">
        <f aca="false">'[1]Innenbauteile &amp; Aussenbauteile'!I48</f>
        <v>1</v>
      </c>
      <c r="AT7" s="164" t="n">
        <f aca="false">'[1]Innenbauteile &amp; Aussenbauteile'!I56</f>
        <v>4</v>
      </c>
      <c r="AU7" s="164" t="n">
        <f aca="false">'[1]Innenbauteile &amp; Aussenbauteile'!I66</f>
        <v>13</v>
      </c>
      <c r="AV7" s="164"/>
      <c r="AW7" s="164" t="n">
        <f aca="false">'[1]Innenbauteile &amp; Aussenbauteile'!I79</f>
        <v>0.605405405405405</v>
      </c>
      <c r="AX7" s="164" t="n">
        <f aca="false">'[1]Innenbauteile &amp; Aussenbauteile'!I85</f>
        <v>0.00815217391304348</v>
      </c>
      <c r="AY7" s="164"/>
      <c r="AZ7" s="164"/>
      <c r="BA7" s="164" t="n">
        <f aca="false">'[1]Innenbauteile &amp; Aussenbauteile'!I106</f>
        <v>7.61764705882353</v>
      </c>
      <c r="BB7" s="164" t="n">
        <f aca="false">'[1]Innenbauteile &amp; Aussenbauteile'!I113</f>
        <v>7.61764705882353</v>
      </c>
      <c r="BC7" s="164" t="n">
        <f aca="false">'[1]Innenbauteile &amp; Aussenbauteile'!I126</f>
        <v>1</v>
      </c>
      <c r="BF7" s="164"/>
      <c r="BG7" s="164"/>
      <c r="BH7" s="164"/>
      <c r="BI7" s="164"/>
    </row>
    <row r="8" customFormat="false" ht="15" hidden="false" customHeight="false" outlineLevel="0" collapsed="false">
      <c r="C8" s="164" t="n">
        <f aca="false">'[1]Gebäudehülle u.T.'!I12</f>
        <v>20</v>
      </c>
      <c r="D8" s="164" t="n">
        <f aca="false">'[1]Gebäudehülle u.T.'!I16</f>
        <v>25</v>
      </c>
      <c r="E8" s="164" t="n">
        <f aca="false">'[1]Gebäudehülle u.T.'!I26</f>
        <v>0.1</v>
      </c>
      <c r="F8" s="164" t="n">
        <f aca="false">'[1]Gebäudehülle u.T.'!I26</f>
        <v>0.1</v>
      </c>
      <c r="G8" s="164" t="n">
        <f aca="false">'[1]Gebäudehülle u.T.'!I38</f>
        <v>0.1</v>
      </c>
      <c r="H8" s="164" t="n">
        <f aca="false">'[1]Gebäudehülle u.T.'!I50</f>
        <v>0.1</v>
      </c>
      <c r="I8" s="164" t="n">
        <f aca="false">'[1]Gebäudehülle u.T.'!I59</f>
        <v>0.1</v>
      </c>
      <c r="J8" s="164" t="n">
        <f aca="false">'[1]Gebäudehülle u.T.'!I70</f>
        <v>0.1</v>
      </c>
      <c r="K8" s="164" t="n">
        <f aca="false">'[1]Gebäudehülle über Terrain'!I7</f>
        <v>1.16129032258065</v>
      </c>
      <c r="L8" s="164" t="n">
        <f aca="false">'[1]Gebäudehülle über Terrain'!I15</f>
        <v>0.318181818181818</v>
      </c>
      <c r="M8" s="164" t="n">
        <f aca="false">'[1]Gebäudehülle über Terrain'!I22</f>
        <v>0.605405405405405</v>
      </c>
      <c r="N8" s="164"/>
      <c r="O8" s="164"/>
      <c r="P8" s="164" t="n">
        <f aca="false">'[1]Gebäudehülle über Terrain'!I43</f>
        <v>1.16129032258065</v>
      </c>
      <c r="Q8" s="164"/>
      <c r="R8" s="164" t="n">
        <f aca="false">'[1]Gebäudehülle über Terrain'!I58</f>
        <v>1.09090909090909</v>
      </c>
      <c r="S8" s="164" t="n">
        <f aca="false">'[1]Gebäudehülle über Terrain'!I67</f>
        <v>1.09090909090909</v>
      </c>
      <c r="T8" s="164" t="n">
        <f aca="false">'[1]Gebäudehülle über Terrain'!I79</f>
        <v>0.00582068965517241</v>
      </c>
      <c r="U8" s="170" t="n">
        <f aca="false">'[1]Gebäudehülle über Terrain'!I89</f>
        <v>0.000863309352517986</v>
      </c>
      <c r="V8" s="164" t="n">
        <f aca="false">'[1]Gebäudehülle über Terrain'!I98</f>
        <v>22</v>
      </c>
      <c r="W8" s="164" t="n">
        <f aca="false">'[1]Gebäudehülle über Terrain'!I108</f>
        <v>22</v>
      </c>
      <c r="X8" s="164" t="n">
        <f aca="false">'[1]Gebäudehülle über Terrain'!I116</f>
        <v>20</v>
      </c>
      <c r="Y8" s="164" t="n">
        <f aca="false">'[1]Gebäudehülle über Terrain'!I126</f>
        <v>22</v>
      </c>
      <c r="Z8" s="164"/>
      <c r="AA8" s="164"/>
      <c r="AB8" s="164" t="n">
        <f aca="false">'[1]Gebäudehülle über Terrain'!I147</f>
        <v>1.16129032258065</v>
      </c>
      <c r="AC8" s="164" t="n">
        <f aca="false">'[1]Gebäudehülle über Terrain'!I155</f>
        <v>1.16129032258065</v>
      </c>
      <c r="AD8" s="164" t="n">
        <f aca="false">'[1]Gebäudehülle über Terrain'!I163</f>
        <v>0.127388535031847</v>
      </c>
      <c r="AE8" s="164" t="n">
        <f aca="false">'[1]Gebäudehülle über Terrain'!I169</f>
        <v>1.25</v>
      </c>
      <c r="AF8" s="164" t="n">
        <f aca="false">'[1]Gebäudehülle über Terrain'!I177</f>
        <v>0.4</v>
      </c>
      <c r="AG8" s="164" t="n">
        <f aca="false">'[1]Gebäudehülle über Terrain'!I188</f>
        <v>0.472727272727273</v>
      </c>
      <c r="AH8" s="164" t="n">
        <f aca="false">'[1]Gebäudehülle über Terrain'!I197</f>
        <v>0.472727272727273</v>
      </c>
      <c r="AI8" s="164" t="n">
        <f aca="false">'[1]Gebäudehülle über Terrain'!I206</f>
        <v>0.472727272727273</v>
      </c>
      <c r="AJ8" s="169" t="n">
        <f aca="false">'[1]Gebäudehülle über Terrain'!I218</f>
        <v>2.25</v>
      </c>
      <c r="AK8" s="164" t="n">
        <f aca="false">'[1]Gebäudehülle über Terrain'!I226</f>
        <v>0.002792559</v>
      </c>
      <c r="AL8" s="164" t="n">
        <f aca="false">'[1]Gebäudehülle über Terrain'!I234</f>
        <v>0.002792559</v>
      </c>
      <c r="AM8" s="164" t="n">
        <f aca="false">'[1]Gebäudehülle über Terrain'!I245</f>
        <v>0.002792559</v>
      </c>
      <c r="AN8" s="164" t="n">
        <f aca="false">'[1]Innenbauteile &amp; Aussenbauteile'!I7</f>
        <v>2.32258064516129</v>
      </c>
      <c r="AO8" s="164" t="n">
        <f aca="false">'[1]Innenbauteile &amp; Aussenbauteile'!I15</f>
        <v>0.636363636363636</v>
      </c>
      <c r="AP8" s="164" t="n">
        <f aca="false">'[1]Innenbauteile &amp; Aussenbauteile'!I22</f>
        <v>0.636363636363636</v>
      </c>
      <c r="AQ8" s="164" t="n">
        <f aca="false">'[1]Innenbauteile &amp; Aussenbauteile'!I32</f>
        <v>1.21081081081081</v>
      </c>
      <c r="AR8" s="164" t="n">
        <f aca="false">'[1]Innenbauteile &amp; Aussenbauteile'!I39</f>
        <v>1.21081081081081</v>
      </c>
      <c r="AS8" s="164" t="n">
        <f aca="false">'[1]Innenbauteile &amp; Aussenbauteile'!I49</f>
        <v>1.16129032258065</v>
      </c>
      <c r="AT8" s="164" t="n">
        <f aca="false">'[1]Innenbauteile &amp; Aussenbauteile'!I57</f>
        <v>0.4</v>
      </c>
      <c r="AU8" s="164" t="n">
        <f aca="false">'[1]Innenbauteile &amp; Aussenbauteile'!I67</f>
        <v>0.4</v>
      </c>
      <c r="AV8" s="164"/>
      <c r="AW8" s="164" t="n">
        <f aca="false">'[1]Innenbauteile &amp; Aussenbauteile'!I80</f>
        <v>0.2</v>
      </c>
      <c r="AX8" s="164" t="n">
        <f aca="false">'[1]Innenbauteile &amp; Aussenbauteile'!I86</f>
        <v>0.0280254777070064</v>
      </c>
      <c r="AY8" s="164"/>
      <c r="AZ8" s="164"/>
      <c r="BA8" s="164" t="n">
        <f aca="false">'[1]Innenbauteile &amp; Aussenbauteile'!I107</f>
        <v>0.016304347826087</v>
      </c>
      <c r="BB8" s="164" t="n">
        <f aca="false">'[1]Innenbauteile &amp; Aussenbauteile'!I114</f>
        <v>0.016304347826087</v>
      </c>
      <c r="BC8" s="164" t="n">
        <f aca="false">'[1]Innenbauteile &amp; Aussenbauteile'!I127</f>
        <v>0.0594936708860759</v>
      </c>
      <c r="BF8" s="164"/>
      <c r="BG8" s="164"/>
      <c r="BH8" s="164"/>
      <c r="BI8" s="164"/>
    </row>
    <row r="9" customFormat="false" ht="15" hidden="false" customHeight="false" outlineLevel="0" collapsed="false">
      <c r="E9" s="164" t="n">
        <f aca="false">'[1]Gebäudehülle u.T.'!I27</f>
        <v>0.260416666666667</v>
      </c>
      <c r="F9" s="164" t="n">
        <f aca="false">'[1]Gebäudehülle u.T.'!I27</f>
        <v>0.260416666666667</v>
      </c>
      <c r="G9" s="164" t="n">
        <f aca="false">'[1]Gebäudehülle u.T.'!I39</f>
        <v>0.260416666666667</v>
      </c>
      <c r="H9" s="164" t="n">
        <f aca="false">'[1]Gebäudehülle u.T.'!I51</f>
        <v>0.5</v>
      </c>
      <c r="I9" s="164" t="n">
        <f aca="false">'[1]Gebäudehülle u.T.'!I60</f>
        <v>0.4</v>
      </c>
      <c r="J9" s="164" t="n">
        <f aca="false">'[1]Gebäudehülle u.T.'!I71</f>
        <v>0.4</v>
      </c>
      <c r="K9" s="164" t="n">
        <f aca="false">'[1]Gebäudehülle über Terrain'!I8</f>
        <v>0.318181818181818</v>
      </c>
      <c r="L9" s="164" t="n">
        <f aca="false">'[1]Gebäudehülle über Terrain'!I16</f>
        <v>0.2</v>
      </c>
      <c r="M9" s="164" t="n">
        <f aca="false">'[1]Gebäudehülle über Terrain'!I23</f>
        <v>0.2</v>
      </c>
      <c r="N9" s="164"/>
      <c r="O9" s="164"/>
      <c r="P9" s="164" t="n">
        <f aca="false">'[1]Gebäudehülle über Terrain'!I44</f>
        <v>0.318181818181818</v>
      </c>
      <c r="Q9" s="164"/>
      <c r="R9" s="164" t="n">
        <f aca="false">'[1]Gebäudehülle über Terrain'!I59</f>
        <v>0.0110344827586207</v>
      </c>
      <c r="S9" s="164" t="n">
        <f aca="false">'[1]Gebäudehülle über Terrain'!I68</f>
        <v>0.0117647058823529</v>
      </c>
      <c r="T9" s="164" t="n">
        <f aca="false">'[1]Gebäudehülle über Terrain'!I80</f>
        <v>0.00687898089171975</v>
      </c>
      <c r="U9" s="170" t="n">
        <f aca="false">'[1]Gebäudehülle über Terrain'!I90</f>
        <v>0.00882352941176471</v>
      </c>
      <c r="V9" s="164" t="n">
        <f aca="false">'[1]Gebäudehülle über Terrain'!I99</f>
        <v>0.0239130434782609</v>
      </c>
      <c r="W9" s="164" t="n">
        <f aca="false">'[1]Gebäudehülle über Terrain'!I109</f>
        <v>0.0239130434782609</v>
      </c>
      <c r="X9" s="164" t="n">
        <f aca="false">'[1]Gebäudehülle über Terrain'!I117</f>
        <v>0.0239130434782609</v>
      </c>
      <c r="Y9" s="164" t="n">
        <f aca="false">'[1]Gebäudehülle über Terrain'!I127</f>
        <v>0.0239130434782609</v>
      </c>
      <c r="Z9" s="164"/>
      <c r="AA9" s="164"/>
      <c r="AB9" s="164" t="n">
        <f aca="false">'[1]Gebäudehülle über Terrain'!I148</f>
        <v>0.318181818181818</v>
      </c>
      <c r="AC9" s="164" t="n">
        <f aca="false">'[1]Gebäudehülle über Terrain'!I156</f>
        <v>0.318181818181818</v>
      </c>
      <c r="AD9" s="164"/>
      <c r="AE9" s="164" t="n">
        <f aca="false">'[1]Gebäudehülle über Terrain'!I170</f>
        <v>0.605405405405405</v>
      </c>
      <c r="AF9" s="164" t="n">
        <f aca="false">'[1]Gebäudehülle über Terrain'!I178</f>
        <v>1.25</v>
      </c>
      <c r="AG9" s="164" t="n">
        <f aca="false">'[1]Gebäudehülle über Terrain'!I189</f>
        <v>0.0152173913043478</v>
      </c>
      <c r="AH9" s="164" t="n">
        <f aca="false">'[1]Gebäudehülle über Terrain'!I198</f>
        <v>0.0152173913043478</v>
      </c>
      <c r="AI9" s="164" t="n">
        <f aca="false">'[1]Gebäudehülle über Terrain'!I207</f>
        <v>0.0152173913043478</v>
      </c>
      <c r="AJ9" s="169" t="n">
        <f aca="false">'[1]Gebäudehülle über Terrain'!I219</f>
        <v>3.5</v>
      </c>
      <c r="AK9" s="164" t="n">
        <f aca="false">'[1]Gebäudehülle über Terrain'!I227</f>
        <v>22</v>
      </c>
      <c r="AL9" s="164" t="n">
        <f aca="false">'[1]Gebäudehülle über Terrain'!I235</f>
        <v>22</v>
      </c>
      <c r="AM9" s="164"/>
      <c r="AN9" s="164" t="n">
        <f aca="false">'[1]Innenbauteile &amp; Aussenbauteile'!I8</f>
        <v>0.636363636363636</v>
      </c>
      <c r="AO9" s="164" t="n">
        <f aca="false">'[1]Innenbauteile &amp; Aussenbauteile'!I16</f>
        <v>0.2</v>
      </c>
      <c r="AP9" s="164" t="n">
        <f aca="false">'[1]Innenbauteile &amp; Aussenbauteile'!I23</f>
        <v>0.2</v>
      </c>
      <c r="AQ9" s="164" t="n">
        <f aca="false">'[1]Innenbauteile &amp; Aussenbauteile'!I33</f>
        <v>0.2</v>
      </c>
      <c r="AR9" s="164" t="n">
        <f aca="false">'[1]Innenbauteile &amp; Aussenbauteile'!I40</f>
        <v>0.2</v>
      </c>
      <c r="AS9" s="164" t="n">
        <f aca="false">'[1]Innenbauteile &amp; Aussenbauteile'!I50</f>
        <v>0.318181818181818</v>
      </c>
      <c r="AT9" s="164" t="n">
        <f aca="false">'[1]Innenbauteile &amp; Aussenbauteile'!I58</f>
        <v>1.25</v>
      </c>
      <c r="AU9" s="164" t="n">
        <f aca="false">'[1]Innenbauteile &amp; Aussenbauteile'!I68</f>
        <v>1.25</v>
      </c>
      <c r="AV9" s="164"/>
      <c r="AW9" s="164"/>
      <c r="AX9" s="164"/>
      <c r="BA9" s="164" t="n">
        <f aca="false">'[1]Innenbauteile &amp; Aussenbauteile'!I108</f>
        <v>2</v>
      </c>
      <c r="BB9" s="164" t="n">
        <f aca="false">'[1]Innenbauteile &amp; Aussenbauteile'!I115</f>
        <v>2</v>
      </c>
      <c r="BC9" s="164" t="n">
        <f aca="false">'[1]Innenbauteile &amp; Aussenbauteile'!I128</f>
        <v>0.857142857142857</v>
      </c>
      <c r="BF9" s="164"/>
      <c r="BG9" s="164"/>
      <c r="BH9" s="164"/>
      <c r="BI9" s="164"/>
    </row>
    <row r="10" customFormat="false" ht="15" hidden="false" customHeight="false" outlineLevel="0" collapsed="false">
      <c r="F10" s="164" t="n">
        <f aca="false">'[1]Gebäudehülle u.T.'!I31</f>
        <v>20</v>
      </c>
      <c r="G10" s="164" t="n">
        <f aca="false">'[1]Gebäudehülle u.T.'!I40</f>
        <v>25</v>
      </c>
      <c r="H10" s="164" t="n">
        <f aca="false">'[1]Gebäudehülle u.T.'!I52</f>
        <v>0.0434782608695652</v>
      </c>
      <c r="I10" s="164" t="n">
        <f aca="false">'[1]Gebäudehülle u.T.'!I61</f>
        <v>20</v>
      </c>
      <c r="J10" s="164" t="n">
        <f aca="false">'[1]Gebäudehülle u.T.'!I72</f>
        <v>25</v>
      </c>
      <c r="K10" s="164" t="n">
        <f aca="false">'[1]Gebäudehülle über Terrain'!I9</f>
        <v>0.2</v>
      </c>
      <c r="L10" s="164"/>
      <c r="P10" s="164" t="n">
        <f aca="false">'[1]Gebäudehülle über Terrain'!I45</f>
        <v>0.2</v>
      </c>
      <c r="Q10" s="164"/>
      <c r="R10" s="164" t="n">
        <f aca="false">'[1]Gebäudehülle über Terrain'!I60</f>
        <v>0.15</v>
      </c>
      <c r="S10" s="164" t="n">
        <f aca="false">'[1]Gebäudehülle über Terrain'!I69</f>
        <v>0.15</v>
      </c>
      <c r="T10" s="164" t="n">
        <f aca="false">'[1]Gebäudehülle über Terrain'!I81</f>
        <v>0.00827586206896552</v>
      </c>
      <c r="U10" s="164" t="n">
        <f aca="false">'[1]Gebäudehülle über Terrain'!I91</f>
        <v>20</v>
      </c>
      <c r="V10" s="164"/>
      <c r="W10" s="164"/>
      <c r="X10" s="164"/>
      <c r="AB10" s="164" t="n">
        <f aca="false">'[1]Gebäudehülle über Terrain'!I149</f>
        <v>0.2</v>
      </c>
      <c r="AC10" s="164" t="n">
        <f aca="false">'[1]Gebäudehülle über Terrain'!I157</f>
        <v>0.2</v>
      </c>
      <c r="AD10" s="164"/>
      <c r="AE10" s="164" t="n">
        <f aca="false">'[1]Gebäudehülle über Terrain'!I171</f>
        <v>0.2</v>
      </c>
      <c r="AF10" s="164" t="n">
        <f aca="false">'[1]Gebäudehülle über Terrain'!I179</f>
        <v>0.605405405405405</v>
      </c>
      <c r="AG10" s="164" t="n">
        <f aca="false">'[1]Gebäudehülle über Terrain'!I190</f>
        <v>2.25</v>
      </c>
      <c r="AH10" s="164" t="n">
        <f aca="false">'[1]Gebäudehülle über Terrain'!I199</f>
        <v>2.25</v>
      </c>
      <c r="AI10" s="164" t="n">
        <f aca="false">'[1]Gebäudehülle über Terrain'!I208</f>
        <v>2.25</v>
      </c>
      <c r="AJ10" s="164"/>
      <c r="AK10" s="164" t="n">
        <f aca="false">'[1]Gebäudehülle über Terrain'!I228</f>
        <v>0.0195652173913043</v>
      </c>
      <c r="AL10" s="164" t="n">
        <f aca="false">'[1]Gebäudehülle über Terrain'!I236</f>
        <v>0.0195652173913043</v>
      </c>
      <c r="AM10" s="85"/>
      <c r="AN10" s="164" t="n">
        <f aca="false">'[1]Innenbauteile &amp; Aussenbauteile'!I9</f>
        <v>0.2</v>
      </c>
      <c r="AO10" s="164"/>
      <c r="AP10" s="164"/>
      <c r="AS10" s="164" t="n">
        <f aca="false">'[1]Innenbauteile &amp; Aussenbauteile'!I51</f>
        <v>0.2</v>
      </c>
      <c r="AT10" s="164" t="n">
        <f aca="false">'[1]Innenbauteile &amp; Aussenbauteile'!I59</f>
        <v>0.605405405405405</v>
      </c>
      <c r="AU10" s="164" t="n">
        <f aca="false">'[1]Innenbauteile &amp; Aussenbauteile'!I69</f>
        <v>0.605405405405405</v>
      </c>
      <c r="AV10" s="164"/>
      <c r="AW10" s="164"/>
      <c r="AX10" s="164"/>
      <c r="BC10" s="164" t="n">
        <f aca="false">'[1]Innenbauteile &amp; Aussenbauteile'!I129</f>
        <v>2.75</v>
      </c>
      <c r="BF10" s="164"/>
      <c r="BG10" s="164"/>
      <c r="BH10" s="164"/>
      <c r="BI10" s="164"/>
    </row>
    <row r="11" customFormat="false" ht="15" hidden="false" customHeight="false" outlineLevel="0" collapsed="false">
      <c r="F11" s="164" t="n">
        <f aca="false">'[1]Gebäudehülle u.T.'!I32</f>
        <v>0.3</v>
      </c>
      <c r="G11" s="164" t="n">
        <f aca="false">'[1]Gebäudehülle u.T.'!I41</f>
        <v>0.3</v>
      </c>
      <c r="H11" s="164" t="n">
        <f aca="false">'[1]Gebäudehülle u.T.'!I53</f>
        <v>3</v>
      </c>
      <c r="I11" s="164" t="n">
        <f aca="false">'[1]Gebäudehülle u.T.'!I62</f>
        <v>0.6</v>
      </c>
      <c r="J11" s="164" t="n">
        <f aca="false">'[1]Gebäudehülle u.T.'!I73</f>
        <v>1.3</v>
      </c>
      <c r="K11" s="164"/>
      <c r="L11" s="164"/>
      <c r="M11" s="164"/>
      <c r="R11" s="164" t="n">
        <f aca="false">'[1]Gebäudehülle über Terrain'!I61</f>
        <v>0.2</v>
      </c>
      <c r="S11" s="164" t="n">
        <f aca="false">'[1]Gebäudehülle über Terrain'!I70</f>
        <v>0.2</v>
      </c>
      <c r="T11" s="164" t="n">
        <f aca="false">'[1]Gebäudehülle über Terrain'!I82</f>
        <v>20</v>
      </c>
      <c r="U11" s="164" t="n">
        <f aca="false">'[1]Gebäudehülle über Terrain'!I92</f>
        <v>0.0239130434782609</v>
      </c>
      <c r="V11" s="164"/>
      <c r="W11" s="164"/>
      <c r="X11" s="164"/>
      <c r="AF11" s="164" t="n">
        <f aca="false">'[1]Gebäudehülle über Terrain'!I180</f>
        <v>0.2</v>
      </c>
      <c r="AG11" s="164" t="n">
        <f aca="false">'[1]Gebäudehülle über Terrain'!I191</f>
        <v>3.5</v>
      </c>
      <c r="AH11" s="164" t="n">
        <f aca="false">'[1]Gebäudehülle über Terrain'!I200</f>
        <v>3.5</v>
      </c>
      <c r="AI11" s="164" t="n">
        <f aca="false">'[1]Gebäudehülle über Terrain'!I209</f>
        <v>3.5</v>
      </c>
      <c r="AJ11" s="164"/>
      <c r="AK11" s="164"/>
      <c r="AL11" s="164"/>
      <c r="AT11" s="164" t="n">
        <f aca="false">'[1]Innenbauteile &amp; Aussenbauteile'!I60</f>
        <v>0.2</v>
      </c>
      <c r="AU11" s="164" t="n">
        <f aca="false">'[1]Innenbauteile &amp; Aussenbauteile'!I70</f>
        <v>0.2</v>
      </c>
      <c r="AV11" s="164"/>
      <c r="AW11" s="164"/>
      <c r="AX11" s="164"/>
      <c r="BC11" s="164" t="n">
        <f aca="false">'[1]Innenbauteile &amp; Aussenbauteile'!I130</f>
        <v>0.165764331210191</v>
      </c>
      <c r="BF11" s="164"/>
      <c r="BG11" s="164"/>
      <c r="BH11" s="164"/>
      <c r="BI11" s="164"/>
    </row>
    <row r="12" customFormat="false" ht="15" hidden="false" customHeight="false" outlineLevel="0" collapsed="false">
      <c r="I12" s="164" t="n">
        <f aca="false">'[1]Gebäudehülle u.T.'!I63</f>
        <v>0.0434782608695652</v>
      </c>
      <c r="J12" s="164" t="n">
        <f aca="false">'[1]Gebäudehülle u.T.'!I74</f>
        <v>0.6</v>
      </c>
      <c r="K12" s="164"/>
      <c r="L12" s="164"/>
      <c r="M12" s="164"/>
      <c r="T12" s="164" t="n">
        <f aca="false">'[1]Gebäudehülle über Terrain'!I83</f>
        <v>0.0239130434782609</v>
      </c>
      <c r="U12" s="164"/>
      <c r="V12" s="164"/>
      <c r="W12" s="164"/>
      <c r="AL12" s="164"/>
    </row>
    <row r="13" customFormat="false" ht="15" hidden="false" customHeight="false" outlineLevel="0" collapsed="false">
      <c r="I13" s="164" t="n">
        <f aca="false">'[1]Gebäudehülle u.T.'!I64</f>
        <v>3</v>
      </c>
      <c r="J13" s="164" t="n">
        <f aca="false">'[1]Gebäudehülle u.T.'!I75</f>
        <v>0.0434782608695652</v>
      </c>
      <c r="K13" s="164"/>
      <c r="L13" s="164"/>
      <c r="M13" s="164"/>
    </row>
    <row r="14" customFormat="false" ht="15" hidden="false" customHeight="false" outlineLevel="0" collapsed="false">
      <c r="C14" s="163"/>
      <c r="D14" s="163"/>
      <c r="E14" s="163"/>
      <c r="J14" s="164" t="n">
        <f aca="false">'[1]Gebäudehülle u.T.'!I76</f>
        <v>3</v>
      </c>
      <c r="K14" s="164"/>
      <c r="L14" s="164"/>
      <c r="M14" s="164"/>
    </row>
    <row r="19" customFormat="false" ht="15" hidden="false" customHeight="false" outlineLevel="0" collapsed="false">
      <c r="G19" s="97"/>
      <c r="H19" s="97"/>
      <c r="I19" s="97"/>
      <c r="K19" s="73"/>
      <c r="L19" s="73"/>
      <c r="M19" s="73"/>
      <c r="N19" s="73"/>
      <c r="O19" s="73"/>
      <c r="P19" s="73"/>
      <c r="Q19" s="73"/>
      <c r="R19" s="73"/>
      <c r="S19" s="73"/>
      <c r="T19" s="73"/>
    </row>
  </sheetData>
  <mergeCells count="2">
    <mergeCell ref="G19:I19"/>
    <mergeCell ref="K19:T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67171"/>
    <pageSetUpPr fitToPage="false"/>
  </sheetPr>
  <dimension ref="B1:AS44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G31" activeCellId="0" sqref="G31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9"/>
    <col collapsed="false" customWidth="true" hidden="false" outlineLevel="0" max="4" min="4" style="0" width="3.42"/>
    <col collapsed="false" customWidth="true" hidden="false" outlineLevel="0" max="5" min="5" style="0" width="11.86"/>
    <col collapsed="false" customWidth="true" hidden="false" outlineLevel="0" max="6" min="6" style="0" width="46.42"/>
    <col collapsed="false" customWidth="true" hidden="false" outlineLevel="0" max="7" min="7" style="0" width="39.28"/>
    <col collapsed="false" customWidth="true" hidden="false" outlineLevel="0" max="8" min="8" style="0" width="12.86"/>
    <col collapsed="false" customWidth="true" hidden="false" outlineLevel="0" max="11" min="9" style="0" width="5.43"/>
    <col collapsed="false" customWidth="true" hidden="false" outlineLevel="0" max="12" min="12" style="0" width="19.42"/>
    <col collapsed="false" customWidth="true" hidden="false" outlineLevel="0" max="13" min="13" style="0" width="24.41"/>
    <col collapsed="false" customWidth="true" hidden="false" outlineLevel="0" max="14" min="14" style="0" width="13.02"/>
    <col collapsed="false" customWidth="true" hidden="false" outlineLevel="0" max="15" min="15" style="0" width="22.43"/>
    <col collapsed="false" customWidth="true" hidden="false" outlineLevel="0" max="16" min="16" style="0" width="7.71"/>
    <col collapsed="false" customWidth="true" hidden="false" outlineLevel="0" max="17" min="17" style="0" width="7"/>
    <col collapsed="false" customWidth="true" hidden="false" outlineLevel="0" max="18" min="18" style="0" width="5.86"/>
    <col collapsed="false" customWidth="true" hidden="false" outlineLevel="0" max="19" min="19" style="0" width="7"/>
    <col collapsed="false" customWidth="true" hidden="false" outlineLevel="0" max="21" min="20" style="0" width="6.71"/>
    <col collapsed="false" customWidth="true" hidden="false" outlineLevel="0" max="26" min="22" style="0" width="7"/>
    <col collapsed="false" customWidth="true" hidden="false" outlineLevel="0" max="28" min="27" style="0" width="8"/>
    <col collapsed="false" customWidth="true" hidden="false" outlineLevel="0" max="37" min="29" style="0" width="7"/>
    <col collapsed="false" customWidth="true" hidden="false" outlineLevel="0" max="38" min="38" style="0" width="8.4"/>
    <col collapsed="false" customWidth="true" hidden="false" outlineLevel="0" max="39" min="39" style="0" width="19.42"/>
    <col collapsed="false" customWidth="true" hidden="false" outlineLevel="0" max="40" min="40" style="0" width="38.14"/>
    <col collapsed="false" customWidth="true" hidden="false" outlineLevel="0" max="41" min="41" style="0" width="13.02"/>
    <col collapsed="false" customWidth="true" hidden="false" outlineLevel="0" max="42" min="42" style="0" width="19.42"/>
    <col collapsed="false" customWidth="true" hidden="false" outlineLevel="0" max="43" min="43" style="0" width="7.87"/>
    <col collapsed="false" customWidth="true" hidden="false" outlineLevel="0" max="44" min="44" style="0" width="9.85"/>
    <col collapsed="false" customWidth="true" hidden="false" outlineLevel="0" max="45" min="45" style="0" width="15.15"/>
  </cols>
  <sheetData>
    <row r="1" customFormat="false" ht="15" hidden="false" customHeight="true" outlineLevel="0" collapsed="false"/>
    <row r="2" customFormat="false" ht="20.25" hidden="false" customHeight="false" outlineLevel="0" collapsed="false">
      <c r="B2" s="6" t="s">
        <v>21</v>
      </c>
      <c r="C2" s="7"/>
      <c r="D2" s="7"/>
    </row>
    <row r="3" customFormat="false" ht="15.75" hidden="false" customHeight="false" outlineLevel="0" collapsed="false">
      <c r="B3" s="8" t="s">
        <v>22</v>
      </c>
      <c r="C3" s="7"/>
      <c r="D3" s="7"/>
      <c r="AS3" s="7"/>
    </row>
    <row r="4" customFormat="false" ht="20.25" hidden="false" customHeight="false" outlineLevel="0" collapsed="false">
      <c r="B4" s="7" t="s">
        <v>23</v>
      </c>
      <c r="C4" s="9" t="n">
        <v>13</v>
      </c>
      <c r="D4" s="7" t="s">
        <v>24</v>
      </c>
      <c r="F4" s="9" t="s">
        <v>25</v>
      </c>
      <c r="G4" s="10" t="s">
        <v>26</v>
      </c>
      <c r="H4" s="11" t="str">
        <f aca="false">VLOOKUP(G4,Database!H4:K6,4,FALSE())</f>
        <v>10c</v>
      </c>
      <c r="I4" s="12" t="s">
        <v>27</v>
      </c>
      <c r="J4" s="12" t="s">
        <v>28</v>
      </c>
      <c r="K4" s="12" t="s">
        <v>29</v>
      </c>
      <c r="M4" s="13" t="s">
        <v>30</v>
      </c>
      <c r="N4" s="14" t="s">
        <v>31</v>
      </c>
      <c r="O4" s="14" t="s">
        <v>32</v>
      </c>
      <c r="P4" s="15" t="s">
        <v>33</v>
      </c>
      <c r="Q4" s="15" t="s">
        <v>34</v>
      </c>
      <c r="R4" s="15" t="s">
        <v>35</v>
      </c>
      <c r="S4" s="15" t="s">
        <v>36</v>
      </c>
      <c r="T4" s="15" t="s">
        <v>37</v>
      </c>
      <c r="U4" s="15" t="s">
        <v>38</v>
      </c>
      <c r="V4" s="15" t="s">
        <v>39</v>
      </c>
      <c r="W4" s="15" t="s">
        <v>40</v>
      </c>
      <c r="X4" s="15" t="s">
        <v>41</v>
      </c>
      <c r="Y4" s="15" t="s">
        <v>42</v>
      </c>
      <c r="Z4" s="15" t="s">
        <v>43</v>
      </c>
      <c r="AA4" s="15" t="s">
        <v>44</v>
      </c>
      <c r="AB4" s="15" t="s">
        <v>45</v>
      </c>
      <c r="AC4" s="15" t="s">
        <v>46</v>
      </c>
      <c r="AD4" s="15" t="s">
        <v>47</v>
      </c>
      <c r="AE4" s="15" t="s">
        <v>48</v>
      </c>
      <c r="AF4" s="15" t="s">
        <v>49</v>
      </c>
      <c r="AG4" s="15" t="s">
        <v>50</v>
      </c>
      <c r="AH4" s="15" t="s">
        <v>51</v>
      </c>
      <c r="AI4" s="15" t="s">
        <v>52</v>
      </c>
      <c r="AJ4" s="15" t="s">
        <v>53</v>
      </c>
      <c r="AK4" s="15" t="s">
        <v>54</v>
      </c>
      <c r="AL4" s="15" t="s">
        <v>55</v>
      </c>
      <c r="AN4" s="13" t="s">
        <v>56</v>
      </c>
      <c r="AO4" s="14" t="s">
        <v>31</v>
      </c>
      <c r="AP4" s="14" t="s">
        <v>57</v>
      </c>
      <c r="AQ4" s="14" t="s">
        <v>58</v>
      </c>
      <c r="AR4" s="14" t="s">
        <v>59</v>
      </c>
    </row>
    <row r="5" customFormat="false" ht="15.75" hidden="false" customHeight="false" outlineLevel="0" collapsed="false">
      <c r="B5" s="7" t="s">
        <v>60</v>
      </c>
      <c r="C5" s="9" t="n">
        <v>25</v>
      </c>
      <c r="D5" s="7" t="s">
        <v>24</v>
      </c>
      <c r="F5" s="9" t="s">
        <v>61</v>
      </c>
      <c r="G5" s="16" t="s">
        <v>62</v>
      </c>
      <c r="H5" s="17"/>
      <c r="I5" s="12"/>
      <c r="J5" s="12"/>
      <c r="K5" s="12"/>
      <c r="M5" s="18" t="s">
        <v>63</v>
      </c>
      <c r="N5" s="19" t="n">
        <f aca="false">Bodenplatte!J4</f>
        <v>1048.72085230892</v>
      </c>
      <c r="O5" s="20" t="n">
        <f aca="false">N5/$C$7</f>
        <v>1.1890259096473</v>
      </c>
      <c r="P5" s="21" t="n">
        <f aca="false">Bodenplatte!L8</f>
        <v>1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21" t="n">
        <v>0</v>
      </c>
      <c r="AA5" s="21" t="n">
        <v>0</v>
      </c>
      <c r="AB5" s="21" t="n">
        <v>0</v>
      </c>
      <c r="AC5" s="21" t="n">
        <v>0</v>
      </c>
      <c r="AD5" s="21" t="n">
        <v>0</v>
      </c>
      <c r="AE5" s="21" t="n">
        <v>0</v>
      </c>
      <c r="AF5" s="21" t="n">
        <v>0</v>
      </c>
      <c r="AG5" s="21" t="n">
        <v>0</v>
      </c>
      <c r="AH5" s="21" t="n">
        <v>0</v>
      </c>
      <c r="AI5" s="21" t="n">
        <v>0</v>
      </c>
      <c r="AJ5" s="21" t="n">
        <v>0</v>
      </c>
      <c r="AK5" s="21" t="n">
        <v>0</v>
      </c>
      <c r="AL5" s="15"/>
      <c r="AM5" s="22" t="n">
        <f aca="false">SUM(P5:AK5)</f>
        <v>1</v>
      </c>
      <c r="AN5" s="18" t="s">
        <v>63</v>
      </c>
      <c r="AO5" s="19" t="n">
        <f aca="false">Bodenplatte!J11</f>
        <v>1048.72085230892</v>
      </c>
      <c r="AP5" s="20" t="n">
        <f aca="false">AO5/$C$7</f>
        <v>1.1890259096473</v>
      </c>
      <c r="AQ5" s="23" t="n">
        <f aca="false">Bodenplatte!L20</f>
        <v>1</v>
      </c>
      <c r="AR5" s="23" t="n">
        <f aca="false">Bodenplatte!M20</f>
        <v>0</v>
      </c>
    </row>
    <row r="6" customFormat="false" ht="15.75" hidden="false" customHeight="false" outlineLevel="0" collapsed="false">
      <c r="B6" s="7" t="s">
        <v>64</v>
      </c>
      <c r="C6" s="9" t="n">
        <f aca="false">(C8+C16+(C4*2+C5*2)*(C9*C11+C10*C12))/((C8+C16)/2*(C9*C11+C10*C12))</f>
        <v>0.394436969538518</v>
      </c>
      <c r="D6" s="7" t="s">
        <v>65</v>
      </c>
      <c r="F6" s="9" t="s">
        <v>66</v>
      </c>
      <c r="G6" s="10" t="s">
        <v>67</v>
      </c>
      <c r="H6" s="17" t="str">
        <f aca="false">VLOOKUP(G6,Database!D4:E5,2,FALSE())</f>
        <v>7b</v>
      </c>
      <c r="I6" s="12"/>
      <c r="J6" s="12"/>
      <c r="K6" s="12"/>
      <c r="M6" s="18" t="s">
        <v>68</v>
      </c>
      <c r="N6" s="19" t="n">
        <f aca="false">'Aussenwand unter &amp; über Terrain'!J4</f>
        <v>0</v>
      </c>
      <c r="O6" s="20" t="n">
        <f aca="false">N6/$C$7</f>
        <v>0</v>
      </c>
      <c r="P6" s="21" t="n">
        <v>0</v>
      </c>
      <c r="Q6" s="21" t="n">
        <f aca="false">'Aussenwand unter &amp; über Terrain'!L11</f>
        <v>0</v>
      </c>
      <c r="R6" s="21" t="n">
        <v>0</v>
      </c>
      <c r="S6" s="21" t="n">
        <v>0</v>
      </c>
      <c r="T6" s="21" t="n">
        <f aca="false">'Aussenwand unter &amp; über Terrain'!M11</f>
        <v>0</v>
      </c>
      <c r="U6" s="21" t="n">
        <f aca="false">'Aussenwand unter &amp; über Terrain'!N11</f>
        <v>0</v>
      </c>
      <c r="V6" s="21" t="n">
        <v>0</v>
      </c>
      <c r="W6" s="21" t="n">
        <v>0</v>
      </c>
      <c r="X6" s="21" t="n">
        <v>0</v>
      </c>
      <c r="Y6" s="21" t="n">
        <v>0</v>
      </c>
      <c r="Z6" s="21" t="n">
        <v>0</v>
      </c>
      <c r="AA6" s="21" t="n">
        <v>0</v>
      </c>
      <c r="AB6" s="21" t="n">
        <v>0</v>
      </c>
      <c r="AC6" s="21" t="n">
        <v>0</v>
      </c>
      <c r="AD6" s="21" t="n">
        <v>0</v>
      </c>
      <c r="AE6" s="21" t="n">
        <v>0</v>
      </c>
      <c r="AF6" s="21" t="n">
        <v>0</v>
      </c>
      <c r="AG6" s="21" t="n">
        <v>0</v>
      </c>
      <c r="AH6" s="21" t="n">
        <v>0</v>
      </c>
      <c r="AI6" s="21" t="n">
        <v>0</v>
      </c>
      <c r="AJ6" s="21" t="n">
        <v>0</v>
      </c>
      <c r="AK6" s="21" t="n">
        <v>0</v>
      </c>
      <c r="AL6" s="15"/>
      <c r="AM6" s="22" t="n">
        <f aca="false">SUM(P6:AK6)</f>
        <v>0</v>
      </c>
      <c r="AN6" s="18" t="s">
        <v>68</v>
      </c>
      <c r="AO6" s="19" t="n">
        <f aca="false">'Aussenwand unter &amp; über Terrain'!J14</f>
        <v>0</v>
      </c>
      <c r="AP6" s="20" t="n">
        <f aca="false">AO6/$C$7</f>
        <v>0</v>
      </c>
      <c r="AQ6" s="23" t="n">
        <f aca="false">'Aussenwand unter &amp; über Terrain'!L21</f>
        <v>0</v>
      </c>
      <c r="AR6" s="23" t="n">
        <f aca="false">'Aussenwand unter &amp; über Terrain'!N21</f>
        <v>0</v>
      </c>
    </row>
    <row r="7" customFormat="false" ht="18.75" hidden="false" customHeight="false" outlineLevel="0" collapsed="false">
      <c r="B7" s="7" t="s">
        <v>69</v>
      </c>
      <c r="C7" s="9" t="n">
        <f aca="false">IF(G6="Beheizt",1207,882)</f>
        <v>882</v>
      </c>
      <c r="D7" s="7" t="s">
        <v>70</v>
      </c>
      <c r="F7" s="9" t="s">
        <v>71</v>
      </c>
      <c r="G7" s="10" t="s">
        <v>72</v>
      </c>
      <c r="H7" s="17" t="str">
        <f aca="false">'Decke unter &amp; über Terrain'!AJ4</f>
        <v>11c</v>
      </c>
      <c r="I7" s="12"/>
      <c r="J7" s="12"/>
      <c r="K7" s="12"/>
      <c r="M7" s="18" t="s">
        <v>73</v>
      </c>
      <c r="N7" s="19" t="n">
        <f aca="false">'Dach unter &amp; über Terrain'!AE4</f>
        <v>0</v>
      </c>
      <c r="O7" s="20" t="n">
        <f aca="false">N7/$C$7</f>
        <v>0</v>
      </c>
      <c r="P7" s="21" t="n">
        <v>0</v>
      </c>
      <c r="Q7" s="21" t="n">
        <v>0</v>
      </c>
      <c r="R7" s="21" t="n">
        <v>0</v>
      </c>
      <c r="S7" s="21" t="n">
        <f aca="false">'Dach unter &amp; über Terrain'!AG14</f>
        <v>0</v>
      </c>
      <c r="T7" s="21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A7" s="21" t="n">
        <v>0</v>
      </c>
      <c r="AB7" s="21" t="n">
        <v>0</v>
      </c>
      <c r="AC7" s="21" t="n">
        <f aca="false">'Dach unter &amp; über Terrain'!AH14</f>
        <v>0</v>
      </c>
      <c r="AD7" s="21" t="n">
        <f aca="false">'Dach unter &amp; über Terrain'!AI14</f>
        <v>0</v>
      </c>
      <c r="AE7" s="21" t="n">
        <v>0</v>
      </c>
      <c r="AF7" s="21" t="n">
        <v>0</v>
      </c>
      <c r="AG7" s="21" t="n">
        <v>0</v>
      </c>
      <c r="AH7" s="21" t="n">
        <v>0</v>
      </c>
      <c r="AI7" s="21" t="n">
        <v>0</v>
      </c>
      <c r="AJ7" s="21" t="n">
        <v>0</v>
      </c>
      <c r="AK7" s="21" t="n">
        <v>0</v>
      </c>
      <c r="AL7" s="15"/>
      <c r="AM7" s="22" t="n">
        <f aca="false">SUM(P7:AK7)</f>
        <v>0</v>
      </c>
      <c r="AN7" s="18" t="s">
        <v>73</v>
      </c>
      <c r="AO7" s="19" t="n">
        <f aca="false">'Dach unter &amp; über Terrain'!AE17</f>
        <v>725.905496390658</v>
      </c>
      <c r="AP7" s="20" t="n">
        <f aca="false">AO7/$C$7</f>
        <v>0.823022104751313</v>
      </c>
      <c r="AQ7" s="23" t="str">
        <f aca="false">'Dach unter &amp; über Terrain'!AG27</f>
        <v>Deckenkonstruktion C4</v>
      </c>
      <c r="AR7" s="23" t="e">
        <f aca="false">'dach unter &amp; über terrain'!#ref!</f>
        <v>#VALUE!</v>
      </c>
    </row>
    <row r="8" customFormat="false" ht="18.75" hidden="false" customHeight="false" outlineLevel="0" collapsed="false">
      <c r="B8" s="7" t="s">
        <v>74</v>
      </c>
      <c r="C8" s="9" t="n">
        <v>325</v>
      </c>
      <c r="D8" s="7" t="s">
        <v>70</v>
      </c>
      <c r="F8" s="9" t="s">
        <v>75</v>
      </c>
      <c r="G8" s="10" t="s">
        <v>72</v>
      </c>
      <c r="H8" s="17" t="n">
        <f aca="false">IF(G5="Ohne UG",0,IF(G4=Database!$H$6,"11c",VLOOKUP(G8,Database!D6:E8,2,FALSE())))</f>
        <v>0</v>
      </c>
      <c r="I8" s="12"/>
      <c r="J8" s="12"/>
      <c r="K8" s="12"/>
      <c r="M8" s="18" t="s">
        <v>76</v>
      </c>
      <c r="N8" s="19" t="n">
        <f aca="false">'Decke unter &amp; über Terrain'!AB4</f>
        <v>0</v>
      </c>
      <c r="O8" s="20" t="n">
        <f aca="false">N8/$C$7</f>
        <v>0</v>
      </c>
      <c r="P8" s="21" t="n">
        <v>0</v>
      </c>
      <c r="Q8" s="21" t="n">
        <v>0</v>
      </c>
      <c r="R8" s="21" t="n">
        <v>0</v>
      </c>
      <c r="S8" s="21" t="n">
        <f aca="false">'Decke unter &amp; über Terrain'!AD22</f>
        <v>0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f aca="false">'Decke unter &amp; über Terrain'!AG22</f>
        <v>0</v>
      </c>
      <c r="AG8" s="21" t="n">
        <f aca="false">'Decke unter &amp; über Terrain'!AH22</f>
        <v>0</v>
      </c>
      <c r="AH8" s="21" t="n">
        <v>0</v>
      </c>
      <c r="AI8" s="21" t="n">
        <v>0</v>
      </c>
      <c r="AJ8" s="21" t="n">
        <f aca="false">'Decke unter &amp; über Terrain'!AE22</f>
        <v>0</v>
      </c>
      <c r="AK8" s="21" t="n">
        <f aca="false">'Decke unter &amp; über Terrain'!AF22</f>
        <v>0</v>
      </c>
      <c r="AL8" s="15"/>
      <c r="AM8" s="22" t="n">
        <f aca="false">SUM(P8:AK8)</f>
        <v>0</v>
      </c>
      <c r="AN8" s="18" t="s">
        <v>76</v>
      </c>
      <c r="AO8" s="19" t="n">
        <f aca="false">'Decke unter &amp; über Terrain'!AB25</f>
        <v>0</v>
      </c>
      <c r="AP8" s="20" t="n">
        <f aca="false">AO8/$C$7</f>
        <v>0</v>
      </c>
      <c r="AQ8" s="23" t="n">
        <f aca="false">'Decke unter &amp; über Terrain'!AD49</f>
        <v>0</v>
      </c>
      <c r="AR8" s="23" t="n">
        <f aca="false">'Decke unter &amp; über Terrain'!AI49</f>
        <v>0</v>
      </c>
    </row>
    <row r="9" customFormat="false" ht="15.75" hidden="false" customHeight="false" outlineLevel="0" collapsed="false">
      <c r="B9" s="7" t="s">
        <v>77</v>
      </c>
      <c r="C9" s="24" t="n">
        <v>1</v>
      </c>
      <c r="D9" s="7" t="s">
        <v>65</v>
      </c>
      <c r="F9" s="9" t="s">
        <v>78</v>
      </c>
      <c r="G9" s="10" t="s">
        <v>79</v>
      </c>
      <c r="H9" s="17" t="str">
        <f aca="false">VLOOKUP(G9,Database!D11:E13,2,FALSE())</f>
        <v>12d</v>
      </c>
      <c r="I9" s="12"/>
      <c r="J9" s="12"/>
      <c r="K9" s="12"/>
      <c r="M9" s="18" t="s">
        <v>80</v>
      </c>
      <c r="N9" s="19" t="n">
        <f aca="false">'Aussenwand unter &amp; über Terrain'!X4</f>
        <v>2883.25253586978</v>
      </c>
      <c r="O9" s="20" t="n">
        <f aca="false">N9/$C$7</f>
        <v>3.26899380484102</v>
      </c>
      <c r="P9" s="21" t="n">
        <v>0</v>
      </c>
      <c r="Q9" s="21" t="n">
        <f aca="false">'Aussenwand unter &amp; über Terrain'!Z19</f>
        <v>0</v>
      </c>
      <c r="R9" s="21" t="n">
        <f aca="false">'Aussenwand unter &amp; über Terrain'!AA19</f>
        <v>0.0231816866289538</v>
      </c>
      <c r="S9" s="21" t="n">
        <v>0</v>
      </c>
      <c r="T9" s="21" t="n">
        <v>0</v>
      </c>
      <c r="U9" s="21" t="n">
        <v>0</v>
      </c>
      <c r="V9" s="21" t="n">
        <f aca="false">'Aussenwand unter &amp; über Terrain'!AD19</f>
        <v>0</v>
      </c>
      <c r="W9" s="21" t="n">
        <f aca="false">'Aussenwand unter &amp; über Terrain'!AE19</f>
        <v>0</v>
      </c>
      <c r="X9" s="21" t="n">
        <f aca="false">'Aussenwand unter &amp; über Terrain'!AF19</f>
        <v>0</v>
      </c>
      <c r="Y9" s="21" t="n">
        <f aca="false">'Aussenwand unter &amp; über Terrain'!AG19</f>
        <v>0.577056632848183</v>
      </c>
      <c r="Z9" s="21" t="n">
        <v>0</v>
      </c>
      <c r="AA9" s="21" t="n">
        <f aca="false">'Aussenwand unter &amp; über Terrain'!AH19</f>
        <v>0</v>
      </c>
      <c r="AB9" s="21" t="n">
        <f aca="false">'Aussenwand unter &amp; über Terrain'!AJ19</f>
        <v>0.399049332545862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  <c r="AH9" s="21" t="n">
        <f aca="false">'Aussenwand unter &amp; über Terrain'!AB19</f>
        <v>0</v>
      </c>
      <c r="AI9" s="21" t="n">
        <f aca="false">'Aussenwand unter &amp; über Terrain'!AC19</f>
        <v>0</v>
      </c>
      <c r="AJ9" s="21" t="n">
        <v>0</v>
      </c>
      <c r="AK9" s="21" t="n">
        <v>0</v>
      </c>
      <c r="AL9" s="15"/>
      <c r="AM9" s="22" t="n">
        <f aca="false">SUM(P9:AK9)</f>
        <v>0.999287652022998</v>
      </c>
      <c r="AN9" s="18" t="s">
        <v>80</v>
      </c>
      <c r="AO9" s="19" t="n">
        <f aca="false">'Aussenwand unter &amp; über Terrain'!X22</f>
        <v>2883.25253586978</v>
      </c>
      <c r="AP9" s="20" t="n">
        <f aca="false">AO9/$C$7</f>
        <v>3.26899380484102</v>
      </c>
      <c r="AQ9" s="23" t="n">
        <f aca="false">'Aussenwand unter &amp; über Terrain'!Z37</f>
        <v>0</v>
      </c>
      <c r="AR9" s="23" t="n">
        <f aca="false">'Aussenwand unter &amp; über Terrain'!AD37</f>
        <v>0</v>
      </c>
    </row>
    <row r="10" customFormat="false" ht="15.75" hidden="false" customHeight="false" outlineLevel="0" collapsed="false">
      <c r="B10" s="7" t="s">
        <v>81</v>
      </c>
      <c r="C10" s="24" t="n">
        <v>3</v>
      </c>
      <c r="D10" s="7" t="s">
        <v>65</v>
      </c>
      <c r="F10" s="9" t="s">
        <v>82</v>
      </c>
      <c r="G10" s="10" t="s">
        <v>79</v>
      </c>
      <c r="H10" s="17" t="n">
        <f aca="false">IF(G5="Ohne UG",0,VLOOKUP(G10,Database!D11:E13,2,FALSE()))</f>
        <v>0</v>
      </c>
      <c r="I10" s="12"/>
      <c r="J10" s="12"/>
      <c r="K10" s="12"/>
      <c r="M10" s="18" t="s">
        <v>83</v>
      </c>
      <c r="N10" s="19" t="n">
        <f aca="false">'Dach unter &amp; über Terrain'!K4</f>
        <v>2007.56359829299</v>
      </c>
      <c r="O10" s="20" t="n">
        <f aca="false">N10/$C$7</f>
        <v>2.27614920441382</v>
      </c>
      <c r="P10" s="21" t="n">
        <v>0</v>
      </c>
      <c r="Q10" s="21" t="n">
        <v>0</v>
      </c>
      <c r="R10" s="21" t="n">
        <v>0</v>
      </c>
      <c r="S10" s="21" t="n">
        <f aca="false">'Dach unter &amp; über Terrain'!M19</f>
        <v>0.41317896130329</v>
      </c>
      <c r="T10" s="21" t="n">
        <v>0</v>
      </c>
      <c r="U10" s="21" t="n">
        <v>0</v>
      </c>
      <c r="V10" s="21" t="n">
        <f aca="false">'Dach unter &amp; über Terrain'!U19</f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1" t="n">
        <v>0</v>
      </c>
      <c r="AC10" s="21" t="n">
        <v>0</v>
      </c>
      <c r="AD10" s="21" t="n">
        <f aca="false">'Dach unter &amp; über Terrain'!P19</f>
        <v>0.58682103869671</v>
      </c>
      <c r="AE10" s="21" t="n">
        <f aca="false">'Dach unter &amp; über Terrain'!Q19</f>
        <v>0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f aca="false">'Dach unter &amp; über Terrain'!N19</f>
        <v>0</v>
      </c>
      <c r="AK10" s="21" t="n">
        <f aca="false">'Dach unter &amp; über Terrain'!O19</f>
        <v>0</v>
      </c>
      <c r="AL10" s="15"/>
      <c r="AM10" s="22" t="n">
        <f aca="false">SUM(P10:AK10)</f>
        <v>1</v>
      </c>
      <c r="AN10" s="18" t="s">
        <v>83</v>
      </c>
      <c r="AO10" s="19" t="n">
        <f aca="false">'Dach unter &amp; über Terrain'!K22</f>
        <v>596.356390007354</v>
      </c>
      <c r="AP10" s="20" t="n">
        <f aca="false">AO10/$C$7</f>
        <v>0.67614103175437</v>
      </c>
      <c r="AQ10" s="23" t="str">
        <f aca="false">'Dach unter &amp; über Terrain'!M37</f>
        <v>Deckenkonstruktion C4</v>
      </c>
      <c r="AR10" s="23" t="str">
        <f aca="false">'Dach unter &amp; über Terrain'!N37</f>
        <v>Unterkonstruktion G4.1</v>
      </c>
    </row>
    <row r="11" customFormat="false" ht="15.75" hidden="false" customHeight="false" outlineLevel="0" collapsed="false">
      <c r="B11" s="7" t="s">
        <v>84</v>
      </c>
      <c r="C11" s="9" t="n">
        <v>2.35</v>
      </c>
      <c r="D11" s="7" t="s">
        <v>24</v>
      </c>
      <c r="F11" s="9" t="s">
        <v>85</v>
      </c>
      <c r="G11" s="10" t="s">
        <v>86</v>
      </c>
      <c r="H11" s="17" t="n">
        <f aca="false">IF(G5="Ohne UG",0,IF(G4="Mischbauweise","0",IF(G11="Ohne Dämmung","0",VLOOKUP(G4,Database!H8:K9,4,FALSE()))))</f>
        <v>0</v>
      </c>
      <c r="I11" s="12"/>
      <c r="J11" s="12"/>
      <c r="K11" s="12"/>
      <c r="M11" s="18" t="s">
        <v>87</v>
      </c>
      <c r="N11" s="19" t="n">
        <f aca="false">'Decke unter &amp; über Terrain'!K4</f>
        <v>1770.18404968153</v>
      </c>
      <c r="O11" s="20" t="n">
        <f aca="false">N11/$C$7</f>
        <v>2.00701139419674</v>
      </c>
      <c r="P11" s="21" t="n">
        <v>0</v>
      </c>
      <c r="Q11" s="21" t="n">
        <v>0</v>
      </c>
      <c r="R11" s="21" t="n">
        <v>0</v>
      </c>
      <c r="S11" s="21" t="n">
        <f aca="false">'Decke unter &amp; über Terrain'!M22</f>
        <v>0.175428966310442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f aca="false">'Decke unter &amp; über Terrain'!P22</f>
        <v>0.23857048465816</v>
      </c>
      <c r="AG11" s="21" t="n">
        <f aca="false">'Decke unter &amp; über Terrain'!Q22</f>
        <v>0.235958515203629</v>
      </c>
      <c r="AH11" s="21" t="n">
        <v>0</v>
      </c>
      <c r="AI11" s="21" t="n">
        <v>0</v>
      </c>
      <c r="AJ11" s="21" t="n">
        <f aca="false">'Decke unter &amp; über Terrain'!N22</f>
        <v>0.0602670336374684</v>
      </c>
      <c r="AK11" s="21" t="n">
        <f aca="false">'Decke unter &amp; über Terrain'!O22</f>
        <v>0.289775000190301</v>
      </c>
      <c r="AL11" s="15"/>
      <c r="AM11" s="22" t="n">
        <f aca="false">SUM(P11:AK11)</f>
        <v>1</v>
      </c>
      <c r="AN11" s="18" t="s">
        <v>87</v>
      </c>
      <c r="AO11" s="19" t="n">
        <f aca="false">'Decke unter &amp; über Terrain'!K25</f>
        <v>930.180383014862</v>
      </c>
      <c r="AP11" s="20" t="n">
        <f aca="false">AO11/$C$7</f>
        <v>1.05462628459735</v>
      </c>
      <c r="AQ11" s="23" t="n">
        <f aca="false">'Decke unter &amp; über Terrain'!M49</f>
        <v>0</v>
      </c>
      <c r="AR11" s="23" t="n">
        <f aca="false">'Decke unter &amp; über Terrain'!N49</f>
        <v>0</v>
      </c>
    </row>
    <row r="12" customFormat="false" ht="15.75" hidden="false" customHeight="false" outlineLevel="0" collapsed="false">
      <c r="B12" s="7" t="s">
        <v>88</v>
      </c>
      <c r="C12" s="9" t="n">
        <v>2.8</v>
      </c>
      <c r="D12" s="7" t="s">
        <v>24</v>
      </c>
      <c r="F12" s="9" t="s">
        <v>89</v>
      </c>
      <c r="G12" s="10" t="s">
        <v>90</v>
      </c>
      <c r="H12" s="17" t="str">
        <f aca="false">IF(G4="Massivbauweise",VLOOKUP(G12,Database!D16:E17,2,FALSE()),VLOOKUP(Gebäude!G4,Database!H9:I10,2,FALSE()))</f>
        <v>1e</v>
      </c>
      <c r="I12" s="17" t="str">
        <f aca="false">VLOOKUP(G4,Database!H4:O6,8,FALSE())</f>
        <v>2j</v>
      </c>
      <c r="J12" s="12"/>
      <c r="K12" s="12"/>
      <c r="M12" s="18" t="s">
        <v>91</v>
      </c>
      <c r="N12" s="25" t="n">
        <f aca="false">Innenwand!J4</f>
        <v>652.717683455</v>
      </c>
      <c r="O12" s="20" t="n">
        <f aca="false">N12/$C$7</f>
        <v>0.740042725005669</v>
      </c>
      <c r="P12" s="21" t="n">
        <v>0</v>
      </c>
      <c r="Q12" s="21" t="n">
        <f aca="false">Innenwand!L10</f>
        <v>0.673521806744965</v>
      </c>
      <c r="R12" s="21" t="n">
        <v>0</v>
      </c>
      <c r="S12" s="21" t="n">
        <v>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 t="n">
        <v>0</v>
      </c>
      <c r="AB12" s="21" t="n">
        <v>0</v>
      </c>
      <c r="AC12" s="21" t="n">
        <v>0</v>
      </c>
      <c r="AD12" s="21" t="n">
        <v>0</v>
      </c>
      <c r="AE12" s="21" t="n">
        <v>0</v>
      </c>
      <c r="AF12" s="21" t="n">
        <v>0</v>
      </c>
      <c r="AG12" s="21" t="n">
        <v>0</v>
      </c>
      <c r="AH12" s="21" t="n">
        <f aca="false">Innenwand!M10</f>
        <v>0.257339251345073</v>
      </c>
      <c r="AI12" s="21" t="n">
        <f aca="false">Innenwand!N10</f>
        <v>0.0691389419099617</v>
      </c>
      <c r="AJ12" s="21" t="n">
        <v>0</v>
      </c>
      <c r="AK12" s="21" t="n">
        <v>0</v>
      </c>
      <c r="AL12" s="15"/>
      <c r="AM12" s="22" t="n">
        <f aca="false">SUM(P12:AK12)</f>
        <v>1</v>
      </c>
      <c r="AN12" s="18" t="s">
        <v>92</v>
      </c>
      <c r="AO12" s="19" t="n">
        <f aca="false">Innenwand!J24</f>
        <v>351.6611514</v>
      </c>
      <c r="AP12" s="20" t="n">
        <f aca="false">AO12/$C$7</f>
        <v>0.398708788435374</v>
      </c>
      <c r="AQ12" s="23" t="str">
        <f aca="false">Innenwand!L30</f>
        <v>Wandkonstruktion C2</v>
      </c>
      <c r="AR12" s="23" t="n">
        <f aca="false">Innenwand!O30</f>
        <v>0</v>
      </c>
    </row>
    <row r="13" customFormat="false" ht="18.75" hidden="false" customHeight="false" outlineLevel="0" collapsed="false">
      <c r="B13" s="7" t="s">
        <v>93</v>
      </c>
      <c r="C13" s="9" t="n">
        <v>325</v>
      </c>
      <c r="D13" s="7" t="s">
        <v>70</v>
      </c>
      <c r="F13" s="9" t="s">
        <v>94</v>
      </c>
      <c r="G13" s="10" t="s">
        <v>95</v>
      </c>
      <c r="H13" s="17" t="str">
        <f aca="false">IF(G4="Leichtbauweise","4d",IF(G4="Mischbauweise","4c",IF(G13="Flachdach","4a","4e")))</f>
        <v>4c</v>
      </c>
      <c r="I13" s="17" t="str">
        <f aca="false">IF(G4="Leichtbauweise","5a",IF(G4="Mischbauweise","5a",IF(G13="Flachdach","5a","5f")))</f>
        <v>5a</v>
      </c>
      <c r="J13" s="17" t="str">
        <f aca="false">Innenwand!P4</f>
        <v>9b</v>
      </c>
      <c r="K13" s="17" t="str">
        <f aca="false">Innenwand!P13</f>
        <v>9d</v>
      </c>
      <c r="M13" s="18" t="s">
        <v>96</v>
      </c>
      <c r="N13" s="25" t="n">
        <f aca="false">Innenwand!J13</f>
        <v>820.5426866</v>
      </c>
      <c r="O13" s="20" t="n">
        <f aca="false">N13/$C$7</f>
        <v>0.930320506349206</v>
      </c>
      <c r="P13" s="21" t="n">
        <v>0</v>
      </c>
      <c r="Q13" s="21" t="n">
        <f aca="false">Innenwand!L19</f>
        <v>0.833693770929284</v>
      </c>
      <c r="R13" s="21" t="n">
        <v>0</v>
      </c>
      <c r="S13" s="21" t="n">
        <v>0</v>
      </c>
      <c r="T13" s="21" t="n">
        <v>0</v>
      </c>
      <c r="U13" s="21" t="n">
        <v>0</v>
      </c>
      <c r="V13" s="21" t="n">
        <v>0</v>
      </c>
      <c r="W13" s="21" t="n">
        <v>0</v>
      </c>
      <c r="X13" s="21" t="n">
        <v>0</v>
      </c>
      <c r="Y13" s="21" t="n">
        <v>0</v>
      </c>
      <c r="Z13" s="21" t="n">
        <v>0</v>
      </c>
      <c r="AA13" s="21" t="n">
        <v>0</v>
      </c>
      <c r="AB13" s="21" t="n">
        <v>0</v>
      </c>
      <c r="AC13" s="21" t="n">
        <v>0</v>
      </c>
      <c r="AD13" s="21" t="n">
        <v>0</v>
      </c>
      <c r="AE13" s="21" t="n">
        <v>0</v>
      </c>
      <c r="AF13" s="21" t="n">
        <v>0</v>
      </c>
      <c r="AG13" s="21" t="n">
        <v>0</v>
      </c>
      <c r="AH13" s="21" t="n">
        <f aca="false">Innenwand!M19</f>
        <v>0</v>
      </c>
      <c r="AI13" s="21" t="n">
        <f aca="false">Innenwand!N19</f>
        <v>0.166306229070716</v>
      </c>
      <c r="AJ13" s="21" t="n">
        <v>0</v>
      </c>
      <c r="AK13" s="21" t="n">
        <v>0</v>
      </c>
      <c r="AL13" s="15"/>
      <c r="AM13" s="22" t="n">
        <f aca="false">SUM(P13:AK13)</f>
        <v>1</v>
      </c>
      <c r="AN13" s="18" t="s">
        <v>97</v>
      </c>
      <c r="AO13" s="19" t="n">
        <f aca="false">'Fenster-Balkon'!J10</f>
        <v>1347.05693333333</v>
      </c>
      <c r="AP13" s="20" t="n">
        <f aca="false">AO13/$C$7</f>
        <v>1.52727543461829</v>
      </c>
      <c r="AQ13" s="23" t="n">
        <f aca="false">'Fenster-Balkon'!N17</f>
        <v>1</v>
      </c>
      <c r="AR13" s="23" t="n">
        <f aca="false">'Fenster-Balkon'!O17</f>
        <v>0</v>
      </c>
    </row>
    <row r="14" customFormat="false" ht="18.75" hidden="false" customHeight="false" outlineLevel="0" collapsed="false">
      <c r="B14" s="7" t="s">
        <v>98</v>
      </c>
      <c r="C14" s="9" t="n">
        <v>325</v>
      </c>
      <c r="D14" s="7" t="s">
        <v>70</v>
      </c>
      <c r="F14" s="9" t="s">
        <v>99</v>
      </c>
      <c r="G14" s="16" t="s">
        <v>100</v>
      </c>
      <c r="H14" s="26" t="str">
        <f aca="false">IF(G14="Ja","13a","0")</f>
        <v>0</v>
      </c>
      <c r="I14" s="27"/>
      <c r="J14" s="27"/>
      <c r="K14" s="27"/>
      <c r="M14" s="18" t="s">
        <v>97</v>
      </c>
      <c r="N14" s="19" t="n">
        <f aca="false">'Fenster-Balkon'!J4</f>
        <v>1347.05693333333</v>
      </c>
      <c r="O14" s="20" t="n">
        <f aca="false">N14/$C$7</f>
        <v>1.52727543461829</v>
      </c>
      <c r="P14" s="21" t="n">
        <v>0</v>
      </c>
      <c r="Q14" s="21" t="n">
        <v>0</v>
      </c>
      <c r="R14" s="21" t="n">
        <v>0</v>
      </c>
      <c r="S14" s="21" t="n">
        <v>0</v>
      </c>
      <c r="T14" s="21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 t="n">
        <f aca="false">'Fenster-Balkon'!L7</f>
        <v>0.634962224313805</v>
      </c>
      <c r="AB14" s="21" t="n">
        <f aca="false">'Fenster-Balkon'!N7</f>
        <v>0.365037775686195</v>
      </c>
      <c r="AC14" s="21" t="n">
        <v>0</v>
      </c>
      <c r="AD14" s="21" t="n">
        <v>0</v>
      </c>
      <c r="AE14" s="21" t="n">
        <v>0</v>
      </c>
      <c r="AF14" s="21" t="n">
        <v>0</v>
      </c>
      <c r="AG14" s="21" t="n">
        <v>0</v>
      </c>
      <c r="AH14" s="21" t="n">
        <v>0</v>
      </c>
      <c r="AI14" s="21" t="n">
        <v>0</v>
      </c>
      <c r="AJ14" s="21" t="n">
        <v>0</v>
      </c>
      <c r="AK14" s="21" t="n">
        <v>0</v>
      </c>
      <c r="AL14" s="15"/>
      <c r="AM14" s="22" t="n">
        <f aca="false">SUM(P14:AK14)</f>
        <v>1</v>
      </c>
      <c r="AN14" s="18" t="s">
        <v>99</v>
      </c>
      <c r="AO14" s="19" t="n">
        <f aca="false">'Fenster-Balkon'!X14</f>
        <v>727.4894375</v>
      </c>
      <c r="AP14" s="20" t="n">
        <f aca="false">AO14/$C$7</f>
        <v>0.824817956349206</v>
      </c>
      <c r="AQ14" s="23" t="str">
        <f aca="false">IF($AO$14=0,0,'Fenster-Balkon'!Z21)</f>
        <v>Deckenkonstruktion C4</v>
      </c>
      <c r="AR14" s="23" t="str">
        <f aca="false">IF($AO$14=0,0,'Fenster-Balkon'!AH21)</f>
        <v>Absturzsicherung E2.6</v>
      </c>
    </row>
    <row r="15" customFormat="false" ht="18.75" hidden="false" customHeight="false" outlineLevel="0" collapsed="false">
      <c r="B15" s="7" t="s">
        <v>101</v>
      </c>
      <c r="C15" s="9" t="n">
        <v>0</v>
      </c>
      <c r="D15" s="7" t="s">
        <v>70</v>
      </c>
      <c r="M15" s="18" t="s">
        <v>99</v>
      </c>
      <c r="N15" s="19" t="n">
        <f aca="false">'Fenster-Balkon'!X4</f>
        <v>0</v>
      </c>
      <c r="O15" s="20" t="n">
        <f aca="false">N15/$C$7</f>
        <v>0</v>
      </c>
      <c r="P15" s="21" t="n">
        <v>0</v>
      </c>
      <c r="Q15" s="21" t="n">
        <v>0</v>
      </c>
      <c r="R15" s="21" t="n">
        <v>0</v>
      </c>
      <c r="S15" s="21" t="n">
        <f aca="false">'Fenster-Balkon'!Z11</f>
        <v>0</v>
      </c>
      <c r="T15" s="21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21" t="n">
        <f aca="false">'Fenster-Balkon'!AH11</f>
        <v>0</v>
      </c>
      <c r="AA15" s="21" t="n">
        <v>0</v>
      </c>
      <c r="AB15" s="21" t="n">
        <v>0</v>
      </c>
      <c r="AC15" s="21" t="n">
        <v>0</v>
      </c>
      <c r="AD15" s="21" t="n">
        <v>0</v>
      </c>
      <c r="AE15" s="21" t="n">
        <v>0</v>
      </c>
      <c r="AF15" s="21" t="n">
        <f aca="false">'Fenster-Balkon'!AA11</f>
        <v>0</v>
      </c>
      <c r="AG15" s="21" t="n">
        <f aca="false">'Fenster-Balkon'!AB11</f>
        <v>0</v>
      </c>
      <c r="AH15" s="21" t="n">
        <v>0</v>
      </c>
      <c r="AI15" s="21" t="n">
        <v>0</v>
      </c>
      <c r="AJ15" s="21" t="n">
        <v>0</v>
      </c>
      <c r="AK15" s="21" t="n">
        <v>0</v>
      </c>
      <c r="AL15" s="15"/>
      <c r="AM15" s="22" t="n">
        <f aca="false">SUM(P15:AK15)</f>
        <v>0</v>
      </c>
      <c r="AN15" s="8" t="s">
        <v>102</v>
      </c>
      <c r="AO15" s="28" t="n">
        <f aca="false">SUM(AO5:AO14)</f>
        <v>8610.6231798249</v>
      </c>
      <c r="AP15" s="29" t="n">
        <f aca="false">AO15/$C$7</f>
        <v>9.76261131499422</v>
      </c>
      <c r="AQ15" s="30" t="e">
        <f aca="false">SUMPRODUCT((AO5:AO14*AQ5:AQ14))/SUM(AO5:AO14)</f>
        <v>#VALUE!</v>
      </c>
      <c r="AR15" s="30" t="e">
        <f aca="false">SUMPRODUCT((AO5:AO14*AR5:AR14))/SUM(AO5:AO14)</f>
        <v>#VALUE!</v>
      </c>
    </row>
    <row r="16" customFormat="false" ht="18.75" hidden="false" customHeight="false" outlineLevel="0" collapsed="false">
      <c r="B16" s="7" t="s">
        <v>103</v>
      </c>
      <c r="C16" s="9" t="n">
        <v>404.4</v>
      </c>
      <c r="D16" s="7" t="s">
        <v>70</v>
      </c>
      <c r="G16" s="0" t="s">
        <v>104</v>
      </c>
      <c r="M16" s="8" t="s">
        <v>102</v>
      </c>
      <c r="N16" s="28" t="n">
        <f aca="false">SUM(N5:N15)</f>
        <v>10530.0383395416</v>
      </c>
      <c r="O16" s="29" t="n">
        <f aca="false">N16/$C$7</f>
        <v>11.9388189790721</v>
      </c>
      <c r="P16" s="31" t="n">
        <f aca="false">SUMPRODUCT((N5:N15*P5:P15))/SUM(N5:N15)</f>
        <v>0.0995932605839472</v>
      </c>
      <c r="Q16" s="31" t="n">
        <f aca="false">SUMPRODUCT((N5:N15*Q5:Q15))/SUM(N5:N15)</f>
        <v>0.106713848878913</v>
      </c>
      <c r="R16" s="31" t="n">
        <f aca="false">SUMPRODUCT((N5:N15*R5:R15))/SUM(N5:N15)</f>
        <v>0.00634742767342853</v>
      </c>
      <c r="S16" s="31" t="n">
        <f aca="false">SUMPRODUCT((N5:N15*S5:S15))/SUM(N5:N15)</f>
        <v>0.108264050286211</v>
      </c>
      <c r="T16" s="31" t="n">
        <f aca="false">SUMPRODUCT((N5:N15*T5:T15))/SUM(N5:N15)</f>
        <v>0</v>
      </c>
      <c r="U16" s="31" t="n">
        <f aca="false">SUMPRODUCT((N5:N15*U5:U15))/SUM(N5:N15)</f>
        <v>0</v>
      </c>
      <c r="V16" s="31" t="n">
        <f aca="false">SUMPRODUCT((N5:N15*V5:V15))/SUM(N5:N15)</f>
        <v>0</v>
      </c>
      <c r="W16" s="31" t="n">
        <f aca="false">SUMPRODUCT((N5:N15*W5:W15))/SUM(N5:N15)</f>
        <v>0</v>
      </c>
      <c r="X16" s="31" t="n">
        <f aca="false">SUMPRODUCT((N5:N15*X5:X15))/SUM(N5:N15)</f>
        <v>0</v>
      </c>
      <c r="Y16" s="31" t="n">
        <f aca="false">SUMPRODUCT((N5:N15*Y5:Y15))/SUM(N5:N15)</f>
        <v>0.158005122711874</v>
      </c>
      <c r="Z16" s="31" t="n">
        <f aca="false">SUMPRODUCT((N5:N15*Z5:Z15))/SUM(N5:N15)</f>
        <v>0</v>
      </c>
      <c r="AA16" s="31" t="n">
        <f aca="false">SUMPRODUCT((N5:N15*AA5:AA15))/SUM(N5:N15)</f>
        <v>0.0812276498039707</v>
      </c>
      <c r="AB16" s="31" t="n">
        <f aca="false">SUMPRODUCT((N5:N15*AB5:AB15))/SUM(N5:N15)</f>
        <v>0.155962078551954</v>
      </c>
      <c r="AC16" s="31" t="n">
        <f aca="false">SUMPRODUCT((N5:N15*AC5:AC15))/SUM(N5:N15)</f>
        <v>0</v>
      </c>
      <c r="AD16" s="31" t="n">
        <f aca="false">SUMPRODUCT((N5:N15*AD5:AD15))/SUM(N5:N15)</f>
        <v>0.111878088000512</v>
      </c>
      <c r="AE16" s="31" t="n">
        <f aca="false">SUMPRODUCT((N5:N15*AE5:AE15))/SUM(N5:N15)</f>
        <v>0</v>
      </c>
      <c r="AF16" s="31" t="n">
        <f aca="false">SUMPRODUCT((N5:N15*AF5:AF15))/SUM(N5:N15)</f>
        <v>0.0401056152930449</v>
      </c>
      <c r="AG16" s="31" t="n">
        <f aca="false">SUMPRODUCT((N5:N15*AG5:AG15))/SUM(N5:N15)</f>
        <v>0.0396665222415691</v>
      </c>
      <c r="AH16" s="31" t="n">
        <f aca="false">SUMPRODUCT((N5:N15*AH5:AH15))/SUM(N5:N15)</f>
        <v>0.0159514974764387</v>
      </c>
      <c r="AI16" s="31" t="n">
        <f aca="false">SUMPRODUCT((N5:N15*AI5:AI15))/SUM(N5:N15)</f>
        <v>0.0172449106208958</v>
      </c>
      <c r="AJ16" s="31" t="n">
        <f aca="false">SUMPRODUCT((N5:N15*AJ5:AJ15))/SUM(N5:N15)</f>
        <v>0.0101313725768743</v>
      </c>
      <c r="AK16" s="31" t="n">
        <f aca="false">SUMPRODUCT((N5:N15*AK5:AK15))/SUM(N5:N15)</f>
        <v>0.0487135057625693</v>
      </c>
      <c r="AL16" s="31" t="n">
        <f aca="false">SUM(P16:AK16)</f>
        <v>0.999804950462203</v>
      </c>
      <c r="AM16" s="32"/>
    </row>
    <row r="17" customFormat="false" ht="18.75" hidden="false" customHeight="false" outlineLevel="0" collapsed="false">
      <c r="B17" s="7" t="s">
        <v>105</v>
      </c>
      <c r="C17" s="9" t="n">
        <v>200</v>
      </c>
      <c r="D17" s="7" t="s">
        <v>70</v>
      </c>
      <c r="O17" s="7"/>
    </row>
    <row r="18" customFormat="false" ht="18.75" hidden="false" customHeight="false" outlineLevel="0" collapsed="false">
      <c r="B18" s="7" t="s">
        <v>106</v>
      </c>
      <c r="C18" s="9" t="n">
        <v>376</v>
      </c>
      <c r="D18" s="7" t="s">
        <v>70</v>
      </c>
      <c r="O18" s="7"/>
    </row>
    <row r="19" customFormat="false" ht="18.75" hidden="false" customHeight="false" outlineLevel="0" collapsed="false">
      <c r="B19" s="7" t="s">
        <v>107</v>
      </c>
      <c r="C19" s="9" t="n">
        <v>566.7</v>
      </c>
      <c r="D19" s="7" t="s">
        <v>70</v>
      </c>
      <c r="AA19" s="0" t="s">
        <v>108</v>
      </c>
    </row>
    <row r="20" customFormat="false" ht="18.75" hidden="false" customHeight="false" outlineLevel="0" collapsed="false">
      <c r="B20" s="7" t="s">
        <v>109</v>
      </c>
      <c r="C20" s="9" t="n">
        <v>1322.3</v>
      </c>
      <c r="D20" s="7" t="s">
        <v>70</v>
      </c>
      <c r="N20" s="33"/>
    </row>
    <row r="21" customFormat="false" ht="18.75" hidden="false" customHeight="false" outlineLevel="0" collapsed="false">
      <c r="B21" s="7" t="s">
        <v>110</v>
      </c>
      <c r="C21" s="9" t="n">
        <v>257</v>
      </c>
      <c r="D21" s="7" t="s">
        <v>70</v>
      </c>
    </row>
    <row r="22" customFormat="false" ht="18.75" hidden="false" customHeight="false" outlineLevel="0" collapsed="false">
      <c r="B22" s="7" t="s">
        <v>111</v>
      </c>
      <c r="C22" s="9" t="n">
        <v>87</v>
      </c>
      <c r="D22" s="7" t="s">
        <v>70</v>
      </c>
      <c r="G22" s="0" t="s">
        <v>104</v>
      </c>
    </row>
    <row r="23" customFormat="false" ht="15" hidden="false" customHeight="false" outlineLevel="0" collapsed="false">
      <c r="G23" s="0" t="s">
        <v>26</v>
      </c>
    </row>
    <row r="24" customFormat="false" ht="15.75" hidden="false" customHeight="false" outlineLevel="0" collapsed="false">
      <c r="D24" s="7"/>
    </row>
    <row r="25" customFormat="false" ht="20.25" hidden="false" customHeight="true" outlineLevel="0" collapsed="false">
      <c r="B25" s="8" t="s">
        <v>112</v>
      </c>
      <c r="F25" s="9" t="s">
        <v>25</v>
      </c>
      <c r="G25" s="10" t="s">
        <v>113</v>
      </c>
      <c r="H25" s="11" t="str">
        <f aca="false">VLOOKUP(G25,Database!Y29:AE31,7,FALSE())</f>
        <v>10a</v>
      </c>
      <c r="I25" s="12" t="s">
        <v>29</v>
      </c>
      <c r="M25" s="13" t="s">
        <v>114</v>
      </c>
      <c r="N25" s="14" t="s">
        <v>31</v>
      </c>
      <c r="O25" s="14" t="s">
        <v>32</v>
      </c>
      <c r="P25" s="15" t="s">
        <v>33</v>
      </c>
      <c r="Q25" s="15" t="s">
        <v>34</v>
      </c>
      <c r="R25" s="15" t="s">
        <v>35</v>
      </c>
      <c r="S25" s="15" t="s">
        <v>36</v>
      </c>
      <c r="T25" s="15" t="s">
        <v>37</v>
      </c>
      <c r="U25" s="15" t="s">
        <v>38</v>
      </c>
      <c r="V25" s="15" t="s">
        <v>39</v>
      </c>
      <c r="W25" s="15" t="s">
        <v>40</v>
      </c>
      <c r="X25" s="15" t="s">
        <v>41</v>
      </c>
      <c r="Y25" s="15" t="s">
        <v>42</v>
      </c>
      <c r="Z25" s="15" t="s">
        <v>43</v>
      </c>
      <c r="AA25" s="15" t="s">
        <v>44</v>
      </c>
      <c r="AB25" s="15" t="s">
        <v>45</v>
      </c>
      <c r="AC25" s="15" t="s">
        <v>46</v>
      </c>
      <c r="AD25" s="15" t="s">
        <v>47</v>
      </c>
      <c r="AE25" s="15" t="s">
        <v>48</v>
      </c>
      <c r="AF25" s="15" t="s">
        <v>49</v>
      </c>
      <c r="AG25" s="15" t="s">
        <v>50</v>
      </c>
      <c r="AH25" s="15" t="s">
        <v>51</v>
      </c>
      <c r="AI25" s="15" t="s">
        <v>52</v>
      </c>
      <c r="AJ25" s="15" t="s">
        <v>53</v>
      </c>
      <c r="AK25" s="15" t="s">
        <v>54</v>
      </c>
      <c r="AL25" s="15" t="s">
        <v>55</v>
      </c>
      <c r="AN25" s="13" t="s">
        <v>115</v>
      </c>
      <c r="AO25" s="14" t="s">
        <v>31</v>
      </c>
      <c r="AP25" s="14" t="s">
        <v>57</v>
      </c>
      <c r="AQ25" s="14" t="s">
        <v>58</v>
      </c>
      <c r="AR25" s="14" t="s">
        <v>59</v>
      </c>
    </row>
    <row r="26" customFormat="false" ht="15.75" hidden="false" customHeight="false" outlineLevel="0" collapsed="false">
      <c r="B26" s="7" t="s">
        <v>23</v>
      </c>
      <c r="C26" s="9" t="n">
        <v>13</v>
      </c>
      <c r="D26" s="7" t="s">
        <v>24</v>
      </c>
      <c r="F26" s="9" t="s">
        <v>61</v>
      </c>
      <c r="G26" s="16" t="s">
        <v>116</v>
      </c>
      <c r="H26" s="17"/>
      <c r="I26" s="12"/>
      <c r="M26" s="18" t="s">
        <v>63</v>
      </c>
      <c r="N26" s="19" t="n">
        <f aca="false">Bodenplatte!$J$17</f>
        <v>712.548977308917</v>
      </c>
      <c r="O26" s="20" t="n">
        <f aca="false">N26/$C$29</f>
        <v>0.807878659080405</v>
      </c>
      <c r="P26" s="21" t="n">
        <f aca="false">Bodenplatte!L29</f>
        <v>1</v>
      </c>
      <c r="Q26" s="21" t="n">
        <v>0</v>
      </c>
      <c r="R26" s="21" t="n">
        <v>0</v>
      </c>
      <c r="S26" s="21" t="n">
        <v>0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1" t="n">
        <v>0</v>
      </c>
      <c r="AC26" s="21" t="n">
        <v>0</v>
      </c>
      <c r="AD26" s="21" t="n">
        <v>0</v>
      </c>
      <c r="AE26" s="21" t="n">
        <v>0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0</v>
      </c>
      <c r="AL26" s="15"/>
      <c r="AM26" s="22" t="n">
        <f aca="false">SUM(P26:AK26)</f>
        <v>1</v>
      </c>
      <c r="AN26" s="18" t="s">
        <v>63</v>
      </c>
      <c r="AO26" s="19" t="n">
        <f aca="false">Bodenplatte!$J$24</f>
        <v>712.548977308917</v>
      </c>
      <c r="AP26" s="20" t="n">
        <f aca="false">AO26/$C$29</f>
        <v>0.807878659080405</v>
      </c>
      <c r="AQ26" s="23" t="n">
        <f aca="false">Bodenplatte!L36</f>
        <v>1</v>
      </c>
      <c r="AR26" s="23" t="n">
        <f aca="false">Bodenplatte!M36</f>
        <v>0</v>
      </c>
    </row>
    <row r="27" customFormat="false" ht="15.75" hidden="false" customHeight="false" outlineLevel="0" collapsed="false">
      <c r="B27" s="7" t="s">
        <v>60</v>
      </c>
      <c r="C27" s="9" t="n">
        <v>25</v>
      </c>
      <c r="D27" s="7" t="s">
        <v>24</v>
      </c>
      <c r="F27" s="9" t="s">
        <v>73</v>
      </c>
      <c r="G27" s="16" t="s">
        <v>117</v>
      </c>
      <c r="H27" s="17" t="str">
        <f aca="false">IF(G26="Ohne UG",0,VLOOKUP(G27,Database!V46:W47,2,FALSE()))</f>
        <v>8b</v>
      </c>
      <c r="I27" s="12"/>
      <c r="M27" s="18" t="s">
        <v>68</v>
      </c>
      <c r="N27" s="19" t="n">
        <f aca="false">'Aussenwand unter &amp; über Terrain'!$J$23</f>
        <v>437.458794055202</v>
      </c>
      <c r="O27" s="20" t="n">
        <f aca="false">N27/$C$29</f>
        <v>0.495985027273471</v>
      </c>
      <c r="P27" s="21" t="n">
        <v>0</v>
      </c>
      <c r="Q27" s="21" t="n">
        <f aca="false">'Aussenwand unter &amp; über Terrain'!L30</f>
        <v>0.565303820037801</v>
      </c>
      <c r="R27" s="21" t="n">
        <v>0</v>
      </c>
      <c r="S27" s="21" t="n">
        <v>0</v>
      </c>
      <c r="T27" s="21" t="n">
        <f aca="false">'Aussenwand unter &amp; über Terrain'!M30</f>
        <v>0.3262593001662</v>
      </c>
      <c r="U27" s="21" t="n">
        <f aca="false">'Aussenwand unter &amp; über Terrain'!N30</f>
        <v>0.108436879795999</v>
      </c>
      <c r="V27" s="21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 t="n">
        <v>0</v>
      </c>
      <c r="AB27" s="21" t="n">
        <v>0</v>
      </c>
      <c r="AC27" s="21" t="n">
        <v>0</v>
      </c>
      <c r="AD27" s="21" t="n">
        <v>0</v>
      </c>
      <c r="AE27" s="21" t="n">
        <v>0</v>
      </c>
      <c r="AF27" s="21" t="n">
        <v>0</v>
      </c>
      <c r="AG27" s="21" t="n">
        <v>0</v>
      </c>
      <c r="AH27" s="21" t="n">
        <v>0</v>
      </c>
      <c r="AI27" s="21" t="n">
        <v>0</v>
      </c>
      <c r="AJ27" s="21" t="n">
        <v>0</v>
      </c>
      <c r="AK27" s="21" t="n">
        <v>0</v>
      </c>
      <c r="AL27" s="15"/>
      <c r="AM27" s="22" t="n">
        <f aca="false">SUM(P27:AK27)</f>
        <v>1</v>
      </c>
      <c r="AN27" s="18" t="s">
        <v>68</v>
      </c>
      <c r="AO27" s="19" t="n">
        <f aca="false">'Aussenwand unter &amp; über Terrain'!$J$33</f>
        <v>0</v>
      </c>
      <c r="AP27" s="20" t="n">
        <f aca="false">AO27/$C$29</f>
        <v>0</v>
      </c>
      <c r="AQ27" s="23" t="n">
        <f aca="false">'Aussenwand unter &amp; über Terrain'!L40</f>
        <v>0</v>
      </c>
      <c r="AR27" s="23" t="n">
        <f aca="false">'Aussenwand unter &amp; über Terrain'!N40</f>
        <v>0</v>
      </c>
    </row>
    <row r="28" customFormat="false" ht="15.75" hidden="false" customHeight="false" outlineLevel="0" collapsed="false">
      <c r="B28" s="7" t="s">
        <v>64</v>
      </c>
      <c r="C28" s="9" t="n">
        <f aca="false">(C30+C38+(C26*2+C27*2)*(C31*C33+C32*C34))/((C30+C38)/2*(C31*C33+C32*C34))</f>
        <v>0.394436969538518</v>
      </c>
      <c r="D28" s="7" t="s">
        <v>65</v>
      </c>
      <c r="F28" s="9" t="s">
        <v>71</v>
      </c>
      <c r="G28" s="10" t="s">
        <v>118</v>
      </c>
      <c r="H28" s="17" t="str">
        <f aca="false">IF(G28="Ohne Installation",0,IF(G28="Mit abgehängte Installationsdecke-Mischbau 1","11a",VLOOKUP(Gebäude!G25,Database!Y29:AG31,9,FALSE())))</f>
        <v>11c</v>
      </c>
      <c r="I28" s="12"/>
      <c r="M28" s="18" t="s">
        <v>73</v>
      </c>
      <c r="N28" s="19" t="n">
        <f aca="false">'Dach unter &amp; über Terrain'!AE29</f>
        <v>0</v>
      </c>
      <c r="O28" s="20" t="n">
        <f aca="false">N28/$C$29</f>
        <v>0</v>
      </c>
      <c r="P28" s="21" t="n">
        <v>0</v>
      </c>
      <c r="Q28" s="21" t="n">
        <v>0</v>
      </c>
      <c r="R28" s="21" t="n">
        <v>0</v>
      </c>
      <c r="S28" s="21" t="n">
        <f aca="false">'Dach unter &amp; über Terrain'!AG39</f>
        <v>0</v>
      </c>
      <c r="T28" s="21" t="n">
        <v>0</v>
      </c>
      <c r="U28" s="21" t="n">
        <v>0</v>
      </c>
      <c r="V28" s="21" t="n">
        <v>0</v>
      </c>
      <c r="W28" s="21" t="n">
        <v>0</v>
      </c>
      <c r="X28" s="21" t="n">
        <v>0</v>
      </c>
      <c r="Y28" s="21" t="n">
        <v>0</v>
      </c>
      <c r="Z28" s="21" t="n">
        <v>0</v>
      </c>
      <c r="AA28" s="21" t="n">
        <v>0</v>
      </c>
      <c r="AB28" s="21" t="n">
        <v>0</v>
      </c>
      <c r="AC28" s="21" t="n">
        <f aca="false">'Dach unter &amp; über Terrain'!AH39</f>
        <v>0</v>
      </c>
      <c r="AD28" s="21" t="n">
        <f aca="false">'Dach unter &amp; über Terrain'!AI39</f>
        <v>0</v>
      </c>
      <c r="AE28" s="21" t="n">
        <v>0</v>
      </c>
      <c r="AF28" s="21" t="n">
        <v>0</v>
      </c>
      <c r="AG28" s="21" t="n">
        <v>0</v>
      </c>
      <c r="AH28" s="21" t="n">
        <v>0</v>
      </c>
      <c r="AI28" s="21" t="n">
        <v>0</v>
      </c>
      <c r="AJ28" s="21" t="n">
        <v>0</v>
      </c>
      <c r="AK28" s="21" t="n">
        <v>0</v>
      </c>
      <c r="AL28" s="15"/>
      <c r="AM28" s="22" t="n">
        <f aca="false">SUM(P28:AK28)</f>
        <v>0</v>
      </c>
      <c r="AN28" s="18" t="s">
        <v>73</v>
      </c>
      <c r="AO28" s="19" t="n">
        <f aca="false">'Dach unter &amp; über Terrain'!$AE$42</f>
        <v>0</v>
      </c>
      <c r="AP28" s="20" t="n">
        <f aca="false">AO28/$C$29</f>
        <v>0</v>
      </c>
      <c r="AQ28" s="23" t="n">
        <f aca="false">'Dach unter &amp; über Terrain'!AG53</f>
        <v>0</v>
      </c>
      <c r="AR28" s="23" t="e">
        <f aca="false">'dach unter &amp; über terrain'!#ref!</f>
        <v>#VALUE!</v>
      </c>
    </row>
    <row r="29" customFormat="false" ht="18.75" hidden="false" customHeight="false" outlineLevel="0" collapsed="false">
      <c r="B29" s="7" t="s">
        <v>69</v>
      </c>
      <c r="C29" s="9" t="n">
        <f aca="false">IF(G6="Beheizt",1207,882)</f>
        <v>882</v>
      </c>
      <c r="D29" s="7" t="s">
        <v>70</v>
      </c>
      <c r="F29" s="9" t="s">
        <v>75</v>
      </c>
      <c r="G29" s="10" t="s">
        <v>119</v>
      </c>
      <c r="H29" s="17" t="n">
        <f aca="false">IF(G26="Ohne UG",0,IF(G29="Ohne Installation",0,IF(G29="Mit abgehängte Installationsdecke-Mischbau 1","11a",VLOOKUP(Gebäude!G25,Database!Y29:AG31,9,FALSE()))))</f>
        <v>0</v>
      </c>
      <c r="I29" s="12"/>
      <c r="M29" s="18" t="s">
        <v>76</v>
      </c>
      <c r="N29" s="19" t="n">
        <f aca="false">'Decke unter &amp; über Terrain'!$AB$45</f>
        <v>633.830239118896</v>
      </c>
      <c r="O29" s="20" t="n">
        <f aca="false">N29/$C$29</f>
        <v>0.718628389023692</v>
      </c>
      <c r="P29" s="21" t="n">
        <v>0</v>
      </c>
      <c r="Q29" s="21" t="n">
        <v>0</v>
      </c>
      <c r="R29" s="21" t="n">
        <v>0</v>
      </c>
      <c r="S29" s="21" t="n">
        <f aca="false">'Decke unter &amp; über Terrain'!AD63</f>
        <v>0.661914599881053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21" t="n">
        <v>0</v>
      </c>
      <c r="AA29" s="21" t="n">
        <v>0</v>
      </c>
      <c r="AB29" s="21" t="n">
        <v>0</v>
      </c>
      <c r="AC29" s="21" t="n">
        <v>0</v>
      </c>
      <c r="AD29" s="21" t="n">
        <v>0</v>
      </c>
      <c r="AE29" s="21" t="n">
        <v>0</v>
      </c>
      <c r="AF29" s="21" t="n">
        <f aca="false">'Decke unter &amp; über Terrain'!AG63</f>
        <v>0</v>
      </c>
      <c r="AG29" s="21" t="n">
        <f aca="false">'Decke unter &amp; über Terrain'!AH63</f>
        <v>0.230056342640531</v>
      </c>
      <c r="AH29" s="21" t="n">
        <v>0</v>
      </c>
      <c r="AI29" s="21" t="n">
        <v>0</v>
      </c>
      <c r="AJ29" s="21" t="n">
        <f aca="false">'Decke unter &amp; über Terrain'!AE63</f>
        <v>0.0759903788543687</v>
      </c>
      <c r="AK29" s="21" t="n">
        <f aca="false">'Decke unter &amp; über Terrain'!AF63</f>
        <v>0.0320386786240473</v>
      </c>
      <c r="AL29" s="15"/>
      <c r="AM29" s="22" t="n">
        <f aca="false">SUM(P29:AK29)</f>
        <v>1</v>
      </c>
      <c r="AN29" s="18" t="s">
        <v>76</v>
      </c>
      <c r="AO29" s="19" t="n">
        <f aca="false">'Decke unter &amp; über Terrain'!$AB$66</f>
        <v>0</v>
      </c>
      <c r="AP29" s="20" t="n">
        <f aca="false">AO29/$C$29</f>
        <v>0</v>
      </c>
      <c r="AQ29" s="23" t="n">
        <f aca="false">'Decke unter &amp; über Terrain'!AD91</f>
        <v>0</v>
      </c>
      <c r="AR29" s="23" t="n">
        <f aca="false">'Decke unter &amp; über Terrain'!AI91</f>
        <v>0</v>
      </c>
    </row>
    <row r="30" customFormat="false" ht="18.75" hidden="false" customHeight="false" outlineLevel="0" collapsed="false">
      <c r="B30" s="7" t="s">
        <v>74</v>
      </c>
      <c r="C30" s="9" t="n">
        <v>325</v>
      </c>
      <c r="D30" s="7" t="s">
        <v>70</v>
      </c>
      <c r="F30" s="9" t="s">
        <v>78</v>
      </c>
      <c r="G30" s="10" t="s">
        <v>120</v>
      </c>
      <c r="H30" s="17" t="str">
        <f aca="false">VLOOKUP(G30,Database!U91:V92,2,FALSE())</f>
        <v>12b</v>
      </c>
      <c r="I30" s="12"/>
      <c r="M30" s="18" t="s">
        <v>80</v>
      </c>
      <c r="N30" s="19" t="n">
        <f aca="false">'Aussenwand unter &amp; über Terrain'!$X$39</f>
        <v>1151.95511666667</v>
      </c>
      <c r="O30" s="20" t="n">
        <f aca="false">N30/$C$29</f>
        <v>1.30607156084656</v>
      </c>
      <c r="P30" s="21" t="n">
        <v>0</v>
      </c>
      <c r="Q30" s="21" t="n">
        <f aca="false">'Aussenwand unter &amp; über Terrain'!Z54</f>
        <v>0.296565235100957</v>
      </c>
      <c r="R30" s="21" t="n">
        <f aca="false">'Aussenwand unter &amp; über Terrain'!AA54</f>
        <v>0</v>
      </c>
      <c r="S30" s="21" t="n">
        <v>0</v>
      </c>
      <c r="T30" s="21" t="n">
        <v>0</v>
      </c>
      <c r="U30" s="21" t="n">
        <v>0</v>
      </c>
      <c r="V30" s="21" t="n">
        <f aca="false">'Aussenwand unter &amp; über Terrain'!AD54</f>
        <v>0.00992750484332383</v>
      </c>
      <c r="W30" s="21" t="n">
        <f aca="false">'Aussenwand unter &amp; über Terrain'!AE54</f>
        <v>0.106772493320667</v>
      </c>
      <c r="X30" s="21" t="n">
        <f aca="false">'Aussenwand unter &amp; über Terrain'!AF54</f>
        <v>0.36148977852971</v>
      </c>
      <c r="Y30" s="21" t="n">
        <f aca="false">'Aussenwand unter &amp; über Terrain'!AG54</f>
        <v>0.15647760986984</v>
      </c>
      <c r="Z30" s="21" t="n">
        <v>0</v>
      </c>
      <c r="AA30" s="21" t="n">
        <f aca="false">'Aussenwand unter &amp; über Terrain'!AH54</f>
        <v>0</v>
      </c>
      <c r="AB30" s="21" t="n">
        <f aca="false">'Aussenwand unter &amp; über Terrain'!AJ54</f>
        <v>0</v>
      </c>
      <c r="AC30" s="21" t="n">
        <v>0</v>
      </c>
      <c r="AD30" s="21" t="n">
        <v>0</v>
      </c>
      <c r="AE30" s="21" t="n">
        <v>0</v>
      </c>
      <c r="AF30" s="21" t="n">
        <v>0</v>
      </c>
      <c r="AG30" s="21" t="n">
        <v>0</v>
      </c>
      <c r="AH30" s="21" t="n">
        <f aca="false">'Aussenwand unter &amp; über Terrain'!AB54</f>
        <v>0.0483727179937725</v>
      </c>
      <c r="AI30" s="21" t="n">
        <f aca="false">'Aussenwand unter &amp; über Terrain'!AC54</f>
        <v>0.0203946603417289</v>
      </c>
      <c r="AJ30" s="21" t="n">
        <v>0</v>
      </c>
      <c r="AK30" s="21" t="n">
        <v>0</v>
      </c>
      <c r="AL30" s="15"/>
      <c r="AM30" s="22" t="n">
        <f aca="false">SUM(P30:AK30)</f>
        <v>1</v>
      </c>
      <c r="AN30" s="18" t="s">
        <v>80</v>
      </c>
      <c r="AO30" s="19" t="n">
        <f aca="false">'Aussenwand unter &amp; über Terrain'!$X$57</f>
        <v>1151.95511666667</v>
      </c>
      <c r="AP30" s="20" t="n">
        <f aca="false">AO30/$C$29</f>
        <v>1.30607156084656</v>
      </c>
      <c r="AQ30" s="23" t="n">
        <f aca="false">'Aussenwand unter &amp; über Terrain'!Z73</f>
        <v>0</v>
      </c>
      <c r="AR30" s="23" t="n">
        <f aca="false">'Aussenwand unter &amp; über Terrain'!AD73</f>
        <v>0</v>
      </c>
    </row>
    <row r="31" customFormat="false" ht="15.75" hidden="false" customHeight="false" outlineLevel="0" collapsed="false">
      <c r="B31" s="7" t="s">
        <v>77</v>
      </c>
      <c r="C31" s="24" t="n">
        <v>1</v>
      </c>
      <c r="D31" s="7" t="s">
        <v>65</v>
      </c>
      <c r="F31" s="9" t="s">
        <v>82</v>
      </c>
      <c r="G31" s="10" t="s">
        <v>121</v>
      </c>
      <c r="H31" s="17" t="str">
        <f aca="false">IF(G26="Ohne UG",0,VLOOKUP(G31,Database!S96:T97,2,FALSE()))</f>
        <v>12b</v>
      </c>
      <c r="I31" s="12"/>
      <c r="M31" s="18" t="s">
        <v>83</v>
      </c>
      <c r="N31" s="19" t="n">
        <f aca="false">'Dach unter &amp; über Terrain'!K39</f>
        <v>1879.29760757962</v>
      </c>
      <c r="O31" s="20" t="n">
        <f aca="false">N31/$C$29</f>
        <v>2.130722911088</v>
      </c>
      <c r="P31" s="21" t="n">
        <v>0</v>
      </c>
      <c r="Q31" s="21" t="n">
        <v>0</v>
      </c>
      <c r="R31" s="21" t="n">
        <v>0</v>
      </c>
      <c r="S31" s="21" t="n">
        <f aca="false">'Dach unter &amp; über Terrain'!M54</f>
        <v>0.266075362179395</v>
      </c>
      <c r="T31" s="21" t="n">
        <v>0</v>
      </c>
      <c r="U31" s="21" t="n">
        <v>0</v>
      </c>
      <c r="V31" s="21" t="n">
        <f aca="false">'Dach unter &amp; über Terrain'!U54</f>
        <v>0</v>
      </c>
      <c r="W31" s="21" t="n">
        <v>0</v>
      </c>
      <c r="X31" s="21" t="n">
        <v>0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0</v>
      </c>
      <c r="AD31" s="21" t="n">
        <f aca="false">'Dach unter &amp; über Terrain'!P54</f>
        <v>0.688588369814745</v>
      </c>
      <c r="AE31" s="21" t="n">
        <f aca="false">'Dach unter &amp; über Terrain'!Q54</f>
        <v>0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f aca="false">'Dach unter &amp; über Terrain'!N54</f>
        <v>0</v>
      </c>
      <c r="AK31" s="21" t="n">
        <f aca="false">'Dach unter &amp; über Terrain'!O54</f>
        <v>0.0134455872758458</v>
      </c>
      <c r="AL31" s="15"/>
      <c r="AM31" s="22" t="n">
        <f aca="false">SUM(P31:AK31)</f>
        <v>0.968109319269986</v>
      </c>
      <c r="AN31" s="18" t="s">
        <v>83</v>
      </c>
      <c r="AO31" s="19" t="n">
        <f aca="false">'Dach unter &amp; über Terrain'!$K$57</f>
        <v>1683.46016757962</v>
      </c>
      <c r="AP31" s="20" t="n">
        <f aca="false">AO31/$C$29</f>
        <v>1.9086849972558</v>
      </c>
      <c r="AQ31" s="23" t="n">
        <f aca="false">'Dach unter &amp; über Terrain'!M73</f>
        <v>0</v>
      </c>
      <c r="AR31" s="23" t="n">
        <f aca="false">'Dach unter &amp; über Terrain'!N73</f>
        <v>0</v>
      </c>
    </row>
    <row r="32" customFormat="false" ht="15.75" hidden="false" customHeight="false" outlineLevel="0" collapsed="false">
      <c r="B32" s="7" t="s">
        <v>81</v>
      </c>
      <c r="C32" s="24" t="n">
        <v>3</v>
      </c>
      <c r="D32" s="7" t="s">
        <v>65</v>
      </c>
      <c r="F32" s="9" t="s">
        <v>89</v>
      </c>
      <c r="G32" s="10" t="s">
        <v>90</v>
      </c>
      <c r="H32" s="17" t="str">
        <f aca="false">_xlfn.IFS(AND(G25="Massivbauweise",G32="Betonwand"),"1a",AND(G25="Massivbauweise",G32="Backsteinwand"),"1b",G25="Leichtbauweise","1c",G25="Mischbauweise",VLOOKUP(G33,Database!S87:T89,2,FALSE()))</f>
        <v>1b</v>
      </c>
      <c r="I32" s="12"/>
      <c r="M32" s="18" t="s">
        <v>87</v>
      </c>
      <c r="N32" s="19" t="n">
        <f aca="false">'Decke unter &amp; über Terrain'!$K$45</f>
        <v>1767.32956157113</v>
      </c>
      <c r="O32" s="20" t="n">
        <f aca="false">N32/$C$29</f>
        <v>2.00377501311919</v>
      </c>
      <c r="P32" s="21" t="n">
        <v>0</v>
      </c>
      <c r="Q32" s="21" t="n">
        <v>0</v>
      </c>
      <c r="R32" s="21" t="n">
        <v>0</v>
      </c>
      <c r="S32" s="21" t="n">
        <f aca="false">'Decke unter &amp; über Terrain'!M63</f>
        <v>0.474774482633483</v>
      </c>
      <c r="T32" s="21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1" t="n">
        <v>0</v>
      </c>
      <c r="AC32" s="21" t="n">
        <v>0</v>
      </c>
      <c r="AD32" s="21" t="n">
        <v>0</v>
      </c>
      <c r="AE32" s="21" t="n">
        <v>0</v>
      </c>
      <c r="AF32" s="21" t="n">
        <f aca="false">'Decke unter &amp; über Terrain'!P63</f>
        <v>0</v>
      </c>
      <c r="AG32" s="21" t="n">
        <f aca="false">'Decke unter &amp; über Terrain'!Q63</f>
        <v>0.165013554729474</v>
      </c>
      <c r="AH32" s="21" t="n">
        <v>0</v>
      </c>
      <c r="AI32" s="21" t="n">
        <v>0</v>
      </c>
      <c r="AJ32" s="21" t="n">
        <f aca="false">'Decke unter &amp; über Terrain'!N63</f>
        <v>0.0743026859215745</v>
      </c>
      <c r="AK32" s="21" t="n">
        <f aca="false">'Decke unter &amp; über Terrain'!O63</f>
        <v>0.285909276715469</v>
      </c>
      <c r="AL32" s="15"/>
      <c r="AM32" s="22" t="n">
        <f aca="false">SUM(P32:AK32)</f>
        <v>1</v>
      </c>
      <c r="AN32" s="18" t="s">
        <v>87</v>
      </c>
      <c r="AO32" s="19" t="n">
        <f aca="false">'Decke unter &amp; über Terrain'!$K$66</f>
        <v>1165.39381157113</v>
      </c>
      <c r="AP32" s="20" t="n">
        <f aca="false">AO32/$C$29</f>
        <v>1.3213081763845</v>
      </c>
      <c r="AQ32" s="23" t="n">
        <f aca="false">'Decke unter &amp; über Terrain'!M91</f>
        <v>0</v>
      </c>
      <c r="AR32" s="23" t="n">
        <f aca="false">'Decke unter &amp; über Terrain'!N91</f>
        <v>0</v>
      </c>
    </row>
    <row r="33" customFormat="false" ht="15.75" hidden="false" customHeight="false" outlineLevel="0" collapsed="false">
      <c r="B33" s="7" t="s">
        <v>84</v>
      </c>
      <c r="C33" s="9" t="n">
        <v>2.35</v>
      </c>
      <c r="D33" s="7" t="s">
        <v>24</v>
      </c>
      <c r="F33" s="9" t="s">
        <v>80</v>
      </c>
      <c r="G33" s="10" t="s">
        <v>122</v>
      </c>
      <c r="H33" s="17"/>
      <c r="I33" s="12"/>
      <c r="M33" s="18" t="s">
        <v>91</v>
      </c>
      <c r="N33" s="19" t="n">
        <f aca="false">Innenwand!$J$32</f>
        <v>581.0743455</v>
      </c>
      <c r="O33" s="20" t="n">
        <f aca="false">N33/$C$29</f>
        <v>0.658814450680272</v>
      </c>
      <c r="P33" s="21" t="n">
        <v>0</v>
      </c>
      <c r="Q33" s="21" t="n">
        <f aca="false">Innenwand!L38</f>
        <v>0.633268803466733</v>
      </c>
      <c r="R33" s="21" t="n">
        <v>0</v>
      </c>
      <c r="S33" s="21" t="n">
        <v>0</v>
      </c>
      <c r="T33" s="21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0</v>
      </c>
      <c r="AF33" s="21" t="n">
        <v>0</v>
      </c>
      <c r="AG33" s="21" t="n">
        <v>0</v>
      </c>
      <c r="AH33" s="21" t="n">
        <f aca="false">Innenwand!M38</f>
        <v>0.289067795370429</v>
      </c>
      <c r="AI33" s="21" t="n">
        <f aca="false">Innenwand!N38</f>
        <v>0.0776634011628379</v>
      </c>
      <c r="AJ33" s="21" t="n">
        <v>0</v>
      </c>
      <c r="AK33" s="21" t="n">
        <v>0</v>
      </c>
      <c r="AL33" s="15"/>
      <c r="AM33" s="22" t="n">
        <f aca="false">SUM(P33:AK33)</f>
        <v>1</v>
      </c>
      <c r="AN33" s="18" t="s">
        <v>92</v>
      </c>
      <c r="AO33" s="19" t="n">
        <f aca="false">Innenwand!$J$52</f>
        <v>581.0743455</v>
      </c>
      <c r="AP33" s="20" t="n">
        <f aca="false">AO33/$C$29</f>
        <v>0.658814450680272</v>
      </c>
      <c r="AQ33" s="23" t="n">
        <f aca="false">Innenwand!L58</f>
        <v>0</v>
      </c>
      <c r="AR33" s="23" t="n">
        <f aca="false">Innenwand!O58</f>
        <v>0</v>
      </c>
    </row>
    <row r="34" customFormat="false" ht="15.75" hidden="false" customHeight="false" outlineLevel="0" collapsed="false">
      <c r="B34" s="7" t="s">
        <v>88</v>
      </c>
      <c r="C34" s="9" t="n">
        <v>2.8</v>
      </c>
      <c r="D34" s="7" t="s">
        <v>24</v>
      </c>
      <c r="F34" s="9" t="s">
        <v>123</v>
      </c>
      <c r="G34" s="10" t="s">
        <v>124</v>
      </c>
      <c r="H34" s="17" t="str">
        <f aca="false">_xlfn.IFS(G25="Massivbauweise",VLOOKUP(G34,Database!S53:T60,2,FALSE()),Gebäude!G25="Leichtbauweise",VLOOKUP(Gebäude!G34,Database!S73:T76,2,FALSE()),Gebäude!G25="Mischbauweise",VLOOKUP(Gebäude!G34,Database!S90:T94,2,FALSE()))</f>
        <v>2g</v>
      </c>
      <c r="I34" s="12"/>
      <c r="M34" s="18" t="s">
        <v>96</v>
      </c>
      <c r="N34" s="19" t="n">
        <f aca="false">Innenwand!$J$41</f>
        <v>1556.87598473867</v>
      </c>
      <c r="O34" s="20" t="n">
        <f aca="false">N34/$C$29</f>
        <v>1.76516551557672</v>
      </c>
      <c r="P34" s="21" t="n">
        <v>0</v>
      </c>
      <c r="Q34" s="21" t="n">
        <f aca="false">Innenwand!L47</f>
        <v>0.912349242111981</v>
      </c>
      <c r="R34" s="21" t="n">
        <v>0</v>
      </c>
      <c r="S34" s="21" t="n">
        <v>0</v>
      </c>
      <c r="T34" s="21" t="n">
        <v>0</v>
      </c>
      <c r="U34" s="21" t="n">
        <v>0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0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0</v>
      </c>
      <c r="AF34" s="21" t="n">
        <v>0</v>
      </c>
      <c r="AG34" s="21" t="n">
        <v>0</v>
      </c>
      <c r="AH34" s="21" t="n">
        <f aca="false">Innenwand!M47</f>
        <v>0</v>
      </c>
      <c r="AI34" s="21" t="n">
        <f aca="false">Innenwand!N47</f>
        <v>0.087650757888019</v>
      </c>
      <c r="AJ34" s="21" t="n">
        <v>0</v>
      </c>
      <c r="AK34" s="21" t="n">
        <v>0</v>
      </c>
      <c r="AL34" s="15"/>
      <c r="AM34" s="22" t="n">
        <f aca="false">SUM(P34:AK34)</f>
        <v>1</v>
      </c>
      <c r="AN34" s="18" t="s">
        <v>97</v>
      </c>
      <c r="AO34" s="19" t="n">
        <f aca="false">'Fenster-Balkon'!$J$21</f>
        <v>1347.05693333333</v>
      </c>
      <c r="AP34" s="20" t="n">
        <f aca="false">AO34/$C$29</f>
        <v>1.52727543461829</v>
      </c>
      <c r="AQ34" s="23" t="n">
        <f aca="false">'Fenster-Balkon'!N29</f>
        <v>0</v>
      </c>
      <c r="AR34" s="23" t="n">
        <f aca="false">'Fenster-Balkon'!O29</f>
        <v>0</v>
      </c>
    </row>
    <row r="35" customFormat="false" ht="18.75" hidden="false" customHeight="false" outlineLevel="0" collapsed="false">
      <c r="B35" s="7" t="s">
        <v>93</v>
      </c>
      <c r="C35" s="9" t="n">
        <v>325</v>
      </c>
      <c r="D35" s="7" t="s">
        <v>70</v>
      </c>
      <c r="F35" s="9" t="s">
        <v>94</v>
      </c>
      <c r="G35" s="10" t="s">
        <v>125</v>
      </c>
      <c r="H35" s="17" t="str">
        <f aca="false">Innenwand!P32</f>
        <v>9c</v>
      </c>
      <c r="I35" s="17" t="str">
        <f aca="false">Innenwand!P41</f>
        <v>9e</v>
      </c>
      <c r="M35" s="18" t="s">
        <v>97</v>
      </c>
      <c r="N35" s="19" t="n">
        <f aca="false">'Fenster-Balkon'!$J$15</f>
        <v>1347.05693333333</v>
      </c>
      <c r="O35" s="20" t="n">
        <f aca="false">N35/$C$29</f>
        <v>1.52727543461829</v>
      </c>
      <c r="P35" s="21" t="n">
        <v>0</v>
      </c>
      <c r="Q35" s="21" t="n">
        <v>0</v>
      </c>
      <c r="R35" s="21" t="n">
        <v>0</v>
      </c>
      <c r="S35" s="21" t="n">
        <v>0</v>
      </c>
      <c r="T35" s="21" t="n">
        <v>0</v>
      </c>
      <c r="U35" s="21" t="n">
        <v>0</v>
      </c>
      <c r="V35" s="21" t="n">
        <v>0</v>
      </c>
      <c r="W35" s="21" t="n">
        <v>0</v>
      </c>
      <c r="X35" s="21" t="n">
        <v>0</v>
      </c>
      <c r="Y35" s="21" t="n">
        <v>0</v>
      </c>
      <c r="Z35" s="21" t="n">
        <v>0</v>
      </c>
      <c r="AA35" s="21" t="n">
        <f aca="false">'Fenster-Balkon'!L18</f>
        <v>0.634962224313805</v>
      </c>
      <c r="AB35" s="21" t="n">
        <f aca="false">'Fenster-Balkon'!N18</f>
        <v>0.365037775686195</v>
      </c>
      <c r="AC35" s="21" t="n">
        <v>0</v>
      </c>
      <c r="AD35" s="21" t="n">
        <v>0</v>
      </c>
      <c r="AE35" s="21" t="n">
        <v>0</v>
      </c>
      <c r="AF35" s="21" t="n">
        <v>0</v>
      </c>
      <c r="AG35" s="21" t="n">
        <v>0</v>
      </c>
      <c r="AH35" s="21" t="n">
        <v>0</v>
      </c>
      <c r="AI35" s="21" t="n">
        <v>0</v>
      </c>
      <c r="AJ35" s="21" t="n">
        <v>0</v>
      </c>
      <c r="AK35" s="21" t="n">
        <v>0</v>
      </c>
      <c r="AL35" s="15"/>
      <c r="AM35" s="22" t="n">
        <f aca="false">SUM(P35:AK35)</f>
        <v>1</v>
      </c>
      <c r="AN35" s="18" t="s">
        <v>99</v>
      </c>
      <c r="AO35" s="19" t="n">
        <f aca="false">'Fenster-Balkon'!$X$33</f>
        <v>0</v>
      </c>
      <c r="AP35" s="20" t="n">
        <f aca="false">AO35/$C$29</f>
        <v>0</v>
      </c>
      <c r="AQ35" s="23" t="n">
        <f aca="false">IF($AO$35=0,0,'Fenster-Balkon'!Z41)</f>
        <v>0</v>
      </c>
      <c r="AR35" s="23" t="n">
        <f aca="false">IF($AO$35=0,0,'Fenster-Balkon'!AH41)</f>
        <v>0</v>
      </c>
    </row>
    <row r="36" customFormat="false" ht="18.75" hidden="false" customHeight="false" outlineLevel="0" collapsed="false">
      <c r="B36" s="7" t="s">
        <v>98</v>
      </c>
      <c r="C36" s="9" t="n">
        <v>325</v>
      </c>
      <c r="D36" s="7" t="s">
        <v>70</v>
      </c>
      <c r="F36" s="9" t="s">
        <v>126</v>
      </c>
      <c r="G36" s="10" t="s">
        <v>127</v>
      </c>
      <c r="H36" s="17" t="str">
        <f aca="false">_xlfn.IFS(AND(G35="Flachdach",G25="Massivbauweise"),VLOOKUP(Gebäude!G36,Database!S46:T49,2,FALSE()),AND(G35="Geneigtes Dach",G25="Massivbauweise"),VLOOKUP(Gebäude!G36,Database!S46:U49,3,FALSE()),G25="Leichtbauweise","4d",G25="Mischbauweise","4c")</f>
        <v>4a</v>
      </c>
      <c r="I36" s="34"/>
      <c r="M36" s="18" t="s">
        <v>99</v>
      </c>
      <c r="N36" s="19" t="n">
        <f aca="false">'Fenster-Balkon'!X23</f>
        <v>0</v>
      </c>
      <c r="O36" s="20" t="n">
        <f aca="false">N36/$C$29</f>
        <v>0</v>
      </c>
      <c r="P36" s="21" t="n">
        <v>0</v>
      </c>
      <c r="Q36" s="21" t="n">
        <v>0</v>
      </c>
      <c r="R36" s="21" t="n">
        <v>0</v>
      </c>
      <c r="S36" s="21" t="n">
        <f aca="false">'Fenster-Balkon'!Z30</f>
        <v>0</v>
      </c>
      <c r="T36" s="21" t="n">
        <v>0</v>
      </c>
      <c r="U36" s="21" t="n">
        <v>0</v>
      </c>
      <c r="V36" s="21" t="n">
        <v>0</v>
      </c>
      <c r="W36" s="21" t="n">
        <v>0</v>
      </c>
      <c r="X36" s="21" t="n">
        <v>0</v>
      </c>
      <c r="Y36" s="21" t="n">
        <v>0</v>
      </c>
      <c r="Z36" s="21" t="n">
        <f aca="false">'Fenster-Balkon'!AH30</f>
        <v>0</v>
      </c>
      <c r="AA36" s="21" t="n">
        <v>0</v>
      </c>
      <c r="AB36" s="21" t="n">
        <v>0</v>
      </c>
      <c r="AC36" s="21" t="n">
        <v>0</v>
      </c>
      <c r="AD36" s="21" t="n">
        <v>0</v>
      </c>
      <c r="AE36" s="21" t="n">
        <v>0</v>
      </c>
      <c r="AF36" s="21" t="n">
        <f aca="false">'Fenster-Balkon'!AA30</f>
        <v>0</v>
      </c>
      <c r="AG36" s="21" t="n">
        <f aca="false">'Fenster-Balkon'!AB30</f>
        <v>0</v>
      </c>
      <c r="AH36" s="21" t="n">
        <v>0</v>
      </c>
      <c r="AI36" s="21" t="n">
        <v>0</v>
      </c>
      <c r="AJ36" s="21" t="n">
        <v>0</v>
      </c>
      <c r="AK36" s="21" t="n">
        <v>0</v>
      </c>
      <c r="AL36" s="15"/>
      <c r="AM36" s="22" t="n">
        <f aca="false">SUM(P36:AK36)</f>
        <v>0</v>
      </c>
      <c r="AN36" s="8" t="s">
        <v>102</v>
      </c>
      <c r="AO36" s="28" t="n">
        <f aca="false">SUM(AO26:AO35)</f>
        <v>6641.48935195966</v>
      </c>
      <c r="AP36" s="29" t="n">
        <f aca="false">AO36/$C$29</f>
        <v>7.53003327886583</v>
      </c>
      <c r="AQ36" s="30" t="n">
        <f aca="false">SUMPRODUCT((AO26:AO35*AQ26:AQ35))/SUM(AO26:AO35)</f>
        <v>0.107287528376247</v>
      </c>
      <c r="AR36" s="30" t="e">
        <f aca="false">SUMPRODUCT((AO26:AO35*AR26:AR35))/SUM(AO26:AO35)</f>
        <v>#VALUE!</v>
      </c>
    </row>
    <row r="37" customFormat="false" ht="18.75" hidden="false" customHeight="false" outlineLevel="0" collapsed="false">
      <c r="B37" s="7" t="s">
        <v>101</v>
      </c>
      <c r="C37" s="9" t="n">
        <v>0</v>
      </c>
      <c r="D37" s="7" t="s">
        <v>70</v>
      </c>
      <c r="F37" s="9" t="s">
        <v>128</v>
      </c>
      <c r="G37" s="10" t="s">
        <v>129</v>
      </c>
      <c r="H37" s="17" t="str">
        <f aca="false">_xlfn.IFS(AND(G25="Massivbauweise",G35="geneigtes Dach"),"5f",G37="Dach Eindeckung 1","5b",G37="Dach Eindeckung 2","5c")</f>
        <v>5c</v>
      </c>
      <c r="I37" s="34"/>
      <c r="M37" s="8" t="s">
        <v>102</v>
      </c>
      <c r="N37" s="28" t="n">
        <f aca="false">SUM(N26:N36)</f>
        <v>10067.4275598724</v>
      </c>
      <c r="O37" s="29" t="n">
        <f aca="false">N37/$C$29</f>
        <v>11.4143169613066</v>
      </c>
      <c r="P37" s="31" t="n">
        <f aca="false">SUMPRODUCT((N26:N36*P26:P36))/SUM(N26:N36)</f>
        <v>0.0707776612318576</v>
      </c>
      <c r="Q37" s="31" t="n">
        <f aca="false">SUMPRODUCT((N26:N36*Q26:Q36))/SUM(N26:N36)</f>
        <v>0.236139553375374</v>
      </c>
      <c r="R37" s="31" t="n">
        <f aca="false">SUMPRODUCT((N26:N36*R26:R36))/SUM(N26:N36)</f>
        <v>0</v>
      </c>
      <c r="S37" s="31" t="n">
        <f aca="false">SUMPRODUCT((N26:N36*S26:S36))/SUM(N26:N36)</f>
        <v>0.174688047018696</v>
      </c>
      <c r="T37" s="31" t="n">
        <f aca="false">SUMPRODUCT((N26:N36*T26:T36))/SUM(N26:N36)</f>
        <v>0.0141769085648935</v>
      </c>
      <c r="U37" s="31" t="n">
        <f aca="false">SUMPRODUCT((N26:N36*U26:U36))/SUM(N26:N36)</f>
        <v>0.00471189550503881</v>
      </c>
      <c r="V37" s="31" t="n">
        <f aca="false">SUMPRODUCT((N26:N36*V26:V36))/SUM(N26:N36)</f>
        <v>0.00113594460272877</v>
      </c>
      <c r="W37" s="31" t="n">
        <f aca="false">SUMPRODUCT((N26:N36*W26:W36))/SUM(N26:N36)</f>
        <v>0.0122173335013854</v>
      </c>
      <c r="X37" s="31" t="n">
        <f aca="false">SUMPRODUCT((N26:N36*X26:X36))/SUM(N26:N36)</f>
        <v>0.0413630987184652</v>
      </c>
      <c r="Y37" s="31" t="n">
        <f aca="false">SUMPRODUCT((N26:N36*Y26:Y36))/SUM(N26:N36)</f>
        <v>0.0179047906986497</v>
      </c>
      <c r="Z37" s="31" t="n">
        <f aca="false">SUMPRODUCT((N26:N36*Z26:Z36))/SUM(N26:N36)</f>
        <v>0</v>
      </c>
      <c r="AA37" s="31" t="n">
        <f aca="false">SUMPRODUCT((N26:N36*AA26:AA36))/SUM(N26:N36)</f>
        <v>0.0849601610321898</v>
      </c>
      <c r="AB37" s="31" t="n">
        <f aca="false">SUMPRODUCT((N26:N36*AB26:AB36))/SUM(N26:N36)</f>
        <v>0.0488433280241947</v>
      </c>
      <c r="AC37" s="31" t="n">
        <f aca="false">SUMPRODUCT((N26:N36*AC26:AC36))/SUM(N26:N36)</f>
        <v>0</v>
      </c>
      <c r="AD37" s="31" t="n">
        <f aca="false">SUMPRODUCT((N26:N36*AD26:AD36))/SUM(N26:N36)</f>
        <v>0.128539536868185</v>
      </c>
      <c r="AE37" s="31" t="n">
        <f aca="false">SUMPRODUCT((N26:N36*AE26:AE36))/SUM(N26:N36)</f>
        <v>0</v>
      </c>
      <c r="AF37" s="31" t="n">
        <f aca="false">SUMPRODUCT((N26:N36*AF26:AF36))/SUM(N26:N36)</f>
        <v>0</v>
      </c>
      <c r="AG37" s="31" t="n">
        <f aca="false">SUMPRODUCT((N26:N36*AG26:AG36))/SUM(N26:N36)</f>
        <v>0.0434520136746376</v>
      </c>
      <c r="AH37" s="31" t="n">
        <f aca="false">SUMPRODUCT((N26:N36*AH26:AH36))/SUM(N26:N36)</f>
        <v>0.0222194874181776</v>
      </c>
      <c r="AI37" s="31" t="n">
        <f aca="false">SUMPRODUCT((N26:N36*AI26:AI36))/SUM(N26:N36)</f>
        <v>0.0203709738275914</v>
      </c>
      <c r="AJ37" s="31" t="n">
        <f aca="false">SUMPRODUCT((N26:N36*AJ26:AJ36))/SUM(N26:N36)</f>
        <v>0.017828023322336</v>
      </c>
      <c r="AK37" s="31" t="n">
        <f aca="false">SUMPRODUCT((N26:N36*AK26:AK36))/SUM(N26:N36)</f>
        <v>0.0547181746999311</v>
      </c>
      <c r="AL37" s="31" t="n">
        <f aca="false">SUM(P37:AK37)</f>
        <v>0.99404693208433</v>
      </c>
    </row>
    <row r="38" customFormat="false" ht="18.75" hidden="false" customHeight="false" outlineLevel="0" collapsed="false">
      <c r="B38" s="7" t="s">
        <v>103</v>
      </c>
      <c r="C38" s="9" t="n">
        <v>404.4</v>
      </c>
      <c r="D38" s="7" t="s">
        <v>70</v>
      </c>
      <c r="F38" s="9" t="s">
        <v>99</v>
      </c>
      <c r="G38" s="16" t="s">
        <v>100</v>
      </c>
      <c r="H38" s="26" t="str">
        <f aca="false">IF(G38="Ja","13a","0")</f>
        <v>0</v>
      </c>
      <c r="I38" s="34"/>
    </row>
    <row r="39" customFormat="false" ht="18.75" hidden="false" customHeight="false" outlineLevel="0" collapsed="false">
      <c r="B39" s="7" t="s">
        <v>105</v>
      </c>
      <c r="C39" s="9" t="n">
        <v>200</v>
      </c>
      <c r="D39" s="7" t="s">
        <v>70</v>
      </c>
    </row>
    <row r="40" customFormat="false" ht="18.75" hidden="false" customHeight="false" outlineLevel="0" collapsed="false">
      <c r="B40" s="7" t="s">
        <v>106</v>
      </c>
      <c r="C40" s="9" t="n">
        <v>376</v>
      </c>
      <c r="D40" s="7" t="s">
        <v>70</v>
      </c>
    </row>
    <row r="41" customFormat="false" ht="18.75" hidden="false" customHeight="false" outlineLevel="0" collapsed="false">
      <c r="B41" s="7" t="s">
        <v>107</v>
      </c>
      <c r="C41" s="9" t="n">
        <v>566.7</v>
      </c>
      <c r="D41" s="7" t="s">
        <v>70</v>
      </c>
    </row>
    <row r="42" customFormat="false" ht="18.75" hidden="false" customHeight="false" outlineLevel="0" collapsed="false">
      <c r="B42" s="7" t="s">
        <v>109</v>
      </c>
      <c r="C42" s="9" t="n">
        <v>1322.3</v>
      </c>
      <c r="D42" s="7" t="s">
        <v>70</v>
      </c>
    </row>
    <row r="43" customFormat="false" ht="18.75" hidden="false" customHeight="false" outlineLevel="0" collapsed="false">
      <c r="B43" s="7" t="s">
        <v>110</v>
      </c>
      <c r="C43" s="9" t="n">
        <v>257</v>
      </c>
      <c r="D43" s="7" t="s">
        <v>70</v>
      </c>
    </row>
    <row r="44" customFormat="false" ht="18.75" hidden="false" customHeight="false" outlineLevel="0" collapsed="false">
      <c r="B44" s="7" t="s">
        <v>111</v>
      </c>
      <c r="C44" s="9" t="n">
        <v>87</v>
      </c>
      <c r="D44" s="7" t="s">
        <v>70</v>
      </c>
    </row>
  </sheetData>
  <mergeCells count="7">
    <mergeCell ref="I4:I11"/>
    <mergeCell ref="J4:J12"/>
    <mergeCell ref="K4:K12"/>
    <mergeCell ref="AL4:AL15"/>
    <mergeCell ref="I25:I34"/>
    <mergeCell ref="AL25:AL36"/>
    <mergeCell ref="I36:I38"/>
  </mergeCells>
  <dataValidations count="13">
    <dataValidation allowBlank="true" errorStyle="stop" operator="between" showDropDown="false" showErrorMessage="true" showInputMessage="true" sqref="G25" type="list">
      <formula1>Database!$H$4:$H$6</formula1>
      <formula2>0</formula2>
    </dataValidation>
    <dataValidation allowBlank="true" errorStyle="stop" operator="between" showDropDown="false" showErrorMessage="true" showInputMessage="true" sqref="G30" type="list">
      <formula1>Database!$V$54:$V$55</formula1>
      <formula2>0</formula2>
    </dataValidation>
    <dataValidation allowBlank="true" errorStyle="stop" operator="between" showDropDown="false" showErrorMessage="true" showInputMessage="true" sqref="G27" type="list">
      <formula1>Database!$V$46:$V$47</formula1>
      <formula2>0</formula2>
    </dataValidation>
    <dataValidation allowBlank="true" errorStyle="stop" operator="between" showDropDown="false" showErrorMessage="true" showInputMessage="true" sqref="G37" type="list">
      <formula1>Database!$S$48:$S$49</formula1>
      <formula2>0</formula2>
    </dataValidation>
    <dataValidation allowBlank="true" errorStyle="stop" operator="between" showDropDown="false" showErrorMessage="true" showInputMessage="true" sqref="G34" type="list">
      <formula1>IF($G$25=Database!$S$28,Database!$S$53:$S$60,IF($G$25=Database!$S$67,Database!$S$73:$S$76,Database!$S$90:$S$94))</formula1>
      <formula2>0</formula2>
    </dataValidation>
    <dataValidation allowBlank="true" errorStyle="stop" operator="between" showDropDown="false" showErrorMessage="true" showInputMessage="true" sqref="G36" type="list">
      <formula1>IF($G$25=Database!$S$28,Database!$S$46:$S$47,Database!$S$46)</formula1>
      <formula2>0</formula2>
    </dataValidation>
    <dataValidation allowBlank="true" errorStyle="stop" operator="between" showDropDown="false" showErrorMessage="true" showInputMessage="true" sqref="G31" type="list">
      <formula1>Database!$S$64:$S$65</formula1>
      <formula2>0</formula2>
    </dataValidation>
    <dataValidation allowBlank="true" errorStyle="stop" operator="between" showDropDown="false" showErrorMessage="true" showInputMessage="true" sqref="G33" type="list">
      <formula1>IF($G$25=Database!$S$81,Database!$S$87:$S$89,Database!$S$87)</formula1>
      <formula2>0</formula2>
    </dataValidation>
    <dataValidation allowBlank="true" errorStyle="stop" operator="between" showDropDown="false" showErrorMessage="true" showInputMessage="true" sqref="G32" type="list">
      <formula1>Database!$D$16:$D$17</formula1>
      <formula2>0</formula2>
    </dataValidation>
    <dataValidation allowBlank="true" errorStyle="stop" operator="between" showDropDown="false" showErrorMessage="true" showInputMessage="true" sqref="G35" type="list">
      <formula1>Database!$D$18:$D$19</formula1>
      <formula2>0</formula2>
    </dataValidation>
    <dataValidation allowBlank="true" errorStyle="stop" operator="between" showDropDown="false" showErrorMessage="true" showInputMessage="true" sqref="G38" type="list">
      <formula1>Database!$D$21:$D$22</formula1>
      <formula2>0</formula2>
    </dataValidation>
    <dataValidation allowBlank="true" errorStyle="stop" operator="between" showDropDown="false" showErrorMessage="true" showInputMessage="true" sqref="G26 L56" type="list">
      <formula1>Database!$D$14:$D$15</formula1>
      <formula2>0</formula2>
    </dataValidation>
    <dataValidation allowBlank="true" errorStyle="stop" operator="between" showDropDown="false" showErrorMessage="true" showInputMessage="true" sqref="G28:G29" type="list">
      <formula1>Database!$H$12:$H$15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true"/>
  </sheetPr>
  <dimension ref="B2:AJ97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S52" activeCellId="0" sqref="S52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2.99"/>
    <col collapsed="false" customWidth="true" hidden="false" outlineLevel="0" max="3" min="3" style="0" width="33.41"/>
    <col collapsed="false" customWidth="true" hidden="false" outlineLevel="0" max="4" min="4" style="0" width="40.42"/>
    <col collapsed="false" customWidth="true" hidden="false" outlineLevel="0" max="5" min="5" style="0" width="4.14"/>
    <col collapsed="false" customWidth="true" hidden="false" outlineLevel="0" max="6" min="6" style="0" width="2.99"/>
    <col collapsed="false" customWidth="true" hidden="false" outlineLevel="0" max="7" min="7" style="0" width="3.14"/>
    <col collapsed="false" customWidth="true" hidden="false" outlineLevel="0" max="8" min="8" style="0" width="40.88"/>
    <col collapsed="false" customWidth="true" hidden="false" outlineLevel="0" max="9" min="9" style="0" width="3.14"/>
    <col collapsed="false" customWidth="true" hidden="false" outlineLevel="0" max="11" min="10" style="0" width="4.14"/>
    <col collapsed="false" customWidth="true" hidden="false" outlineLevel="0" max="12" min="12" style="0" width="3.14"/>
    <col collapsed="false" customWidth="true" hidden="false" outlineLevel="0" max="13" min="13" style="0" width="3.98"/>
    <col collapsed="false" customWidth="true" hidden="false" outlineLevel="0" max="14" min="14" style="0" width="24.41"/>
    <col collapsed="false" customWidth="true" hidden="false" outlineLevel="0" max="16" min="15" style="0" width="3.14"/>
    <col collapsed="false" customWidth="true" hidden="false" outlineLevel="0" max="17" min="17" style="0" width="3.98"/>
    <col collapsed="false" customWidth="true" hidden="false" outlineLevel="0" max="18" min="18" style="0" width="2.99"/>
    <col collapsed="false" customWidth="true" hidden="false" outlineLevel="0" max="19" min="19" style="0" width="35"/>
    <col collapsed="false" customWidth="true" hidden="false" outlineLevel="0" max="20" min="20" style="0" width="14.43"/>
    <col collapsed="false" customWidth="true" hidden="false" outlineLevel="0" max="22" min="21" style="0" width="30.43"/>
    <col collapsed="false" customWidth="true" hidden="false" outlineLevel="0" max="23" min="23" style="0" width="25"/>
    <col collapsed="false" customWidth="true" hidden="false" outlineLevel="0" max="25" min="25" style="0" width="15.15"/>
    <col collapsed="false" customWidth="true" hidden="false" outlineLevel="0" max="26" min="26" style="0" width="11.42"/>
    <col collapsed="false" customWidth="true" hidden="false" outlineLevel="0" max="27" min="27" style="0" width="23.15"/>
    <col collapsed="false" customWidth="true" hidden="false" outlineLevel="0" max="28" min="28" style="0" width="10"/>
    <col collapsed="false" customWidth="true" hidden="false" outlineLevel="0" max="29" min="29" style="0" width="7.41"/>
    <col collapsed="false" customWidth="true" hidden="false" outlineLevel="0" max="30" min="30" style="0" width="6.88"/>
    <col collapsed="false" customWidth="true" hidden="false" outlineLevel="0" max="31" min="31" style="0" width="7.41"/>
    <col collapsed="false" customWidth="true" hidden="false" outlineLevel="0" max="32" min="32" style="0" width="13.86"/>
    <col collapsed="false" customWidth="true" hidden="false" outlineLevel="0" max="33" min="33" style="0" width="17"/>
    <col collapsed="false" customWidth="true" hidden="false" outlineLevel="0" max="34" min="34" style="0" width="23.42"/>
  </cols>
  <sheetData>
    <row r="2" customFormat="false" ht="20.25" hidden="false" customHeight="false" outlineLevel="0" collapsed="false">
      <c r="C2" s="35" t="s">
        <v>130</v>
      </c>
      <c r="D2" s="3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customFormat="false" ht="15.75" hidden="false" customHeight="false" outlineLevel="0" collapsed="false">
      <c r="C3" s="7"/>
      <c r="D3" s="7"/>
      <c r="E3" s="36" t="s">
        <v>131</v>
      </c>
      <c r="F3" s="36"/>
      <c r="G3" s="36"/>
      <c r="H3" s="7"/>
      <c r="I3" s="36" t="s">
        <v>131</v>
      </c>
      <c r="J3" s="36"/>
      <c r="K3" s="36"/>
      <c r="L3" s="36"/>
      <c r="M3" s="36"/>
      <c r="N3" s="36"/>
      <c r="O3" s="36"/>
      <c r="P3" s="36"/>
      <c r="Q3" s="36"/>
      <c r="R3" s="36"/>
    </row>
    <row r="4" customFormat="false" ht="15.75" hidden="false" customHeight="false" outlineLevel="0" collapsed="false">
      <c r="B4" s="0" t="n">
        <v>2</v>
      </c>
      <c r="C4" s="37" t="s">
        <v>1</v>
      </c>
      <c r="D4" s="7" t="s">
        <v>132</v>
      </c>
      <c r="E4" s="7" t="s">
        <v>133</v>
      </c>
      <c r="F4" s="7"/>
      <c r="G4" s="7"/>
      <c r="H4" s="7" t="s">
        <v>113</v>
      </c>
      <c r="I4" s="7" t="s">
        <v>134</v>
      </c>
      <c r="J4" s="7" t="s">
        <v>135</v>
      </c>
      <c r="K4" s="7" t="s">
        <v>136</v>
      </c>
      <c r="M4" s="7" t="s">
        <v>137</v>
      </c>
      <c r="N4" s="7" t="s">
        <v>138</v>
      </c>
      <c r="O4" s="7" t="s">
        <v>139</v>
      </c>
      <c r="P4" s="7"/>
      <c r="Q4" s="7"/>
      <c r="R4" s="7"/>
    </row>
    <row r="5" customFormat="false" ht="15.75" hidden="false" customHeight="false" outlineLevel="0" collapsed="false">
      <c r="B5" s="0" t="n">
        <v>3</v>
      </c>
      <c r="C5" s="7" t="s">
        <v>140</v>
      </c>
      <c r="D5" s="7" t="s">
        <v>67</v>
      </c>
      <c r="E5" s="7" t="s">
        <v>141</v>
      </c>
      <c r="F5" s="7"/>
      <c r="G5" s="7"/>
      <c r="H5" s="7" t="s">
        <v>104</v>
      </c>
      <c r="I5" s="7" t="s">
        <v>134</v>
      </c>
      <c r="J5" s="7" t="s">
        <v>135</v>
      </c>
      <c r="K5" s="7" t="s">
        <v>142</v>
      </c>
      <c r="L5" s="7" t="s">
        <v>143</v>
      </c>
      <c r="M5" s="7" t="s">
        <v>144</v>
      </c>
      <c r="N5" s="7" t="s">
        <v>145</v>
      </c>
      <c r="O5" s="7" t="s">
        <v>146</v>
      </c>
      <c r="P5" s="7" t="s">
        <v>147</v>
      </c>
      <c r="Q5" s="7" t="s">
        <v>137</v>
      </c>
      <c r="R5" s="7" t="s">
        <v>138</v>
      </c>
    </row>
    <row r="6" customFormat="false" ht="15.75" hidden="false" customHeight="false" outlineLevel="0" collapsed="false">
      <c r="B6" s="0" t="n">
        <v>4</v>
      </c>
      <c r="C6" s="7" t="s">
        <v>83</v>
      </c>
      <c r="D6" s="7" t="s">
        <v>118</v>
      </c>
      <c r="E6" s="7" t="s">
        <v>148</v>
      </c>
      <c r="F6" s="7"/>
      <c r="G6" s="7"/>
      <c r="H6" s="7" t="s">
        <v>26</v>
      </c>
      <c r="I6" s="7" t="s">
        <v>134</v>
      </c>
      <c r="J6" s="7" t="s">
        <v>135</v>
      </c>
      <c r="K6" s="7" t="s">
        <v>149</v>
      </c>
      <c r="L6" s="7" t="s">
        <v>150</v>
      </c>
      <c r="M6" s="7" t="s">
        <v>144</v>
      </c>
      <c r="N6" s="7" t="s">
        <v>151</v>
      </c>
      <c r="O6" s="7" t="s">
        <v>152</v>
      </c>
      <c r="P6" s="7" t="s">
        <v>147</v>
      </c>
      <c r="Q6" s="7" t="s">
        <v>137</v>
      </c>
      <c r="R6" s="7" t="s">
        <v>138</v>
      </c>
    </row>
    <row r="7" customFormat="false" ht="15.75" hidden="false" customHeight="false" outlineLevel="0" collapsed="false">
      <c r="B7" s="0" t="n">
        <v>5</v>
      </c>
      <c r="C7" s="7" t="s">
        <v>153</v>
      </c>
      <c r="D7" s="7" t="s">
        <v>72</v>
      </c>
      <c r="E7" s="7" t="s">
        <v>154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customFormat="false" ht="15.75" hidden="false" customHeight="false" outlineLevel="0" collapsed="false">
      <c r="B8" s="0" t="n">
        <v>6</v>
      </c>
      <c r="C8" s="7" t="s">
        <v>92</v>
      </c>
      <c r="D8" s="7" t="s">
        <v>119</v>
      </c>
      <c r="E8" s="0" t="n">
        <v>0</v>
      </c>
      <c r="H8" s="7" t="s">
        <v>113</v>
      </c>
      <c r="I8" s="7"/>
      <c r="J8" s="7" t="s">
        <v>148</v>
      </c>
      <c r="K8" s="7" t="s">
        <v>155</v>
      </c>
      <c r="L8" s="7"/>
      <c r="M8" s="7"/>
      <c r="N8" s="7"/>
      <c r="O8" s="7"/>
      <c r="P8" s="7"/>
      <c r="Q8" s="7"/>
      <c r="R8" s="7"/>
    </row>
    <row r="9" customFormat="false" ht="15.75" hidden="false" customHeight="false" outlineLevel="0" collapsed="false">
      <c r="B9" s="0" t="n">
        <v>7</v>
      </c>
      <c r="C9" s="7" t="s">
        <v>63</v>
      </c>
      <c r="D9" s="7" t="s">
        <v>156</v>
      </c>
      <c r="E9" s="0" t="n">
        <v>0</v>
      </c>
      <c r="F9" s="7"/>
      <c r="G9" s="7"/>
      <c r="H9" s="7" t="s">
        <v>104</v>
      </c>
      <c r="I9" s="7" t="s">
        <v>145</v>
      </c>
      <c r="J9" s="7" t="s">
        <v>148</v>
      </c>
      <c r="K9" s="7" t="s">
        <v>155</v>
      </c>
      <c r="L9" s="7"/>
      <c r="M9" s="7"/>
      <c r="N9" s="7"/>
      <c r="O9" s="7"/>
      <c r="P9" s="7"/>
      <c r="Q9" s="7"/>
      <c r="R9" s="7"/>
    </row>
    <row r="10" customFormat="false" ht="15.75" hidden="false" customHeight="false" outlineLevel="0" collapsed="false">
      <c r="B10" s="0" t="n">
        <v>8</v>
      </c>
      <c r="C10" s="7" t="s">
        <v>157</v>
      </c>
      <c r="D10" s="7" t="s">
        <v>86</v>
      </c>
      <c r="E10" s="7" t="s">
        <v>155</v>
      </c>
      <c r="F10" s="7"/>
      <c r="G10" s="7"/>
      <c r="H10" s="7" t="s">
        <v>26</v>
      </c>
      <c r="I10" s="7" t="s">
        <v>151</v>
      </c>
      <c r="J10" s="7" t="s">
        <v>154</v>
      </c>
      <c r="K10" s="7" t="s">
        <v>154</v>
      </c>
      <c r="L10" s="7"/>
      <c r="O10" s="7"/>
      <c r="P10" s="7"/>
      <c r="Q10" s="7"/>
      <c r="R10" s="7"/>
    </row>
    <row r="11" customFormat="false" ht="15.75" hidden="false" customHeight="false" outlineLevel="0" collapsed="false">
      <c r="B11" s="0" t="n">
        <v>9</v>
      </c>
      <c r="C11" s="7"/>
      <c r="D11" s="7" t="s">
        <v>158</v>
      </c>
      <c r="E11" s="7" t="s">
        <v>159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customFormat="false" ht="15.75" hidden="false" customHeight="false" outlineLevel="0" collapsed="false">
      <c r="B12" s="0" t="n">
        <v>10</v>
      </c>
      <c r="C12" s="7"/>
      <c r="D12" s="7" t="s">
        <v>79</v>
      </c>
      <c r="E12" s="7" t="s">
        <v>160</v>
      </c>
      <c r="H12" s="7" t="s">
        <v>118</v>
      </c>
      <c r="I12" s="7" t="s">
        <v>154</v>
      </c>
      <c r="J12" s="7"/>
      <c r="K12" s="7"/>
      <c r="L12" s="7"/>
      <c r="M12" s="7"/>
      <c r="N12" s="7"/>
      <c r="O12" s="7"/>
      <c r="P12" s="7"/>
      <c r="Q12" s="7"/>
      <c r="R12" s="7"/>
    </row>
    <row r="13" customFormat="false" ht="15.75" hidden="false" customHeight="false" outlineLevel="0" collapsed="false">
      <c r="B13" s="0" t="n">
        <v>11</v>
      </c>
      <c r="C13" s="7"/>
      <c r="D13" s="7" t="s">
        <v>161</v>
      </c>
      <c r="E13" s="0" t="n">
        <v>0</v>
      </c>
      <c r="H13" s="7" t="s">
        <v>162</v>
      </c>
      <c r="I13" s="7" t="s">
        <v>155</v>
      </c>
      <c r="J13" s="7"/>
      <c r="K13" s="7"/>
      <c r="L13" s="7"/>
      <c r="M13" s="7"/>
      <c r="N13" s="7"/>
      <c r="O13" s="7"/>
      <c r="P13" s="7"/>
      <c r="Q13" s="7"/>
      <c r="R13" s="7"/>
    </row>
    <row r="14" customFormat="false" ht="15.75" hidden="false" customHeight="false" outlineLevel="0" collapsed="false">
      <c r="C14" s="7"/>
      <c r="D14" s="7" t="s">
        <v>116</v>
      </c>
      <c r="E14" s="7" t="s">
        <v>155</v>
      </c>
      <c r="H14" s="7" t="s">
        <v>163</v>
      </c>
      <c r="I14" s="7" t="s">
        <v>148</v>
      </c>
      <c r="J14" s="7"/>
      <c r="K14" s="7"/>
      <c r="L14" s="7"/>
      <c r="M14" s="7"/>
      <c r="N14" s="7"/>
      <c r="O14" s="7"/>
      <c r="P14" s="7"/>
      <c r="Q14" s="7"/>
      <c r="R14" s="7"/>
    </row>
    <row r="15" customFormat="false" ht="15.75" hidden="false" customHeight="false" outlineLevel="0" collapsed="false">
      <c r="C15" s="7"/>
      <c r="D15" s="7" t="s">
        <v>62</v>
      </c>
      <c r="E15" s="7" t="s">
        <v>148</v>
      </c>
      <c r="H15" s="7" t="s">
        <v>119</v>
      </c>
      <c r="I15" s="7" t="n">
        <v>0</v>
      </c>
      <c r="J15" s="7"/>
      <c r="K15" s="7"/>
      <c r="L15" s="7"/>
      <c r="M15" s="7"/>
      <c r="N15" s="7"/>
      <c r="O15" s="7"/>
      <c r="P15" s="7"/>
      <c r="Q15" s="7"/>
      <c r="R15" s="7"/>
    </row>
    <row r="16" customFormat="false" ht="15.75" hidden="false" customHeight="false" outlineLevel="0" collapsed="false">
      <c r="D16" s="7" t="s">
        <v>164</v>
      </c>
      <c r="E16" s="7" t="s">
        <v>165</v>
      </c>
      <c r="F16" s="7"/>
      <c r="G16" s="7"/>
    </row>
    <row r="17" customFormat="false" ht="15.75" hidden="false" customHeight="false" outlineLevel="0" collapsed="false">
      <c r="D17" s="7" t="s">
        <v>90</v>
      </c>
      <c r="E17" s="7" t="s">
        <v>166</v>
      </c>
      <c r="F17" s="7"/>
      <c r="G17" s="7"/>
    </row>
    <row r="18" customFormat="false" ht="15.75" hidden="false" customHeight="false" outlineLevel="0" collapsed="false">
      <c r="D18" s="7" t="s">
        <v>125</v>
      </c>
      <c r="E18" s="7" t="s">
        <v>167</v>
      </c>
      <c r="F18" s="7" t="s">
        <v>144</v>
      </c>
      <c r="G18" s="7" t="s">
        <v>168</v>
      </c>
    </row>
    <row r="19" customFormat="false" ht="15.75" hidden="false" customHeight="false" outlineLevel="0" collapsed="false">
      <c r="D19" s="7" t="s">
        <v>95</v>
      </c>
      <c r="E19" s="7" t="s">
        <v>169</v>
      </c>
      <c r="F19" s="7" t="s">
        <v>170</v>
      </c>
      <c r="G19" s="7" t="s">
        <v>171</v>
      </c>
    </row>
    <row r="20" customFormat="false" ht="15.75" hidden="false" customHeight="false" outlineLevel="0" collapsed="false">
      <c r="D20" s="7" t="s">
        <v>97</v>
      </c>
      <c r="E20" s="7" t="s">
        <v>138</v>
      </c>
    </row>
    <row r="21" customFormat="false" ht="15.75" hidden="false" customHeight="false" outlineLevel="0" collapsed="false">
      <c r="D21" s="7" t="s">
        <v>172</v>
      </c>
      <c r="E21" s="7" t="s">
        <v>137</v>
      </c>
    </row>
    <row r="22" customFormat="false" ht="15.75" hidden="false" customHeight="false" outlineLevel="0" collapsed="false">
      <c r="D22" s="7" t="s">
        <v>100</v>
      </c>
      <c r="E22" s="7" t="s">
        <v>137</v>
      </c>
    </row>
    <row r="25" customFormat="false" ht="15.75" hidden="false" customHeight="false" outlineLevel="0" collapsed="false">
      <c r="D25" s="7"/>
      <c r="E25" s="7"/>
    </row>
    <row r="26" customFormat="false" ht="20.25" hidden="false" customHeight="false" outlineLevel="0" collapsed="false">
      <c r="C26" s="35" t="s">
        <v>173</v>
      </c>
      <c r="D26" s="3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customFormat="false" ht="15.75" hidden="false" customHeight="false" outlineLevel="0" collapsed="false">
      <c r="C27" s="7"/>
      <c r="S27" s="7"/>
      <c r="T27" s="38"/>
      <c r="U27" s="38"/>
      <c r="V27" s="38"/>
      <c r="W27" s="7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customFormat="false" ht="15.75" hidden="false" customHeight="false" outlineLevel="0" collapsed="false">
      <c r="C28" s="37" t="s">
        <v>113</v>
      </c>
      <c r="S28" s="37" t="s">
        <v>113</v>
      </c>
      <c r="T28" s="37"/>
      <c r="U28" s="37"/>
      <c r="V28" s="37"/>
      <c r="W28" s="37"/>
      <c r="Y28" s="7"/>
      <c r="Z28" s="7" t="s">
        <v>63</v>
      </c>
      <c r="AA28" s="7" t="s">
        <v>68</v>
      </c>
      <c r="AB28" s="7" t="s">
        <v>92</v>
      </c>
      <c r="AC28" s="7" t="s">
        <v>97</v>
      </c>
      <c r="AD28" s="7" t="s">
        <v>99</v>
      </c>
      <c r="AE28" s="7" t="s">
        <v>174</v>
      </c>
      <c r="AF28" s="7" t="s">
        <v>175</v>
      </c>
      <c r="AG28" s="7" t="s">
        <v>176</v>
      </c>
      <c r="AH28" s="7" t="s">
        <v>177</v>
      </c>
      <c r="AI28" s="7" t="s">
        <v>83</v>
      </c>
      <c r="AJ28" s="7" t="s">
        <v>80</v>
      </c>
    </row>
    <row r="29" customFormat="false" ht="15.75" hidden="false" customHeight="false" outlineLevel="0" collapsed="false">
      <c r="C29" s="39" t="s">
        <v>63</v>
      </c>
      <c r="D29" s="0" t="s">
        <v>178</v>
      </c>
      <c r="S29" s="7" t="s">
        <v>63</v>
      </c>
      <c r="T29" s="0" t="s">
        <v>178</v>
      </c>
      <c r="U29" s="0" t="s">
        <v>178</v>
      </c>
      <c r="V29" s="0" t="s">
        <v>178</v>
      </c>
      <c r="W29" s="0" t="s">
        <v>178</v>
      </c>
      <c r="Y29" s="7" t="s">
        <v>113</v>
      </c>
      <c r="Z29" s="0" t="s">
        <v>178</v>
      </c>
      <c r="AA29" s="0" t="s">
        <v>179</v>
      </c>
      <c r="AB29" s="0" t="s">
        <v>180</v>
      </c>
      <c r="AC29" s="0" t="s">
        <v>138</v>
      </c>
      <c r="AD29" s="0" t="s">
        <v>137</v>
      </c>
      <c r="AE29" s="7" t="s">
        <v>136</v>
      </c>
      <c r="AF29" s="7" t="s">
        <v>136</v>
      </c>
      <c r="AG29" s="7" t="s">
        <v>154</v>
      </c>
      <c r="AH29" s="7" t="s">
        <v>154</v>
      </c>
    </row>
    <row r="30" customFormat="false" ht="15.75" hidden="false" customHeight="false" outlineLevel="0" collapsed="false">
      <c r="C30" s="39" t="s">
        <v>68</v>
      </c>
      <c r="D30" s="0" t="s">
        <v>179</v>
      </c>
      <c r="S30" s="7" t="s">
        <v>68</v>
      </c>
      <c r="T30" s="0" t="s">
        <v>179</v>
      </c>
      <c r="U30" s="0" t="s">
        <v>179</v>
      </c>
      <c r="V30" s="0" t="s">
        <v>179</v>
      </c>
      <c r="W30" s="0" t="s">
        <v>179</v>
      </c>
      <c r="Y30" s="7" t="s">
        <v>104</v>
      </c>
      <c r="Z30" s="0" t="s">
        <v>178</v>
      </c>
      <c r="AA30" s="0" t="s">
        <v>179</v>
      </c>
      <c r="AB30" s="0" t="s">
        <v>181</v>
      </c>
      <c r="AC30" s="0" t="s">
        <v>138</v>
      </c>
      <c r="AD30" s="0" t="s">
        <v>137</v>
      </c>
      <c r="AE30" s="7" t="s">
        <v>142</v>
      </c>
      <c r="AF30" s="7" t="s">
        <v>142</v>
      </c>
      <c r="AG30" s="7" t="s">
        <v>154</v>
      </c>
      <c r="AH30" s="7" t="s">
        <v>154</v>
      </c>
      <c r="AI30" s="7" t="s">
        <v>143</v>
      </c>
    </row>
    <row r="31" customFormat="false" ht="15.75" hidden="false" customHeight="false" outlineLevel="0" collapsed="false">
      <c r="C31" s="7" t="s">
        <v>73</v>
      </c>
      <c r="D31" s="0" t="s">
        <v>182</v>
      </c>
      <c r="E31" s="0" t="s">
        <v>183</v>
      </c>
      <c r="S31" s="7" t="s">
        <v>73</v>
      </c>
      <c r="T31" s="7" t="s">
        <v>182</v>
      </c>
      <c r="U31" s="7" t="s">
        <v>182</v>
      </c>
      <c r="V31" s="7" t="s">
        <v>182</v>
      </c>
      <c r="W31" s="7" t="s">
        <v>182</v>
      </c>
      <c r="Y31" s="7" t="s">
        <v>26</v>
      </c>
      <c r="Z31" s="0" t="s">
        <v>178</v>
      </c>
      <c r="AA31" s="0" t="s">
        <v>179</v>
      </c>
      <c r="AB31" s="0" t="s">
        <v>181</v>
      </c>
      <c r="AC31" s="0" t="s">
        <v>138</v>
      </c>
      <c r="AD31" s="0" t="s">
        <v>137</v>
      </c>
      <c r="AE31" s="7" t="s">
        <v>149</v>
      </c>
      <c r="AF31" s="7" t="s">
        <v>149</v>
      </c>
      <c r="AG31" s="7" t="s">
        <v>148</v>
      </c>
      <c r="AH31" s="7" t="s">
        <v>155</v>
      </c>
      <c r="AI31" s="7" t="s">
        <v>150</v>
      </c>
    </row>
    <row r="32" customFormat="false" ht="15.75" hidden="false" customHeight="false" outlineLevel="0" collapsed="false">
      <c r="C32" s="7" t="s">
        <v>76</v>
      </c>
      <c r="D32" s="0" t="s">
        <v>136</v>
      </c>
      <c r="S32" s="7" t="s">
        <v>76</v>
      </c>
      <c r="T32" s="7" t="s">
        <v>136</v>
      </c>
      <c r="U32" s="7" t="s">
        <v>136</v>
      </c>
      <c r="V32" s="7" t="s">
        <v>136</v>
      </c>
      <c r="W32" s="7" t="s">
        <v>136</v>
      </c>
      <c r="Y32" s="7"/>
      <c r="AB32" s="7"/>
      <c r="AC32" s="7"/>
      <c r="AD32" s="7"/>
      <c r="AE32" s="7"/>
      <c r="AF32" s="7"/>
      <c r="AG32" s="7"/>
    </row>
    <row r="33" customFormat="false" ht="15.75" hidden="false" customHeight="false" outlineLevel="0" collapsed="false">
      <c r="C33" s="7" t="s">
        <v>184</v>
      </c>
      <c r="D33" s="0" t="s">
        <v>154</v>
      </c>
      <c r="S33" s="7" t="s">
        <v>184</v>
      </c>
      <c r="T33" s="7" t="s">
        <v>154</v>
      </c>
      <c r="U33" s="7" t="s">
        <v>154</v>
      </c>
      <c r="V33" s="7" t="s">
        <v>154</v>
      </c>
      <c r="W33" s="7" t="s">
        <v>154</v>
      </c>
      <c r="Y33" s="7"/>
      <c r="AA33" s="7"/>
      <c r="AB33" s="7"/>
      <c r="AC33" s="7"/>
      <c r="AD33" s="7"/>
      <c r="AE33" s="7"/>
      <c r="AF33" s="7"/>
      <c r="AG33" s="7"/>
    </row>
    <row r="34" customFormat="false" ht="15.75" hidden="false" customHeight="false" outlineLevel="0" collapsed="false">
      <c r="C34" s="7" t="s">
        <v>185</v>
      </c>
      <c r="D34" s="0" t="s">
        <v>186</v>
      </c>
      <c r="E34" s="0" t="s">
        <v>187</v>
      </c>
      <c r="S34" s="7" t="s">
        <v>185</v>
      </c>
      <c r="T34" s="39" t="s">
        <v>186</v>
      </c>
      <c r="U34" s="39" t="s">
        <v>187</v>
      </c>
      <c r="V34" s="39" t="s">
        <v>186</v>
      </c>
      <c r="W34" s="39" t="s">
        <v>187</v>
      </c>
      <c r="Y34" s="7"/>
      <c r="Z34" s="7"/>
      <c r="AA34" s="7"/>
      <c r="AD34" s="7"/>
      <c r="AE34" s="7"/>
      <c r="AF34" s="7"/>
      <c r="AG34" s="7"/>
    </row>
    <row r="35" customFormat="false" ht="15.75" hidden="false" customHeight="false" outlineLevel="0" collapsed="false">
      <c r="C35" s="7" t="s">
        <v>80</v>
      </c>
      <c r="D35" s="0" t="s">
        <v>165</v>
      </c>
      <c r="E35" s="0" t="s">
        <v>166</v>
      </c>
      <c r="S35" s="7" t="s">
        <v>80</v>
      </c>
      <c r="T35" s="7" t="s">
        <v>165</v>
      </c>
      <c r="U35" s="7" t="s">
        <v>165</v>
      </c>
      <c r="V35" s="7" t="s">
        <v>165</v>
      </c>
      <c r="W35" s="7" t="s">
        <v>165</v>
      </c>
      <c r="Y35" s="7"/>
      <c r="Z35" s="7"/>
      <c r="AA35" s="7"/>
      <c r="AB35" s="7"/>
      <c r="AC35" s="7"/>
      <c r="AD35" s="7"/>
      <c r="AE35" s="7"/>
      <c r="AF35" s="7"/>
      <c r="AG35" s="7"/>
    </row>
    <row r="36" customFormat="false" ht="15.75" hidden="false" customHeight="false" outlineLevel="0" collapsed="false">
      <c r="C36" s="7" t="s">
        <v>123</v>
      </c>
      <c r="D36" s="0" t="s">
        <v>188</v>
      </c>
      <c r="E36" s="0" t="s">
        <v>146</v>
      </c>
      <c r="F36" s="0" t="s">
        <v>189</v>
      </c>
      <c r="G36" s="0" t="s">
        <v>190</v>
      </c>
      <c r="H36" s="0" t="s">
        <v>191</v>
      </c>
      <c r="I36" s="0" t="s">
        <v>192</v>
      </c>
      <c r="J36" s="0" t="s">
        <v>193</v>
      </c>
      <c r="K36" s="0" t="s">
        <v>152</v>
      </c>
      <c r="S36" s="7" t="s">
        <v>123</v>
      </c>
      <c r="T36" s="7" t="s">
        <v>188</v>
      </c>
      <c r="U36" s="7" t="s">
        <v>188</v>
      </c>
      <c r="V36" s="7" t="s">
        <v>188</v>
      </c>
      <c r="W36" s="7" t="s">
        <v>188</v>
      </c>
      <c r="Y36" s="7"/>
      <c r="Z36" s="7"/>
      <c r="AA36" s="7"/>
      <c r="AB36" s="7"/>
      <c r="AC36" s="7"/>
      <c r="AD36" s="7"/>
      <c r="AE36" s="7"/>
      <c r="AF36" s="7"/>
      <c r="AG36" s="7"/>
    </row>
    <row r="37" customFormat="false" ht="15.75" hidden="false" customHeight="false" outlineLevel="0" collapsed="false">
      <c r="C37" s="7" t="s">
        <v>83</v>
      </c>
      <c r="D37" s="0" t="s">
        <v>167</v>
      </c>
      <c r="E37" s="0" t="s">
        <v>167</v>
      </c>
      <c r="F37" s="0" t="s">
        <v>169</v>
      </c>
      <c r="S37" s="7" t="s">
        <v>87</v>
      </c>
      <c r="T37" s="7" t="s">
        <v>136</v>
      </c>
      <c r="U37" s="7" t="s">
        <v>136</v>
      </c>
      <c r="V37" s="7" t="s">
        <v>136</v>
      </c>
      <c r="W37" s="7" t="s">
        <v>136</v>
      </c>
      <c r="Y37" s="7"/>
      <c r="Z37" s="7"/>
      <c r="AA37" s="7"/>
      <c r="AB37" s="7"/>
      <c r="AC37" s="7"/>
      <c r="AD37" s="7"/>
      <c r="AE37" s="7"/>
      <c r="AF37" s="7"/>
      <c r="AG37" s="7"/>
    </row>
    <row r="38" customFormat="false" ht="15.75" hidden="false" customHeight="false" outlineLevel="0" collapsed="false">
      <c r="C38" s="7" t="s">
        <v>194</v>
      </c>
      <c r="D38" s="0" t="s">
        <v>195</v>
      </c>
      <c r="E38" s="0" t="s">
        <v>195</v>
      </c>
      <c r="F38" s="0" t="s">
        <v>196</v>
      </c>
      <c r="S38" s="7" t="s">
        <v>197</v>
      </c>
      <c r="T38" s="7" t="s">
        <v>154</v>
      </c>
      <c r="U38" s="7" t="s">
        <v>154</v>
      </c>
      <c r="V38" s="7" t="s">
        <v>154</v>
      </c>
      <c r="W38" s="7" t="s">
        <v>154</v>
      </c>
      <c r="Y38" s="7"/>
      <c r="Z38" s="7"/>
      <c r="AA38" s="7"/>
      <c r="AB38" s="7"/>
      <c r="AC38" s="7"/>
      <c r="AD38" s="7"/>
      <c r="AE38" s="7"/>
      <c r="AF38" s="7"/>
      <c r="AG38" s="7"/>
    </row>
    <row r="39" customFormat="false" ht="15.75" hidden="false" customHeight="false" outlineLevel="0" collapsed="false">
      <c r="C39" s="7" t="s">
        <v>87</v>
      </c>
      <c r="D39" s="0" t="s">
        <v>136</v>
      </c>
      <c r="S39" s="7" t="s">
        <v>198</v>
      </c>
      <c r="T39" s="39" t="s">
        <v>186</v>
      </c>
      <c r="U39" s="39" t="s">
        <v>187</v>
      </c>
      <c r="V39" s="39" t="s">
        <v>186</v>
      </c>
      <c r="W39" s="39" t="s">
        <v>187</v>
      </c>
      <c r="Y39" s="7"/>
      <c r="Z39" s="7"/>
      <c r="AA39" s="7"/>
      <c r="AB39" s="7"/>
      <c r="AC39" s="7"/>
      <c r="AD39" s="7"/>
      <c r="AE39" s="7"/>
      <c r="AF39" s="7"/>
      <c r="AG39" s="7"/>
    </row>
    <row r="40" customFormat="false" ht="15.75" hidden="false" customHeight="false" outlineLevel="0" collapsed="false">
      <c r="C40" s="7" t="s">
        <v>197</v>
      </c>
      <c r="D40" s="0" t="s">
        <v>154</v>
      </c>
      <c r="S40" s="7" t="s">
        <v>92</v>
      </c>
      <c r="T40" s="7" t="s">
        <v>180</v>
      </c>
      <c r="U40" s="7" t="s">
        <v>180</v>
      </c>
      <c r="V40" s="7" t="s">
        <v>180</v>
      </c>
      <c r="W40" s="7" t="s">
        <v>180</v>
      </c>
    </row>
    <row r="41" customFormat="false" ht="15.75" hidden="false" customHeight="false" outlineLevel="0" collapsed="false">
      <c r="C41" s="7" t="s">
        <v>198</v>
      </c>
      <c r="D41" s="0" t="s">
        <v>186</v>
      </c>
      <c r="E41" s="0" t="s">
        <v>187</v>
      </c>
      <c r="S41" s="7" t="s">
        <v>97</v>
      </c>
      <c r="T41" s="7" t="s">
        <v>138</v>
      </c>
      <c r="U41" s="7" t="s">
        <v>138</v>
      </c>
      <c r="V41" s="7" t="s">
        <v>138</v>
      </c>
      <c r="W41" s="7" t="s">
        <v>138</v>
      </c>
    </row>
    <row r="42" customFormat="false" ht="15.75" hidden="false" customHeight="false" outlineLevel="0" collapsed="false">
      <c r="C42" s="39" t="s">
        <v>92</v>
      </c>
      <c r="D42" s="0" t="s">
        <v>180</v>
      </c>
      <c r="S42" s="7" t="s">
        <v>99</v>
      </c>
      <c r="T42" s="0" t="s">
        <v>137</v>
      </c>
      <c r="U42" s="0" t="s">
        <v>137</v>
      </c>
      <c r="V42" s="0" t="s">
        <v>137</v>
      </c>
      <c r="W42" s="0" t="s">
        <v>137</v>
      </c>
    </row>
    <row r="43" customFormat="false" ht="15.75" hidden="false" customHeight="false" outlineLevel="0" collapsed="false">
      <c r="C43" s="39" t="s">
        <v>97</v>
      </c>
      <c r="D43" s="0" t="s">
        <v>138</v>
      </c>
    </row>
    <row r="44" customFormat="false" ht="15.75" hidden="false" customHeight="false" outlineLevel="0" collapsed="false">
      <c r="C44" s="39" t="s">
        <v>99</v>
      </c>
      <c r="D44" s="0" t="s">
        <v>137</v>
      </c>
    </row>
    <row r="45" customFormat="false" ht="15.75" hidden="false" customHeight="false" outlineLevel="0" collapsed="false">
      <c r="C45" s="7"/>
      <c r="T45" s="0" t="s">
        <v>125</v>
      </c>
      <c r="U45" s="0" t="s">
        <v>95</v>
      </c>
    </row>
    <row r="46" customFormat="false" ht="15.75" hidden="false" customHeight="false" outlineLevel="0" collapsed="false">
      <c r="C46" s="37" t="s">
        <v>104</v>
      </c>
      <c r="P46" s="7" t="s">
        <v>83</v>
      </c>
      <c r="S46" s="7" t="s">
        <v>127</v>
      </c>
      <c r="T46" s="0" t="s">
        <v>167</v>
      </c>
      <c r="U46" s="0" t="s">
        <v>169</v>
      </c>
      <c r="V46" s="7" t="s">
        <v>117</v>
      </c>
      <c r="W46" s="0" t="s">
        <v>182</v>
      </c>
    </row>
    <row r="47" customFormat="false" ht="15.75" hidden="false" customHeight="false" outlineLevel="0" collapsed="false">
      <c r="C47" s="39" t="s">
        <v>63</v>
      </c>
      <c r="D47" s="0" t="s">
        <v>178</v>
      </c>
      <c r="S47" s="7" t="s">
        <v>199</v>
      </c>
      <c r="T47" s="0" t="s">
        <v>200</v>
      </c>
      <c r="U47" s="0" t="s">
        <v>169</v>
      </c>
      <c r="V47" s="7" t="s">
        <v>201</v>
      </c>
      <c r="W47" s="0" t="s">
        <v>183</v>
      </c>
    </row>
    <row r="48" customFormat="false" ht="15.75" hidden="false" customHeight="false" outlineLevel="0" collapsed="false">
      <c r="C48" s="39" t="s">
        <v>68</v>
      </c>
      <c r="D48" s="0" t="s">
        <v>179</v>
      </c>
      <c r="P48" s="7" t="s">
        <v>143</v>
      </c>
      <c r="S48" s="7" t="s">
        <v>202</v>
      </c>
      <c r="T48" s="0" t="s">
        <v>195</v>
      </c>
      <c r="U48" s="0" t="s">
        <v>170</v>
      </c>
    </row>
    <row r="49" customFormat="false" ht="15.75" hidden="false" customHeight="false" outlineLevel="0" collapsed="false">
      <c r="C49" s="40" t="s">
        <v>73</v>
      </c>
      <c r="D49" s="0" t="s">
        <v>182</v>
      </c>
      <c r="E49" s="0" t="s">
        <v>183</v>
      </c>
      <c r="P49" s="7" t="s">
        <v>150</v>
      </c>
      <c r="S49" s="7" t="s">
        <v>129</v>
      </c>
      <c r="T49" s="0" t="s">
        <v>203</v>
      </c>
      <c r="U49" s="0" t="s">
        <v>170</v>
      </c>
    </row>
    <row r="50" customFormat="false" ht="15.75" hidden="false" customHeight="false" outlineLevel="0" collapsed="false">
      <c r="C50" s="39" t="s">
        <v>76</v>
      </c>
      <c r="D50" s="0" t="s">
        <v>142</v>
      </c>
    </row>
    <row r="51" customFormat="false" ht="15.75" hidden="false" customHeight="false" outlineLevel="0" collapsed="false">
      <c r="C51" s="7" t="s">
        <v>184</v>
      </c>
      <c r="D51" s="0" t="s">
        <v>154</v>
      </c>
      <c r="T51" s="7" t="s">
        <v>164</v>
      </c>
      <c r="U51" s="7" t="s">
        <v>90</v>
      </c>
    </row>
    <row r="52" customFormat="false" ht="15.75" hidden="false" customHeight="false" outlineLevel="0" collapsed="false">
      <c r="C52" s="7" t="s">
        <v>185</v>
      </c>
      <c r="D52" s="0" t="s">
        <v>186</v>
      </c>
      <c r="E52" s="0" t="s">
        <v>187</v>
      </c>
      <c r="S52" s="7" t="s">
        <v>122</v>
      </c>
      <c r="T52" s="0" t="s">
        <v>165</v>
      </c>
      <c r="U52" s="0" t="s">
        <v>166</v>
      </c>
      <c r="V52" s="7" t="s">
        <v>204</v>
      </c>
      <c r="W52" s="0" t="s">
        <v>136</v>
      </c>
    </row>
    <row r="53" customFormat="false" ht="15.75" hidden="false" customHeight="false" outlineLevel="0" collapsed="false">
      <c r="C53" s="40" t="s">
        <v>80</v>
      </c>
      <c r="D53" s="0" t="s">
        <v>145</v>
      </c>
      <c r="S53" s="7" t="s">
        <v>205</v>
      </c>
      <c r="T53" s="0" t="s">
        <v>188</v>
      </c>
      <c r="U53" s="0" t="s">
        <v>188</v>
      </c>
      <c r="V53" s="7" t="s">
        <v>206</v>
      </c>
      <c r="W53" s="0" t="s">
        <v>154</v>
      </c>
    </row>
    <row r="54" customFormat="false" ht="15.75" hidden="false" customHeight="false" outlineLevel="0" collapsed="false">
      <c r="C54" s="40" t="s">
        <v>123</v>
      </c>
      <c r="D54" s="0" t="s">
        <v>188</v>
      </c>
      <c r="E54" s="0" t="s">
        <v>139</v>
      </c>
      <c r="F54" s="0" t="s">
        <v>191</v>
      </c>
      <c r="G54" s="0" t="s">
        <v>152</v>
      </c>
      <c r="S54" s="7" t="s">
        <v>207</v>
      </c>
      <c r="T54" s="0" t="s">
        <v>146</v>
      </c>
      <c r="U54" s="0" t="s">
        <v>146</v>
      </c>
      <c r="V54" s="7" t="s">
        <v>208</v>
      </c>
      <c r="W54" s="0" t="s">
        <v>186</v>
      </c>
    </row>
    <row r="55" customFormat="false" ht="15.75" hidden="false" customHeight="false" outlineLevel="0" collapsed="false">
      <c r="C55" s="40" t="s">
        <v>83</v>
      </c>
      <c r="D55" s="0" t="s">
        <v>143</v>
      </c>
      <c r="S55" s="7" t="s">
        <v>209</v>
      </c>
      <c r="T55" s="0" t="s">
        <v>189</v>
      </c>
      <c r="U55" s="0" t="s">
        <v>189</v>
      </c>
      <c r="V55" s="7" t="s">
        <v>120</v>
      </c>
      <c r="W55" s="0" t="s">
        <v>187</v>
      </c>
    </row>
    <row r="56" customFormat="false" ht="15.75" hidden="false" customHeight="false" outlineLevel="0" collapsed="false">
      <c r="C56" s="40" t="s">
        <v>194</v>
      </c>
      <c r="D56" s="0" t="s">
        <v>195</v>
      </c>
      <c r="E56" s="0" t="s">
        <v>203</v>
      </c>
      <c r="S56" s="7" t="s">
        <v>210</v>
      </c>
      <c r="T56" s="0" t="s">
        <v>190</v>
      </c>
      <c r="U56" s="0" t="s">
        <v>190</v>
      </c>
    </row>
    <row r="57" customFormat="false" ht="15.75" hidden="false" customHeight="false" outlineLevel="0" collapsed="false">
      <c r="C57" s="39" t="s">
        <v>87</v>
      </c>
      <c r="D57" s="0" t="s">
        <v>142</v>
      </c>
      <c r="S57" s="7" t="s">
        <v>124</v>
      </c>
      <c r="T57" s="0" t="s">
        <v>191</v>
      </c>
      <c r="U57" s="0" t="s">
        <v>191</v>
      </c>
    </row>
    <row r="58" customFormat="false" ht="15.75" hidden="false" customHeight="false" outlineLevel="0" collapsed="false">
      <c r="C58" s="7" t="s">
        <v>197</v>
      </c>
      <c r="D58" s="0" t="s">
        <v>154</v>
      </c>
      <c r="S58" s="7" t="s">
        <v>211</v>
      </c>
      <c r="T58" s="0" t="s">
        <v>192</v>
      </c>
      <c r="U58" s="0" t="s">
        <v>192</v>
      </c>
    </row>
    <row r="59" customFormat="false" ht="15.75" hidden="false" customHeight="false" outlineLevel="0" collapsed="false">
      <c r="C59" s="7" t="s">
        <v>198</v>
      </c>
      <c r="D59" s="0" t="s">
        <v>186</v>
      </c>
      <c r="E59" s="0" t="s">
        <v>187</v>
      </c>
      <c r="S59" s="7" t="s">
        <v>212</v>
      </c>
      <c r="T59" s="0" t="s">
        <v>193</v>
      </c>
      <c r="U59" s="0" t="s">
        <v>193</v>
      </c>
    </row>
    <row r="60" customFormat="false" ht="15.75" hidden="false" customHeight="false" outlineLevel="0" collapsed="false">
      <c r="C60" s="39" t="s">
        <v>92</v>
      </c>
      <c r="D60" s="0" t="s">
        <v>181</v>
      </c>
      <c r="S60" s="7" t="s">
        <v>213</v>
      </c>
      <c r="T60" s="0" t="s">
        <v>152</v>
      </c>
      <c r="U60" s="0" t="s">
        <v>152</v>
      </c>
    </row>
    <row r="61" customFormat="false" ht="15.75" hidden="false" customHeight="false" outlineLevel="0" collapsed="false">
      <c r="C61" s="39" t="s">
        <v>97</v>
      </c>
      <c r="D61" s="0" t="s">
        <v>138</v>
      </c>
    </row>
    <row r="62" customFormat="false" ht="15.75" hidden="false" customHeight="false" outlineLevel="0" collapsed="false">
      <c r="C62" s="39" t="s">
        <v>99</v>
      </c>
      <c r="D62" s="0" t="s">
        <v>137</v>
      </c>
      <c r="S62" s="7" t="s">
        <v>214</v>
      </c>
      <c r="T62" s="0" t="s">
        <v>136</v>
      </c>
    </row>
    <row r="63" customFormat="false" ht="15.75" hidden="false" customHeight="false" outlineLevel="0" collapsed="false">
      <c r="S63" s="7" t="s">
        <v>215</v>
      </c>
      <c r="T63" s="0" t="s">
        <v>154</v>
      </c>
    </row>
    <row r="64" customFormat="false" ht="15.75" hidden="false" customHeight="false" outlineLevel="0" collapsed="false">
      <c r="C64" s="37" t="s">
        <v>26</v>
      </c>
      <c r="S64" s="7" t="s">
        <v>216</v>
      </c>
      <c r="T64" s="0" t="s">
        <v>186</v>
      </c>
    </row>
    <row r="65" customFormat="false" ht="15.75" hidden="false" customHeight="false" outlineLevel="0" collapsed="false">
      <c r="C65" s="7" t="s">
        <v>63</v>
      </c>
      <c r="D65" s="0" t="s">
        <v>178</v>
      </c>
      <c r="S65" s="7" t="s">
        <v>121</v>
      </c>
      <c r="T65" s="0" t="s">
        <v>187</v>
      </c>
    </row>
    <row r="66" customFormat="false" ht="15.75" hidden="false" customHeight="false" outlineLevel="0" collapsed="false">
      <c r="C66" s="7" t="s">
        <v>68</v>
      </c>
      <c r="D66" s="0" t="s">
        <v>179</v>
      </c>
    </row>
    <row r="67" customFormat="false" ht="15.75" hidden="false" customHeight="false" outlineLevel="0" collapsed="false">
      <c r="C67" s="7" t="s">
        <v>73</v>
      </c>
      <c r="D67" s="0" t="s">
        <v>182</v>
      </c>
      <c r="E67" s="0" t="s">
        <v>183</v>
      </c>
      <c r="S67" s="37" t="s">
        <v>104</v>
      </c>
    </row>
    <row r="68" customFormat="false" ht="15.75" hidden="false" customHeight="false" outlineLevel="0" collapsed="false">
      <c r="C68" s="7" t="s">
        <v>76</v>
      </c>
      <c r="D68" s="0" t="s">
        <v>149</v>
      </c>
    </row>
    <row r="69" customFormat="false" ht="15.75" hidden="false" customHeight="false" outlineLevel="0" collapsed="false">
      <c r="C69" s="7" t="s">
        <v>184</v>
      </c>
      <c r="D69" s="0" t="s">
        <v>155</v>
      </c>
      <c r="E69" s="0" t="s">
        <v>154</v>
      </c>
      <c r="S69" s="7" t="s">
        <v>202</v>
      </c>
      <c r="T69" s="0" t="s">
        <v>195</v>
      </c>
      <c r="U69" s="7" t="s">
        <v>117</v>
      </c>
      <c r="V69" s="0" t="s">
        <v>182</v>
      </c>
    </row>
    <row r="70" customFormat="false" ht="15.75" hidden="false" customHeight="false" outlineLevel="0" collapsed="false">
      <c r="C70" s="7" t="s">
        <v>185</v>
      </c>
      <c r="D70" s="0" t="s">
        <v>186</v>
      </c>
      <c r="E70" s="0" t="s">
        <v>187</v>
      </c>
      <c r="S70" s="7" t="s">
        <v>129</v>
      </c>
      <c r="T70" s="0" t="s">
        <v>203</v>
      </c>
      <c r="U70" s="7" t="s">
        <v>201</v>
      </c>
      <c r="V70" s="0" t="s">
        <v>183</v>
      </c>
    </row>
    <row r="71" customFormat="false" ht="15.75" hidden="false" customHeight="false" outlineLevel="0" collapsed="false">
      <c r="C71" s="7" t="s">
        <v>80</v>
      </c>
      <c r="D71" s="0" t="s">
        <v>217</v>
      </c>
      <c r="E71" s="0" t="s">
        <v>151</v>
      </c>
      <c r="F71" s="0" t="s">
        <v>218</v>
      </c>
    </row>
    <row r="72" customFormat="false" ht="15.75" hidden="false" customHeight="false" outlineLevel="0" collapsed="false">
      <c r="C72" s="7" t="s">
        <v>123</v>
      </c>
      <c r="D72" s="0" t="s">
        <v>219</v>
      </c>
      <c r="E72" s="0" t="s">
        <v>190</v>
      </c>
      <c r="F72" s="0" t="s">
        <v>191</v>
      </c>
      <c r="G72" s="0" t="s">
        <v>192</v>
      </c>
      <c r="H72" s="0" t="s">
        <v>152</v>
      </c>
      <c r="S72" s="7" t="s">
        <v>122</v>
      </c>
      <c r="T72" s="0" t="s">
        <v>145</v>
      </c>
    </row>
    <row r="73" customFormat="false" ht="15.75" hidden="false" customHeight="false" outlineLevel="0" collapsed="false">
      <c r="C73" s="7" t="s">
        <v>83</v>
      </c>
      <c r="D73" s="0" t="s">
        <v>150</v>
      </c>
      <c r="S73" s="7" t="s">
        <v>205</v>
      </c>
      <c r="T73" s="0" t="s">
        <v>188</v>
      </c>
      <c r="U73" s="7"/>
    </row>
    <row r="74" customFormat="false" ht="15.75" hidden="false" customHeight="false" outlineLevel="0" collapsed="false">
      <c r="C74" s="7" t="s">
        <v>194</v>
      </c>
      <c r="D74" s="0" t="s">
        <v>195</v>
      </c>
      <c r="E74" s="0" t="s">
        <v>203</v>
      </c>
      <c r="S74" s="7" t="s">
        <v>207</v>
      </c>
      <c r="T74" s="0" t="s">
        <v>139</v>
      </c>
      <c r="U74" s="7"/>
    </row>
    <row r="75" customFormat="false" ht="15.75" hidden="false" customHeight="false" outlineLevel="0" collapsed="false">
      <c r="C75" s="7" t="s">
        <v>87</v>
      </c>
      <c r="D75" s="0" t="s">
        <v>149</v>
      </c>
      <c r="S75" s="7" t="s">
        <v>209</v>
      </c>
      <c r="T75" s="0" t="s">
        <v>191</v>
      </c>
      <c r="U75" s="7" t="s">
        <v>208</v>
      </c>
      <c r="V75" s="0" t="s">
        <v>186</v>
      </c>
    </row>
    <row r="76" customFormat="false" ht="15.75" hidden="false" customHeight="false" outlineLevel="0" collapsed="false">
      <c r="C76" s="7" t="s">
        <v>197</v>
      </c>
      <c r="D76" s="0" t="s">
        <v>148</v>
      </c>
      <c r="E76" s="0" t="s">
        <v>155</v>
      </c>
      <c r="S76" s="7" t="s">
        <v>210</v>
      </c>
      <c r="T76" s="0" t="s">
        <v>152</v>
      </c>
      <c r="U76" s="7" t="s">
        <v>120</v>
      </c>
      <c r="V76" s="0" t="s">
        <v>187</v>
      </c>
    </row>
    <row r="77" customFormat="false" ht="15.75" hidden="false" customHeight="false" outlineLevel="0" collapsed="false">
      <c r="C77" s="7" t="s">
        <v>198</v>
      </c>
      <c r="D77" s="0" t="s">
        <v>186</v>
      </c>
      <c r="E77" s="0" t="s">
        <v>187</v>
      </c>
      <c r="S77" s="7"/>
    </row>
    <row r="78" customFormat="false" ht="15.75" hidden="false" customHeight="false" outlineLevel="0" collapsed="false">
      <c r="C78" s="7" t="s">
        <v>92</v>
      </c>
      <c r="D78" s="0" t="s">
        <v>181</v>
      </c>
      <c r="S78" s="7" t="s">
        <v>216</v>
      </c>
      <c r="T78" s="0" t="s">
        <v>186</v>
      </c>
    </row>
    <row r="79" customFormat="false" ht="15.75" hidden="false" customHeight="false" outlineLevel="0" collapsed="false">
      <c r="C79" s="7" t="s">
        <v>97</v>
      </c>
      <c r="D79" s="0" t="s">
        <v>138</v>
      </c>
      <c r="S79" s="7" t="s">
        <v>121</v>
      </c>
      <c r="T79" s="0" t="s">
        <v>187</v>
      </c>
    </row>
    <row r="80" customFormat="false" ht="15.75" hidden="false" customHeight="false" outlineLevel="0" collapsed="false">
      <c r="C80" s="7" t="s">
        <v>99</v>
      </c>
      <c r="D80" s="0" t="s">
        <v>137</v>
      </c>
    </row>
    <row r="81" customFormat="false" ht="15.75" hidden="false" customHeight="false" outlineLevel="0" collapsed="false">
      <c r="S81" s="37" t="s">
        <v>26</v>
      </c>
    </row>
    <row r="83" customFormat="false" ht="15.75" hidden="false" customHeight="false" outlineLevel="0" collapsed="false">
      <c r="S83" s="7" t="s">
        <v>202</v>
      </c>
      <c r="T83" s="0" t="s">
        <v>195</v>
      </c>
    </row>
    <row r="84" customFormat="false" ht="15.75" hidden="false" customHeight="false" outlineLevel="0" collapsed="false">
      <c r="S84" s="7" t="s">
        <v>129</v>
      </c>
      <c r="T84" s="0" t="s">
        <v>203</v>
      </c>
      <c r="U84" s="7" t="s">
        <v>117</v>
      </c>
      <c r="V84" s="0" t="s">
        <v>182</v>
      </c>
    </row>
    <row r="85" customFormat="false" ht="15.75" hidden="false" customHeight="false" outlineLevel="0" collapsed="false">
      <c r="U85" s="7" t="s">
        <v>201</v>
      </c>
      <c r="V85" s="0" t="s">
        <v>183</v>
      </c>
    </row>
    <row r="86" customFormat="false" ht="15.75" hidden="false" customHeight="false" outlineLevel="0" collapsed="false">
      <c r="T86" s="7"/>
    </row>
    <row r="87" customFormat="false" ht="15.75" hidden="false" customHeight="false" outlineLevel="0" collapsed="false">
      <c r="N87" s="7" t="s">
        <v>122</v>
      </c>
      <c r="O87" s="0" t="s">
        <v>165</v>
      </c>
      <c r="P87" s="0" t="s">
        <v>166</v>
      </c>
      <c r="S87" s="7" t="s">
        <v>122</v>
      </c>
      <c r="T87" s="0" t="s">
        <v>217</v>
      </c>
    </row>
    <row r="88" customFormat="false" ht="15.75" hidden="false" customHeight="false" outlineLevel="0" collapsed="false">
      <c r="N88" s="7" t="s">
        <v>122</v>
      </c>
      <c r="O88" s="0" t="s">
        <v>145</v>
      </c>
      <c r="S88" s="7" t="s">
        <v>220</v>
      </c>
      <c r="T88" s="0" t="s">
        <v>151</v>
      </c>
    </row>
    <row r="89" customFormat="false" ht="15.75" hidden="false" customHeight="false" outlineLevel="0" collapsed="false">
      <c r="S89" s="7" t="s">
        <v>221</v>
      </c>
      <c r="T89" s="0" t="s">
        <v>218</v>
      </c>
      <c r="U89" s="7"/>
    </row>
    <row r="90" customFormat="false" ht="15.75" hidden="false" customHeight="false" outlineLevel="0" collapsed="false">
      <c r="S90" s="7" t="s">
        <v>205</v>
      </c>
      <c r="T90" s="0" t="s">
        <v>219</v>
      </c>
      <c r="U90" s="7"/>
    </row>
    <row r="91" customFormat="false" ht="15.75" hidden="false" customHeight="false" outlineLevel="0" collapsed="false">
      <c r="S91" s="7" t="s">
        <v>207</v>
      </c>
      <c r="T91" s="0" t="s">
        <v>190</v>
      </c>
      <c r="U91" s="7" t="s">
        <v>208</v>
      </c>
      <c r="V91" s="0" t="s">
        <v>186</v>
      </c>
    </row>
    <row r="92" customFormat="false" ht="15.75" hidden="false" customHeight="false" outlineLevel="0" collapsed="false">
      <c r="S92" s="7" t="s">
        <v>209</v>
      </c>
      <c r="T92" s="0" t="s">
        <v>191</v>
      </c>
      <c r="U92" s="7" t="s">
        <v>120</v>
      </c>
      <c r="V92" s="0" t="s">
        <v>187</v>
      </c>
    </row>
    <row r="93" customFormat="false" ht="15.75" hidden="false" customHeight="false" outlineLevel="0" collapsed="false">
      <c r="S93" s="7" t="s">
        <v>210</v>
      </c>
      <c r="T93" s="0" t="s">
        <v>192</v>
      </c>
    </row>
    <row r="94" customFormat="false" ht="15.75" hidden="false" customHeight="false" outlineLevel="0" collapsed="false">
      <c r="S94" s="7" t="s">
        <v>124</v>
      </c>
      <c r="T94" s="0" t="s">
        <v>152</v>
      </c>
    </row>
    <row r="96" customFormat="false" ht="15.75" hidden="false" customHeight="false" outlineLevel="0" collapsed="false">
      <c r="S96" s="7" t="s">
        <v>216</v>
      </c>
      <c r="T96" s="0" t="s">
        <v>186</v>
      </c>
    </row>
    <row r="97" customFormat="false" ht="15.75" hidden="false" customHeight="false" outlineLevel="0" collapsed="false">
      <c r="S97" s="7" t="s">
        <v>121</v>
      </c>
      <c r="T97" s="0" t="s">
        <v>187</v>
      </c>
    </row>
  </sheetData>
  <mergeCells count="4">
    <mergeCell ref="C2:D2"/>
    <mergeCell ref="E3:G3"/>
    <mergeCell ref="I3:R3"/>
    <mergeCell ref="C26:D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1048576"/>
  <sheetViews>
    <sheetView showFormulas="false" showGridLines="true" showRowColHeaders="true" showZeros="true" rightToLeft="false" tabSelected="true" showOutlineSymbols="true" defaultGridColor="true" view="normal" topLeftCell="B34" colorId="64" zoomScale="100" zoomScaleNormal="100" zoomScalePageLayoutView="100" workbookViewId="0">
      <selection pane="topLeft" activeCell="E48" activeCellId="0" sqref="E48"/>
    </sheetView>
  </sheetViews>
  <sheetFormatPr defaultColWidth="8.90234375" defaultRowHeight="15" zeroHeight="false" outlineLevelRow="0" outlineLevelCol="0"/>
  <cols>
    <col collapsed="false" customWidth="true" hidden="false" outlineLevel="0" max="3" min="3" style="0" width="20.42"/>
    <col collapsed="false" customWidth="true" hidden="false" outlineLevel="0" max="6" min="6" style="0" width="36.42"/>
  </cols>
  <sheetData>
    <row r="3" customFormat="false" ht="15" hidden="false" customHeight="false" outlineLevel="0" collapsed="false">
      <c r="C3" s="41" t="s">
        <v>222</v>
      </c>
      <c r="D3" s="41" t="s">
        <v>223</v>
      </c>
      <c r="E3" s="41" t="s">
        <v>224</v>
      </c>
      <c r="F3" s="41" t="s">
        <v>225</v>
      </c>
    </row>
    <row r="4" customFormat="false" ht="15.75" hidden="false" customHeight="false" outlineLevel="0" collapsed="false">
      <c r="C4" s="42" t="s">
        <v>226</v>
      </c>
      <c r="D4" s="42" t="s">
        <v>227</v>
      </c>
      <c r="E4" s="42" t="n">
        <v>1</v>
      </c>
      <c r="F4" s="43" t="s">
        <v>113</v>
      </c>
    </row>
    <row r="5" customFormat="false" ht="15.75" hidden="false" customHeight="false" outlineLevel="0" collapsed="false">
      <c r="C5" s="42" t="s">
        <v>226</v>
      </c>
      <c r="D5" s="42" t="s">
        <v>227</v>
      </c>
      <c r="E5" s="42" t="n">
        <v>2</v>
      </c>
      <c r="F5" s="43" t="s">
        <v>104</v>
      </c>
    </row>
    <row r="6" customFormat="false" ht="15.75" hidden="false" customHeight="false" outlineLevel="0" collapsed="false">
      <c r="C6" s="42" t="s">
        <v>226</v>
      </c>
      <c r="D6" s="42" t="s">
        <v>227</v>
      </c>
      <c r="E6" s="42" t="n">
        <v>3</v>
      </c>
      <c r="F6" s="43" t="s">
        <v>26</v>
      </c>
    </row>
    <row r="7" customFormat="false" ht="15.75" hidden="false" customHeight="false" outlineLevel="0" collapsed="false">
      <c r="C7" s="44" t="s">
        <v>226</v>
      </c>
      <c r="D7" s="44" t="s">
        <v>228</v>
      </c>
      <c r="E7" s="44" t="n">
        <v>1</v>
      </c>
      <c r="F7" s="45" t="s">
        <v>116</v>
      </c>
    </row>
    <row r="8" customFormat="false" ht="15.75" hidden="false" customHeight="false" outlineLevel="0" collapsed="false">
      <c r="C8" s="44" t="s">
        <v>226</v>
      </c>
      <c r="D8" s="44" t="s">
        <v>228</v>
      </c>
      <c r="E8" s="44" t="n">
        <v>2</v>
      </c>
      <c r="F8" s="45" t="s">
        <v>62</v>
      </c>
    </row>
    <row r="9" customFormat="false" ht="15.75" hidden="false" customHeight="false" outlineLevel="0" collapsed="false">
      <c r="C9" s="42" t="s">
        <v>229</v>
      </c>
      <c r="D9" s="42" t="s">
        <v>230</v>
      </c>
      <c r="E9" s="42" t="n">
        <v>1</v>
      </c>
      <c r="F9" s="43" t="s">
        <v>132</v>
      </c>
    </row>
    <row r="10" customFormat="false" ht="15.75" hidden="false" customHeight="false" outlineLevel="0" collapsed="false">
      <c r="C10" s="42" t="s">
        <v>229</v>
      </c>
      <c r="D10" s="42" t="s">
        <v>230</v>
      </c>
      <c r="E10" s="42" t="n">
        <v>2</v>
      </c>
      <c r="F10" s="43" t="s">
        <v>67</v>
      </c>
    </row>
    <row r="11" customFormat="false" ht="15.75" hidden="false" customHeight="false" outlineLevel="0" collapsed="false">
      <c r="C11" s="44" t="s">
        <v>226</v>
      </c>
      <c r="D11" s="44" t="s">
        <v>231</v>
      </c>
      <c r="E11" s="44" t="n">
        <v>1</v>
      </c>
      <c r="F11" s="45" t="s">
        <v>118</v>
      </c>
    </row>
    <row r="12" customFormat="false" ht="15.75" hidden="false" customHeight="false" outlineLevel="0" collapsed="false">
      <c r="C12" s="44" t="s">
        <v>226</v>
      </c>
      <c r="D12" s="44" t="s">
        <v>231</v>
      </c>
      <c r="E12" s="44" t="n">
        <v>2</v>
      </c>
      <c r="F12" s="45" t="s">
        <v>72</v>
      </c>
    </row>
    <row r="13" customFormat="false" ht="15.75" hidden="false" customHeight="false" outlineLevel="0" collapsed="false">
      <c r="C13" s="42" t="s">
        <v>229</v>
      </c>
      <c r="D13" s="42" t="s">
        <v>232</v>
      </c>
      <c r="E13" s="42" t="n">
        <v>1</v>
      </c>
      <c r="F13" s="43" t="s">
        <v>118</v>
      </c>
    </row>
    <row r="14" customFormat="false" ht="15.75" hidden="false" customHeight="false" outlineLevel="0" collapsed="false">
      <c r="C14" s="42" t="s">
        <v>229</v>
      </c>
      <c r="D14" s="42" t="s">
        <v>232</v>
      </c>
      <c r="E14" s="42" t="n">
        <v>2</v>
      </c>
      <c r="F14" s="43" t="s">
        <v>72</v>
      </c>
    </row>
    <row r="15" customFormat="false" ht="15.75" hidden="false" customHeight="false" outlineLevel="0" collapsed="false">
      <c r="C15" s="44" t="s">
        <v>226</v>
      </c>
      <c r="D15" s="44" t="s">
        <v>233</v>
      </c>
      <c r="E15" s="44" t="n">
        <v>1</v>
      </c>
      <c r="F15" s="45" t="s">
        <v>158</v>
      </c>
    </row>
    <row r="16" customFormat="false" ht="15.75" hidden="false" customHeight="false" outlineLevel="0" collapsed="false">
      <c r="C16" s="44" t="s">
        <v>226</v>
      </c>
      <c r="D16" s="44" t="s">
        <v>233</v>
      </c>
      <c r="E16" s="44" t="n">
        <v>2</v>
      </c>
      <c r="F16" s="45" t="s">
        <v>79</v>
      </c>
    </row>
    <row r="17" customFormat="false" ht="15.75" hidden="false" customHeight="false" outlineLevel="0" collapsed="false">
      <c r="C17" s="42" t="s">
        <v>229</v>
      </c>
      <c r="D17" s="42" t="s">
        <v>234</v>
      </c>
      <c r="E17" s="42" t="n">
        <v>1</v>
      </c>
      <c r="F17" s="43" t="s">
        <v>158</v>
      </c>
    </row>
    <row r="18" customFormat="false" ht="15.75" hidden="false" customHeight="false" outlineLevel="0" collapsed="false">
      <c r="C18" s="42" t="s">
        <v>229</v>
      </c>
      <c r="D18" s="42" t="s">
        <v>234</v>
      </c>
      <c r="E18" s="42" t="n">
        <v>2</v>
      </c>
      <c r="F18" s="43" t="s">
        <v>79</v>
      </c>
      <c r="G18" s="46"/>
    </row>
    <row r="19" customFormat="false" ht="15.75" hidden="false" customHeight="false" outlineLevel="0" collapsed="false">
      <c r="C19" s="44" t="s">
        <v>229</v>
      </c>
      <c r="D19" s="44" t="s">
        <v>235</v>
      </c>
      <c r="E19" s="44" t="n">
        <v>1</v>
      </c>
      <c r="F19" s="45" t="s">
        <v>86</v>
      </c>
    </row>
    <row r="20" customFormat="false" ht="15.75" hidden="false" customHeight="false" outlineLevel="0" collapsed="false">
      <c r="C20" s="44" t="s">
        <v>229</v>
      </c>
      <c r="D20" s="44" t="s">
        <v>236</v>
      </c>
      <c r="E20" s="44" t="n">
        <v>1</v>
      </c>
      <c r="F20" s="45" t="s">
        <v>164</v>
      </c>
    </row>
    <row r="21" customFormat="false" ht="15.75" hidden="false" customHeight="false" outlineLevel="0" collapsed="false">
      <c r="C21" s="42" t="s">
        <v>226</v>
      </c>
      <c r="D21" s="42" t="s">
        <v>236</v>
      </c>
      <c r="E21" s="42" t="n">
        <v>2</v>
      </c>
      <c r="F21" s="43" t="s">
        <v>90</v>
      </c>
    </row>
    <row r="22" customFormat="false" ht="15.75" hidden="false" customHeight="false" outlineLevel="0" collapsed="false">
      <c r="C22" s="44" t="s">
        <v>226</v>
      </c>
      <c r="D22" s="44" t="s">
        <v>237</v>
      </c>
      <c r="E22" s="44" t="n">
        <v>1</v>
      </c>
      <c r="F22" s="45" t="s">
        <v>125</v>
      </c>
    </row>
    <row r="23" customFormat="false" ht="15.75" hidden="false" customHeight="false" outlineLevel="0" collapsed="false">
      <c r="C23" s="44" t="s">
        <v>226</v>
      </c>
      <c r="D23" s="44" t="s">
        <v>237</v>
      </c>
      <c r="E23" s="44" t="n">
        <v>2</v>
      </c>
      <c r="F23" s="45" t="s">
        <v>95</v>
      </c>
    </row>
    <row r="24" customFormat="false" ht="15.75" hidden="false" customHeight="false" outlineLevel="0" collapsed="false">
      <c r="C24" s="42" t="s">
        <v>226</v>
      </c>
      <c r="D24" s="42" t="s">
        <v>238</v>
      </c>
      <c r="E24" s="42" t="n">
        <v>1</v>
      </c>
      <c r="F24" s="43" t="s">
        <v>172</v>
      </c>
    </row>
    <row r="25" customFormat="false" ht="15.75" hidden="false" customHeight="false" outlineLevel="0" collapsed="false">
      <c r="C25" s="42" t="s">
        <v>226</v>
      </c>
      <c r="D25" s="42" t="s">
        <v>238</v>
      </c>
      <c r="E25" s="42" t="n">
        <v>2</v>
      </c>
      <c r="F25" s="43" t="s">
        <v>100</v>
      </c>
    </row>
    <row r="28" customFormat="false" ht="15" hidden="false" customHeight="false" outlineLevel="0" collapsed="false">
      <c r="C28" s="41" t="s">
        <v>222</v>
      </c>
      <c r="D28" s="41" t="s">
        <v>223</v>
      </c>
      <c r="E28" s="41" t="s">
        <v>224</v>
      </c>
      <c r="F28" s="41" t="s">
        <v>225</v>
      </c>
    </row>
    <row r="29" customFormat="false" ht="15" hidden="false" customHeight="false" outlineLevel="0" collapsed="false">
      <c r="C29" s="47" t="s">
        <v>226</v>
      </c>
      <c r="D29" s="48" t="s">
        <v>239</v>
      </c>
      <c r="E29" s="18" t="n">
        <v>1</v>
      </c>
      <c r="F29" s="18" t="s">
        <v>113</v>
      </c>
    </row>
    <row r="30" customFormat="false" ht="15" hidden="false" customHeight="false" outlineLevel="0" collapsed="false">
      <c r="C30" s="47" t="s">
        <v>226</v>
      </c>
      <c r="D30" s="48" t="s">
        <v>239</v>
      </c>
      <c r="E30" s="18" t="n">
        <v>2</v>
      </c>
      <c r="F30" s="18" t="s">
        <v>104</v>
      </c>
    </row>
    <row r="31" customFormat="false" ht="15" hidden="false" customHeight="false" outlineLevel="0" collapsed="false">
      <c r="C31" s="47" t="s">
        <v>226</v>
      </c>
      <c r="D31" s="48" t="s">
        <v>239</v>
      </c>
      <c r="E31" s="18" t="n">
        <v>3</v>
      </c>
      <c r="F31" s="18" t="s">
        <v>26</v>
      </c>
    </row>
    <row r="32" customFormat="false" ht="15" hidden="false" customHeight="false" outlineLevel="0" collapsed="false">
      <c r="C32" s="0" t="s">
        <v>226</v>
      </c>
      <c r="D32" s="49" t="s">
        <v>240</v>
      </c>
      <c r="E32" s="50" t="n">
        <v>1</v>
      </c>
      <c r="F32" s="50" t="s">
        <v>116</v>
      </c>
    </row>
    <row r="33" customFormat="false" ht="15" hidden="false" customHeight="false" outlineLevel="0" collapsed="false">
      <c r="C33" s="0" t="s">
        <v>226</v>
      </c>
      <c r="D33" s="49" t="s">
        <v>240</v>
      </c>
      <c r="E33" s="18" t="n">
        <v>2</v>
      </c>
      <c r="F33" s="18" t="s">
        <v>62</v>
      </c>
    </row>
    <row r="34" customFormat="false" ht="15" hidden="false" customHeight="false" outlineLevel="0" collapsed="false">
      <c r="C34" s="47" t="s">
        <v>241</v>
      </c>
      <c r="D34" s="48" t="s">
        <v>242</v>
      </c>
      <c r="E34" s="47" t="n">
        <v>1</v>
      </c>
      <c r="F34" s="47" t="s">
        <v>117</v>
      </c>
    </row>
    <row r="35" customFormat="false" ht="15" hidden="false" customHeight="false" outlineLevel="0" collapsed="false">
      <c r="C35" s="47" t="s">
        <v>241</v>
      </c>
      <c r="D35" s="48" t="s">
        <v>242</v>
      </c>
      <c r="E35" s="47" t="n">
        <v>2</v>
      </c>
      <c r="F35" s="47" t="s">
        <v>201</v>
      </c>
    </row>
    <row r="36" customFormat="false" ht="15" hidden="false" customHeight="false" outlineLevel="0" collapsed="false">
      <c r="C36" s="0" t="s">
        <v>226</v>
      </c>
      <c r="D36" s="49" t="s">
        <v>243</v>
      </c>
      <c r="E36" s="7" t="n">
        <v>1</v>
      </c>
      <c r="F36" s="7" t="s">
        <v>118</v>
      </c>
    </row>
    <row r="37" customFormat="false" ht="15" hidden="false" customHeight="false" outlineLevel="0" collapsed="false">
      <c r="C37" s="0" t="s">
        <v>226</v>
      </c>
      <c r="D37" s="49" t="s">
        <v>243</v>
      </c>
      <c r="E37" s="7" t="n">
        <v>2</v>
      </c>
      <c r="F37" s="7" t="s">
        <v>162</v>
      </c>
    </row>
    <row r="38" customFormat="false" ht="15" hidden="false" customHeight="false" outlineLevel="0" collapsed="false">
      <c r="C38" s="0" t="s">
        <v>226</v>
      </c>
      <c r="D38" s="49" t="s">
        <v>243</v>
      </c>
      <c r="E38" s="7" t="n">
        <v>3</v>
      </c>
      <c r="F38" s="7" t="s">
        <v>163</v>
      </c>
    </row>
    <row r="39" customFormat="false" ht="15" hidden="false" customHeight="false" outlineLevel="0" collapsed="false">
      <c r="C39" s="0" t="s">
        <v>226</v>
      </c>
      <c r="D39" s="49" t="s">
        <v>243</v>
      </c>
      <c r="E39" s="7" t="n">
        <v>4</v>
      </c>
      <c r="F39" s="7" t="s">
        <v>119</v>
      </c>
    </row>
    <row r="40" customFormat="false" ht="15" hidden="false" customHeight="false" outlineLevel="0" collapsed="false">
      <c r="C40" s="47" t="s">
        <v>241</v>
      </c>
      <c r="D40" s="48" t="s">
        <v>244</v>
      </c>
      <c r="E40" s="18" t="n">
        <v>1</v>
      </c>
      <c r="F40" s="18" t="s">
        <v>118</v>
      </c>
    </row>
    <row r="41" customFormat="false" ht="15" hidden="false" customHeight="false" outlineLevel="0" collapsed="false">
      <c r="C41" s="47" t="s">
        <v>241</v>
      </c>
      <c r="D41" s="48" t="s">
        <v>244</v>
      </c>
      <c r="E41" s="18" t="n">
        <v>2</v>
      </c>
      <c r="F41" s="18" t="s">
        <v>162</v>
      </c>
    </row>
    <row r="42" customFormat="false" ht="15" hidden="false" customHeight="false" outlineLevel="0" collapsed="false">
      <c r="C42" s="47" t="s">
        <v>241</v>
      </c>
      <c r="D42" s="48" t="s">
        <v>244</v>
      </c>
      <c r="E42" s="18" t="n">
        <v>3</v>
      </c>
      <c r="F42" s="18" t="s">
        <v>163</v>
      </c>
    </row>
    <row r="43" customFormat="false" ht="15" hidden="false" customHeight="false" outlineLevel="0" collapsed="false">
      <c r="C43" s="47" t="s">
        <v>241</v>
      </c>
      <c r="D43" s="48" t="s">
        <v>244</v>
      </c>
      <c r="E43" s="18" t="n">
        <v>4</v>
      </c>
      <c r="F43" s="18" t="s">
        <v>119</v>
      </c>
    </row>
    <row r="44" customFormat="false" ht="15" hidden="false" customHeight="false" outlineLevel="0" collapsed="false">
      <c r="C44" s="0" t="s">
        <v>226</v>
      </c>
      <c r="D44" s="49" t="s">
        <v>245</v>
      </c>
      <c r="E44" s="0" t="n">
        <v>1</v>
      </c>
      <c r="F44" s="0" t="s">
        <v>208</v>
      </c>
    </row>
    <row r="45" customFormat="false" ht="15" hidden="false" customHeight="false" outlineLevel="0" collapsed="false">
      <c r="C45" s="0" t="s">
        <v>226</v>
      </c>
      <c r="D45" s="49" t="s">
        <v>245</v>
      </c>
      <c r="E45" s="0" t="n">
        <v>2</v>
      </c>
      <c r="F45" s="0" t="s">
        <v>120</v>
      </c>
    </row>
    <row r="46" customFormat="false" ht="15" hidden="false" customHeight="false" outlineLevel="0" collapsed="false">
      <c r="C46" s="0" t="s">
        <v>226</v>
      </c>
      <c r="D46" s="49" t="s">
        <v>246</v>
      </c>
      <c r="E46" s="0" t="n">
        <v>1</v>
      </c>
      <c r="F46" s="0" t="s">
        <v>208</v>
      </c>
    </row>
    <row r="47" customFormat="false" ht="15" hidden="false" customHeight="false" outlineLevel="0" collapsed="false">
      <c r="C47" s="0" t="s">
        <v>226</v>
      </c>
      <c r="D47" s="49" t="s">
        <v>246</v>
      </c>
      <c r="E47" s="0" t="n">
        <v>2</v>
      </c>
      <c r="F47" s="0" t="s">
        <v>120</v>
      </c>
    </row>
    <row r="48" customFormat="false" ht="15" hidden="false" customHeight="false" outlineLevel="0" collapsed="false">
      <c r="C48" s="47" t="s">
        <v>247</v>
      </c>
      <c r="D48" s="48" t="s">
        <v>248</v>
      </c>
      <c r="E48" s="47" t="n">
        <v>1</v>
      </c>
      <c r="F48" s="47" t="s">
        <v>164</v>
      </c>
    </row>
    <row r="49" customFormat="false" ht="15" hidden="false" customHeight="false" outlineLevel="0" collapsed="false">
      <c r="C49" s="47" t="s">
        <v>247</v>
      </c>
      <c r="D49" s="48" t="s">
        <v>248</v>
      </c>
      <c r="E49" s="47" t="n">
        <v>2</v>
      </c>
      <c r="F49" s="47" t="s">
        <v>90</v>
      </c>
    </row>
    <row r="50" customFormat="false" ht="15" hidden="false" customHeight="false" outlineLevel="0" collapsed="false">
      <c r="C50" s="0" t="s">
        <v>226</v>
      </c>
      <c r="D50" s="49" t="s">
        <v>249</v>
      </c>
      <c r="E50" s="0" t="n">
        <v>1</v>
      </c>
      <c r="F50" s="0" t="s">
        <v>122</v>
      </c>
    </row>
    <row r="51" customFormat="false" ht="15" hidden="false" customHeight="false" outlineLevel="0" collapsed="false">
      <c r="C51" s="47" t="s">
        <v>226</v>
      </c>
      <c r="D51" s="48" t="s">
        <v>250</v>
      </c>
      <c r="E51" s="18" t="n">
        <v>1</v>
      </c>
      <c r="F51" s="18" t="s">
        <v>205</v>
      </c>
    </row>
    <row r="52" customFormat="false" ht="15" hidden="false" customHeight="false" outlineLevel="0" collapsed="false">
      <c r="C52" s="47" t="s">
        <v>226</v>
      </c>
      <c r="D52" s="48" t="s">
        <v>250</v>
      </c>
      <c r="E52" s="18" t="n">
        <v>2</v>
      </c>
      <c r="F52" s="18" t="s">
        <v>207</v>
      </c>
    </row>
    <row r="53" customFormat="false" ht="15" hidden="false" customHeight="false" outlineLevel="0" collapsed="false">
      <c r="C53" s="47" t="s">
        <v>226</v>
      </c>
      <c r="D53" s="48" t="s">
        <v>250</v>
      </c>
      <c r="E53" s="18" t="n">
        <v>3</v>
      </c>
      <c r="F53" s="18" t="s">
        <v>209</v>
      </c>
    </row>
    <row r="54" customFormat="false" ht="15" hidden="false" customHeight="false" outlineLevel="0" collapsed="false">
      <c r="C54" s="47" t="s">
        <v>226</v>
      </c>
      <c r="D54" s="48" t="s">
        <v>250</v>
      </c>
      <c r="E54" s="18" t="n">
        <v>4</v>
      </c>
      <c r="F54" s="18" t="s">
        <v>210</v>
      </c>
    </row>
    <row r="55" customFormat="false" ht="15" hidden="false" customHeight="false" outlineLevel="0" collapsed="false">
      <c r="C55" s="47" t="s">
        <v>226</v>
      </c>
      <c r="D55" s="48" t="s">
        <v>250</v>
      </c>
      <c r="E55" s="18" t="n">
        <v>5</v>
      </c>
      <c r="F55" s="18" t="s">
        <v>124</v>
      </c>
    </row>
    <row r="56" customFormat="false" ht="15" hidden="false" customHeight="false" outlineLevel="0" collapsed="false">
      <c r="C56" s="47" t="s">
        <v>226</v>
      </c>
      <c r="D56" s="48" t="s">
        <v>250</v>
      </c>
      <c r="E56" s="18" t="n">
        <v>6</v>
      </c>
      <c r="F56" s="18" t="s">
        <v>211</v>
      </c>
    </row>
    <row r="57" customFormat="false" ht="15" hidden="false" customHeight="false" outlineLevel="0" collapsed="false">
      <c r="C57" s="47" t="s">
        <v>226</v>
      </c>
      <c r="D57" s="48" t="s">
        <v>250</v>
      </c>
      <c r="E57" s="18" t="n">
        <v>7</v>
      </c>
      <c r="F57" s="18" t="s">
        <v>212</v>
      </c>
    </row>
    <row r="58" customFormat="false" ht="15" hidden="false" customHeight="false" outlineLevel="0" collapsed="false">
      <c r="C58" s="47" t="s">
        <v>226</v>
      </c>
      <c r="D58" s="48" t="s">
        <v>250</v>
      </c>
      <c r="E58" s="18" t="n">
        <v>8</v>
      </c>
      <c r="F58" s="18" t="s">
        <v>213</v>
      </c>
    </row>
    <row r="59" customFormat="false" ht="15" hidden="false" customHeight="false" outlineLevel="0" collapsed="false">
      <c r="C59" s="0" t="s">
        <v>226</v>
      </c>
      <c r="D59" s="49" t="s">
        <v>251</v>
      </c>
      <c r="E59" s="0" t="n">
        <v>1</v>
      </c>
      <c r="F59" s="0" t="s">
        <v>125</v>
      </c>
    </row>
    <row r="60" customFormat="false" ht="15" hidden="false" customHeight="false" outlineLevel="0" collapsed="false">
      <c r="C60" s="0" t="s">
        <v>226</v>
      </c>
      <c r="D60" s="49" t="s">
        <v>251</v>
      </c>
      <c r="E60" s="0" t="n">
        <v>2</v>
      </c>
      <c r="F60" s="0" t="s">
        <v>95</v>
      </c>
    </row>
    <row r="61" customFormat="false" ht="15" hidden="false" customHeight="false" outlineLevel="0" collapsed="false">
      <c r="C61" s="47" t="s">
        <v>252</v>
      </c>
      <c r="D61" s="48" t="s">
        <v>253</v>
      </c>
      <c r="E61" s="47" t="n">
        <v>1</v>
      </c>
      <c r="F61" s="47" t="s">
        <v>127</v>
      </c>
    </row>
    <row r="62" customFormat="false" ht="15" hidden="false" customHeight="false" outlineLevel="0" collapsed="false">
      <c r="C62" s="47" t="s">
        <v>252</v>
      </c>
      <c r="D62" s="48" t="s">
        <v>253</v>
      </c>
      <c r="E62" s="47" t="n">
        <v>2</v>
      </c>
      <c r="F62" s="47" t="s">
        <v>199</v>
      </c>
    </row>
    <row r="63" customFormat="false" ht="15" hidden="false" customHeight="false" outlineLevel="0" collapsed="false">
      <c r="C63" s="0" t="s">
        <v>252</v>
      </c>
      <c r="D63" s="49" t="s">
        <v>254</v>
      </c>
      <c r="E63" s="0" t="n">
        <v>1</v>
      </c>
      <c r="F63" s="0" t="s">
        <v>202</v>
      </c>
    </row>
    <row r="64" customFormat="false" ht="15" hidden="false" customHeight="false" outlineLevel="0" collapsed="false">
      <c r="C64" s="0" t="s">
        <v>252</v>
      </c>
      <c r="D64" s="49" t="s">
        <v>254</v>
      </c>
      <c r="E64" s="0" t="n">
        <v>2</v>
      </c>
      <c r="F64" s="0" t="s">
        <v>129</v>
      </c>
    </row>
    <row r="65" customFormat="false" ht="15" hidden="false" customHeight="false" outlineLevel="0" collapsed="false">
      <c r="C65" s="47" t="s">
        <v>226</v>
      </c>
      <c r="D65" s="48" t="s">
        <v>255</v>
      </c>
      <c r="E65" s="47" t="n">
        <v>1</v>
      </c>
      <c r="F65" s="47" t="s">
        <v>172</v>
      </c>
    </row>
    <row r="66" customFormat="false" ht="15" hidden="false" customHeight="false" outlineLevel="0" collapsed="false">
      <c r="C66" s="47" t="s">
        <v>226</v>
      </c>
      <c r="D66" s="48" t="s">
        <v>255</v>
      </c>
      <c r="E66" s="47" t="n">
        <v>2</v>
      </c>
      <c r="F66" s="47" t="s">
        <v>100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3:N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4" activeCellId="0" sqref="I4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56.43"/>
    <col collapsed="false" customWidth="true" hidden="false" outlineLevel="0" max="4" min="4" style="51" width="8.86"/>
    <col collapsed="false" customWidth="true" hidden="false" outlineLevel="0" max="5" min="5" style="0" width="15.42"/>
    <col collapsed="false" customWidth="true" hidden="false" outlineLevel="0" max="6" min="6" style="0" width="13.43"/>
    <col collapsed="false" customWidth="true" hidden="false" outlineLevel="0" max="7" min="7" style="0" width="10.42"/>
    <col collapsed="false" customWidth="true" hidden="false" outlineLevel="0" max="8" min="8" style="0" width="19.85"/>
    <col collapsed="false" customWidth="true" hidden="false" outlineLevel="0" max="9" min="9" style="0" width="17.4"/>
    <col collapsed="false" customWidth="true" hidden="false" outlineLevel="0" max="10" min="10" style="0" width="18.85"/>
    <col collapsed="false" customWidth="true" hidden="false" outlineLevel="0" max="11" min="11" style="0" width="11.86"/>
    <col collapsed="false" customWidth="true" hidden="false" outlineLevel="0" max="12" min="12" style="51" width="14.43"/>
    <col collapsed="false" customWidth="true" hidden="false" outlineLevel="0" max="13" min="13" style="0" width="14.43"/>
    <col collapsed="false" customWidth="true" hidden="false" outlineLevel="0" max="14" min="14" style="0" width="11.42"/>
  </cols>
  <sheetData>
    <row r="3" customFormat="false" ht="20.25" hidden="false" customHeight="false" outlineLevel="0" collapsed="false">
      <c r="B3" s="6" t="s">
        <v>256</v>
      </c>
      <c r="C3" s="37" t="s">
        <v>257</v>
      </c>
      <c r="D3" s="52" t="s">
        <v>258</v>
      </c>
      <c r="E3" s="37" t="s">
        <v>259</v>
      </c>
      <c r="F3" s="37" t="s">
        <v>260</v>
      </c>
      <c r="G3" s="37" t="s">
        <v>261</v>
      </c>
      <c r="H3" s="53" t="s">
        <v>262</v>
      </c>
      <c r="I3" s="37" t="s">
        <v>263</v>
      </c>
      <c r="J3" s="8" t="s">
        <v>102</v>
      </c>
      <c r="K3" s="7"/>
      <c r="L3" s="51" t="s">
        <v>264</v>
      </c>
      <c r="M3" s="51"/>
    </row>
    <row r="4" customFormat="false" ht="15.75" hidden="false" customHeight="false" outlineLevel="0" collapsed="false">
      <c r="B4" s="37" t="s">
        <v>63</v>
      </c>
      <c r="C4" s="54" t="str">
        <f aca="false">HLOOKUP($N$4,'Daten-Zusammensetzung Bauteil'!$B$4:$BC$14,Database!$B4,FALSE())</f>
        <v>Magerbeton 7 cm [kg]</v>
      </c>
      <c r="D4" s="55" t="str">
        <f aca="false">MID(HLOOKUP($N$4,'Daten-Funktion'!$B$4:$BC$14,Database!$B4,FALSE()),1,2)</f>
        <v>C1</v>
      </c>
      <c r="E4" s="54" t="n">
        <f aca="false">HLOOKUP($N$4,'Daten-THGE'!$B$4:$BC$14,Database!$B4,FALSE())</f>
        <v>0.000985</v>
      </c>
      <c r="F4" s="54" t="n">
        <f aca="false">HLOOKUP($N$4,'Daten-Dichte'!$B$4:$BC$14,Database!$B4,FALSE())</f>
        <v>2150</v>
      </c>
      <c r="G4" s="54" t="n">
        <f aca="false">HLOOKUP($N$4,'Daten-Dicke'!$B$4:$BC$14,Database!$B4,FALSE())</f>
        <v>7</v>
      </c>
      <c r="H4" s="9"/>
      <c r="I4" s="20" t="n">
        <f aca="false">IF(H4=0,F4*G4/100*E4,E4*F4*H4/1000)</f>
        <v>0.1482425</v>
      </c>
      <c r="J4" s="56" t="n">
        <f aca="false">SUM(I4:I7)*Gebäude!$C$8</f>
        <v>1048.72085230892</v>
      </c>
      <c r="K4" s="37" t="s">
        <v>31</v>
      </c>
      <c r="L4" s="51" t="n">
        <f aca="false">IF(D4="C1",1,0)</f>
        <v>1</v>
      </c>
      <c r="N4" s="54" t="str">
        <f aca="false">VLOOKUP($B$5,Database!$H$4:$I$6,2,FALSE())</f>
        <v>6b</v>
      </c>
    </row>
    <row r="5" customFormat="false" ht="15.75" hidden="false" customHeight="false" outlineLevel="0" collapsed="false">
      <c r="B5" s="37" t="str">
        <f aca="false">Gebäude!$G$4</f>
        <v>Mischbauweise</v>
      </c>
      <c r="C5" s="54" t="str">
        <f aca="false">HLOOKUP($N$4,'Daten-Zusammensetzung Bauteil'!$B$4:$BC$14,Database!$B5,FALSE())</f>
        <v>Hochbaubeton, 30 cm [kg]</v>
      </c>
      <c r="D5" s="55" t="str">
        <f aca="false">MID(HLOOKUP($N$4,'Daten-Funktion'!$B$4:$BC$14,Database!$B5,FALSE()),1,2)</f>
        <v>C1</v>
      </c>
      <c r="E5" s="54" t="n">
        <f aca="false">HLOOKUP($N$4,'Daten-THGE'!$B$4:$BC$14,Database!$B5,FALSE())</f>
        <v>0.00165333333333333</v>
      </c>
      <c r="F5" s="54" t="n">
        <f aca="false">HLOOKUP($N$4,'Daten-Dichte'!$B$4:$BC$14,Database!$B5,FALSE())</f>
        <v>2300</v>
      </c>
      <c r="G5" s="54" t="n">
        <f aca="false">HLOOKUP($N$4,'Daten-Dicke'!$B$4:$BC$14,Database!$B5,FALSE())</f>
        <v>29.5987261146497</v>
      </c>
      <c r="H5" s="9"/>
      <c r="I5" s="20" t="n">
        <f aca="false">IF(H5=0,F5*G5/100*E5,E5*F5*H5/1000)</f>
        <v>1.12554089171975</v>
      </c>
      <c r="J5" s="54"/>
      <c r="K5" s="7"/>
      <c r="L5" s="51" t="n">
        <f aca="false">IF(D5="C1",1,0)</f>
        <v>1</v>
      </c>
    </row>
    <row r="6" customFormat="false" ht="15.75" hidden="false" customHeight="false" outlineLevel="0" collapsed="false">
      <c r="B6" s="7"/>
      <c r="C6" s="54" t="str">
        <f aca="false">HLOOKUP($N$4,'Daten-Zusammensetzung Bauteil'!$B$4:$BC$14,Database!$B6,FALSE())</f>
        <v>Armierungsstahl [kg]</v>
      </c>
      <c r="D6" s="55" t="str">
        <f aca="false">MID(HLOOKUP($N$4,'Daten-Funktion'!$B$4:$BC$14,Database!$B6,FALSE()),1,2)</f>
        <v>C1</v>
      </c>
      <c r="E6" s="54" t="n">
        <f aca="false">HLOOKUP($N$4,'Daten-THGE'!$B$4:$BC$14,Database!$B6,FALSE())</f>
        <v>0.0113666666666667</v>
      </c>
      <c r="F6" s="54" t="n">
        <f aca="false">HLOOKUP($N$4,'Daten-Dichte'!$B$4:$BC$14,Database!$B6,FALSE())</f>
        <v>7850</v>
      </c>
      <c r="G6" s="54" t="n">
        <f aca="false">HLOOKUP($N$4,'Daten-Dicke'!$B$4:$BC$14,Database!$B6,FALSE())</f>
        <v>0.401273885350318</v>
      </c>
      <c r="H6" s="57"/>
      <c r="I6" s="20" t="n">
        <f aca="false">IF(H6=0,F6*G6/100*E6,E6*F6*H6/1000)</f>
        <v>0.35805</v>
      </c>
      <c r="J6" s="7"/>
      <c r="K6" s="7"/>
      <c r="L6" s="51" t="n">
        <f aca="false">IF(D6="C1",1,0)</f>
        <v>1</v>
      </c>
    </row>
    <row r="7" customFormat="false" ht="15.75" hidden="false" customHeight="false" outlineLevel="0" collapsed="false">
      <c r="B7" s="7"/>
      <c r="C7" s="54" t="str">
        <f aca="false">HLOOKUP($N$4,'Daten-Zusammensetzung Bauteil'!$B$4:$BC$14,Database!$B7,FALSE())</f>
        <v>Polystyrol extrudiert, 33 kg/m3, lamdaD 0.033 W/mK, 20 cm [kg]</v>
      </c>
      <c r="D7" s="55" t="str">
        <f aca="false">MID(HLOOKUP($N$4,'Daten-Funktion'!$B$4:$BC$14,Database!$B7,FALSE()),1,2)</f>
        <v>C1</v>
      </c>
      <c r="E7" s="54" t="n">
        <f aca="false">HLOOKUP($N$4,'Daten-THGE'!$B$4:$BC$14,Database!$B7,FALSE())</f>
        <v>0.241666666666667</v>
      </c>
      <c r="F7" s="54" t="n">
        <f aca="false">HLOOKUP($N$4,'Daten-Dichte'!$B$4:$BC$14,Database!$B7,FALSE())</f>
        <v>33</v>
      </c>
      <c r="G7" s="54" t="n">
        <f aca="false">HLOOKUP($N$4,'Daten-Dicke'!$B$4:$BC$14,Database!$B7,FALSE())</f>
        <v>20</v>
      </c>
      <c r="H7" s="57"/>
      <c r="I7" s="20" t="n">
        <f aca="false">IF(H7=0,F7*G7/100*E7,E7*F7*H7/1000)</f>
        <v>1.595</v>
      </c>
      <c r="J7" s="7"/>
      <c r="K7" s="7"/>
      <c r="L7" s="51" t="n">
        <f aca="false">IF(D7="C1",1,0)</f>
        <v>1</v>
      </c>
    </row>
    <row r="8" customFormat="false" ht="15.75" hidden="false" customHeight="false" outlineLevel="0" collapsed="false">
      <c r="B8" s="7"/>
      <c r="C8" s="54"/>
      <c r="D8" s="55"/>
      <c r="E8" s="54"/>
      <c r="F8" s="54"/>
      <c r="G8" s="54"/>
      <c r="H8" s="54"/>
      <c r="I8" s="54"/>
      <c r="J8" s="7"/>
      <c r="K8" s="7"/>
      <c r="L8" s="58" t="n">
        <f aca="false">SUMPRODUCT(I4:I7*L4:L7)/SUM(I4:I7)</f>
        <v>1</v>
      </c>
    </row>
    <row r="9" customFormat="false" ht="15" hidden="false" customHeight="false" outlineLevel="0" collapsed="false">
      <c r="B9" s="59" t="s">
        <v>265</v>
      </c>
    </row>
    <row r="10" customFormat="false" ht="20.25" hidden="false" customHeight="false" outlineLevel="0" collapsed="false">
      <c r="B10" s="6" t="s">
        <v>256</v>
      </c>
      <c r="C10" s="37" t="s">
        <v>257</v>
      </c>
      <c r="D10" s="52"/>
      <c r="E10" s="37" t="s">
        <v>259</v>
      </c>
      <c r="F10" s="37" t="s">
        <v>260</v>
      </c>
      <c r="G10" s="37" t="s">
        <v>261</v>
      </c>
      <c r="H10" s="53" t="s">
        <v>262</v>
      </c>
      <c r="I10" s="37" t="s">
        <v>263</v>
      </c>
      <c r="J10" s="8" t="s">
        <v>102</v>
      </c>
      <c r="K10" s="7"/>
    </row>
    <row r="11" customFormat="false" ht="15.75" hidden="false" customHeight="false" outlineLevel="0" collapsed="false">
      <c r="B11" s="37" t="s">
        <v>63</v>
      </c>
      <c r="C11" s="54" t="str">
        <f aca="false">HLOOKUP($N$15,'Daten-Zusammensetzung Bauteil'!$B$4:$BC$14,Database!$B4,FALSE())</f>
        <v>Magerbeton 7 cm [kg]</v>
      </c>
      <c r="D11" s="55" t="str">
        <f aca="false">MID(HLOOKUP($N$15,'Daten-Funktion'!$B$4:$BC$14,Database!$B4,FALSE()),1,2)</f>
        <v>C1</v>
      </c>
      <c r="E11" s="54" t="n">
        <f aca="false">HLOOKUP($N$15,'Daten-THGE'!$B$4:$BC$14,Database!$B4,FALSE())</f>
        <v>0.000985</v>
      </c>
      <c r="F11" s="54" t="n">
        <f aca="false">HLOOKUP($N$15,'Daten-Dichte'!$B$4:$BC$14,Database!$B4,FALSE())</f>
        <v>2150</v>
      </c>
      <c r="G11" s="54" t="n">
        <f aca="false">HLOOKUP($N$15,'Daten-Dicke'!$B$4:$BC$14,Database!$B4,FALSE())</f>
        <v>7</v>
      </c>
      <c r="H11" s="9"/>
      <c r="I11" s="20" t="n">
        <f aca="false">IF(H11=0,F11*G11/100*E11,E11*F11*H11/1000)</f>
        <v>0.1482425</v>
      </c>
      <c r="J11" s="29" t="n">
        <f aca="false">SUM(I11:I14)*Gebäude!$C$8</f>
        <v>1048.72085230892</v>
      </c>
      <c r="K11" s="37" t="s">
        <v>31</v>
      </c>
    </row>
    <row r="12" customFormat="false" ht="15.75" hidden="false" customHeight="false" outlineLevel="0" collapsed="false">
      <c r="B12" s="53" t="s">
        <v>113</v>
      </c>
      <c r="C12" s="54" t="str">
        <f aca="false">HLOOKUP($N$15,'Daten-Zusammensetzung Bauteil'!$B$4:$BC$14,Database!$B5,FALSE())</f>
        <v>Hochbaubeton, 30 cm [kg]</v>
      </c>
      <c r="D12" s="55" t="str">
        <f aca="false">MID(HLOOKUP($N$15,'Daten-Funktion'!$B$4:$BC$14,Database!$B5,FALSE()),1,2)</f>
        <v>C1</v>
      </c>
      <c r="E12" s="54" t="n">
        <f aca="false">HLOOKUP($N$15,'Daten-THGE'!$B$4:$BC$14,Database!$B5,FALSE())</f>
        <v>0.00165333333333333</v>
      </c>
      <c r="F12" s="54" t="n">
        <f aca="false">HLOOKUP($N$15,'Daten-Dichte'!$B$4:$BC$14,Database!$B5,FALSE())</f>
        <v>2300</v>
      </c>
      <c r="G12" s="54" t="n">
        <f aca="false">HLOOKUP($N$15,'Daten-Dicke'!$B$4:$BC$14,Database!$B5,FALSE())</f>
        <v>29.5987261146497</v>
      </c>
      <c r="H12" s="9"/>
      <c r="I12" s="20" t="n">
        <f aca="false">IF(H12=0,F12*G12/100*E12,E12*F12*H12/1000)</f>
        <v>1.12554089171975</v>
      </c>
      <c r="J12" s="54"/>
      <c r="K12" s="7"/>
    </row>
    <row r="13" customFormat="false" ht="15.75" hidden="false" customHeight="false" outlineLevel="0" collapsed="false">
      <c r="B13" s="7"/>
      <c r="C13" s="54" t="str">
        <f aca="false">HLOOKUP($N$15,'Daten-Zusammensetzung Bauteil'!$B$4:$BC$14,Database!$B6,FALSE())</f>
        <v>Armierungsstahl [kg]</v>
      </c>
      <c r="D13" s="55" t="str">
        <f aca="false">MID(HLOOKUP($N$15,'Daten-Funktion'!$B$4:$BC$14,Database!$B6,FALSE()),1,2)</f>
        <v>C1</v>
      </c>
      <c r="E13" s="54" t="n">
        <f aca="false">HLOOKUP($N$15,'Daten-THGE'!$B$4:$BC$14,Database!$B6,FALSE())</f>
        <v>0.0113666666666667</v>
      </c>
      <c r="F13" s="54" t="n">
        <f aca="false">HLOOKUP($N$15,'Daten-Dichte'!$B$4:$BC$14,Database!$B6,FALSE())</f>
        <v>7850</v>
      </c>
      <c r="G13" s="54" t="n">
        <f aca="false">HLOOKUP($N$15,'Daten-Dicke'!$B$4:$BC$14,Database!$B6,FALSE())</f>
        <v>0.401273885350318</v>
      </c>
      <c r="H13" s="57"/>
      <c r="I13" s="20" t="n">
        <f aca="false">IF(H13=0,F13*G13/100*E13,E13*F13*H13/1000)</f>
        <v>0.35805</v>
      </c>
      <c r="J13" s="7"/>
      <c r="K13" s="7"/>
    </row>
    <row r="14" customFormat="false" ht="15.75" hidden="false" customHeight="false" outlineLevel="0" collapsed="false">
      <c r="B14" s="7"/>
      <c r="C14" s="54" t="str">
        <f aca="false">HLOOKUP($N$15,'Daten-Zusammensetzung Bauteil'!$B$4:$BC$14,Database!$B7,FALSE())</f>
        <v>Polystyrol extrudiert, 33 kg/m3, lamdaD 0.033 W/mK, 20 cm [kg]</v>
      </c>
      <c r="D14" s="55" t="str">
        <f aca="false">MID(HLOOKUP($N$15,'Daten-Funktion'!$B$4:$BC$14,Database!$B7,FALSE()),1,2)</f>
        <v>C1</v>
      </c>
      <c r="E14" s="54" t="n">
        <f aca="false">HLOOKUP($N$15,'Daten-THGE'!$B$4:$BC$14,Database!$B7,FALSE())</f>
        <v>0.241666666666667</v>
      </c>
      <c r="F14" s="54" t="n">
        <f aca="false">HLOOKUP($N$15,'Daten-Dichte'!$B$4:$BC$14,Database!$B7,FALSE())</f>
        <v>33</v>
      </c>
      <c r="G14" s="54" t="n">
        <f aca="false">HLOOKUP($N$15,'Daten-Dicke'!$B$4:$BC$14,Database!$B7,FALSE())</f>
        <v>20</v>
      </c>
      <c r="H14" s="57"/>
      <c r="I14" s="20" t="n">
        <f aca="false">IF(H14=0,F14*G14/100*E14,E14*F14*H14/1000)</f>
        <v>1.595</v>
      </c>
      <c r="J14" s="7"/>
      <c r="K14" s="7"/>
    </row>
    <row r="15" customFormat="false" ht="15.75" hidden="false" customHeight="false" outlineLevel="0" collapsed="false">
      <c r="B15" s="7"/>
      <c r="C15" s="54"/>
      <c r="D15" s="55"/>
      <c r="E15" s="54"/>
      <c r="F15" s="54"/>
      <c r="G15" s="54"/>
      <c r="H15" s="7"/>
      <c r="I15" s="54"/>
      <c r="J15" s="7"/>
      <c r="K15" s="7"/>
      <c r="N15" s="54" t="str">
        <f aca="false">VLOOKUP($B$12,Database!$H$4:$I$6,2,FALSE())</f>
        <v>6b</v>
      </c>
    </row>
    <row r="16" customFormat="false" ht="20.25" hidden="false" customHeight="false" outlineLevel="0" collapsed="false">
      <c r="B16" s="6" t="s">
        <v>266</v>
      </c>
      <c r="C16" s="37" t="s">
        <v>257</v>
      </c>
      <c r="D16" s="52"/>
      <c r="E16" s="37" t="s">
        <v>259</v>
      </c>
      <c r="F16" s="37" t="s">
        <v>260</v>
      </c>
      <c r="G16" s="37" t="s">
        <v>261</v>
      </c>
      <c r="H16" s="53" t="s">
        <v>262</v>
      </c>
      <c r="I16" s="37" t="s">
        <v>263</v>
      </c>
      <c r="J16" s="8" t="s">
        <v>102</v>
      </c>
      <c r="K16" s="7"/>
      <c r="L16" s="51" t="n">
        <f aca="false">IF(D11="C1",1,0)</f>
        <v>1</v>
      </c>
    </row>
    <row r="17" customFormat="false" ht="15.75" hidden="false" customHeight="false" outlineLevel="0" collapsed="false">
      <c r="B17" s="37" t="s">
        <v>63</v>
      </c>
      <c r="C17" s="54" t="str">
        <f aca="false">HLOOKUP($N$24,'Daten-Zusammensetzung Bauteil'!$B$4:$BC$14,Database!$B4,FALSE())</f>
        <v>Magerbeton 7 cm [kg]</v>
      </c>
      <c r="D17" s="55" t="str">
        <f aca="false">MID(HLOOKUP($N$24,'Daten-Funktion'!$B$4:$BC$14,Database!$B4,FALSE()),1,2)</f>
        <v>C1</v>
      </c>
      <c r="E17" s="54" t="n">
        <f aca="false">HLOOKUP($N$24,'Daten-THGE'!$B$4:$BC$14,Database!$B4,FALSE())</f>
        <v>0.000985</v>
      </c>
      <c r="F17" s="54" t="n">
        <f aca="false">HLOOKUP($N$24,'Daten-Dichte'!$B$4:$BC$14,Database!$B4,FALSE())</f>
        <v>2150</v>
      </c>
      <c r="G17" s="54" t="n">
        <f aca="false">HLOOKUP($N$24,'Daten-Dicke'!$B$4:$BC$14,Database!$B4,FALSE())</f>
        <v>7</v>
      </c>
      <c r="H17" s="9"/>
      <c r="I17" s="20" t="n">
        <f aca="false">IF(H17=0,F17*G17/100*E17,E17*F17*H17/1000)</f>
        <v>0.1482425</v>
      </c>
      <c r="J17" s="56" t="n">
        <f aca="false">SUM(I17:I20)*Gebäude!$C$30</f>
        <v>712.548977308917</v>
      </c>
      <c r="K17" s="37" t="s">
        <v>31</v>
      </c>
      <c r="L17" s="51" t="n">
        <f aca="false">IF(D12="C1",1,0)</f>
        <v>1</v>
      </c>
    </row>
    <row r="18" customFormat="false" ht="15.75" hidden="false" customHeight="false" outlineLevel="0" collapsed="false">
      <c r="B18" s="60" t="str">
        <f aca="false">Gebäude!G25</f>
        <v>Massivbauweise</v>
      </c>
      <c r="C18" s="54" t="str">
        <f aca="false">HLOOKUP($N$24,'Daten-Zusammensetzung Bauteil'!$B$4:$BC$14,Database!$B5,FALSE())</f>
        <v>Hochbaubeton, 30 cm [kg]</v>
      </c>
      <c r="D18" s="55" t="str">
        <f aca="false">MID(HLOOKUP($N$24,'Daten-Funktion'!$B$4:$BC$14,Database!$B5,FALSE()),1,2)</f>
        <v>C1</v>
      </c>
      <c r="E18" s="54" t="n">
        <f aca="false">HLOOKUP($N$24,'Daten-THGE'!$B$4:$BC$14,Database!$B5,FALSE())</f>
        <v>0.00165333333333333</v>
      </c>
      <c r="F18" s="54" t="n">
        <f aca="false">HLOOKUP($N$24,'Daten-Dichte'!$B$4:$BC$14,Database!$B5,FALSE())</f>
        <v>2300</v>
      </c>
      <c r="G18" s="54" t="n">
        <f aca="false">HLOOKUP($N$24,'Daten-Dicke'!$B$4:$BC$14,Database!$B5,FALSE())</f>
        <v>29.5987261146497</v>
      </c>
      <c r="H18" s="9"/>
      <c r="I18" s="20" t="n">
        <f aca="false">IF(H18=0,F18*G18/100*E18,E18*F18*H18/1000)</f>
        <v>1.12554089171975</v>
      </c>
      <c r="J18" s="54"/>
      <c r="K18" s="7"/>
      <c r="L18" s="51" t="n">
        <f aca="false">IF(D13="C1",1,0)</f>
        <v>1</v>
      </c>
    </row>
    <row r="19" customFormat="false" ht="15.75" hidden="false" customHeight="false" outlineLevel="0" collapsed="false">
      <c r="B19" s="7"/>
      <c r="C19" s="54" t="str">
        <f aca="false">HLOOKUP($N$24,'Daten-Zusammensetzung Bauteil'!$B$4:$BC$14,Database!$B6,FALSE())</f>
        <v>Armierungsstahl [kg]</v>
      </c>
      <c r="D19" s="55" t="str">
        <f aca="false">MID(HLOOKUP($N$24,'Daten-Funktion'!$B$4:$BC$14,Database!$B6,FALSE()),1,2)</f>
        <v>C1</v>
      </c>
      <c r="E19" s="54" t="n">
        <f aca="false">HLOOKUP($N$24,'Daten-THGE'!$B$4:$BC$14,Database!$B6,FALSE())</f>
        <v>0.0113666666666667</v>
      </c>
      <c r="F19" s="54" t="n">
        <f aca="false">HLOOKUP($N$24,'Daten-Dichte'!$B$4:$BC$14,Database!$B6,FALSE())</f>
        <v>7850</v>
      </c>
      <c r="G19" s="54" t="n">
        <f aca="false">HLOOKUP($N$24,'Daten-Dicke'!$B$4:$BC$14,Database!$B6,FALSE())</f>
        <v>0.401273885350318</v>
      </c>
      <c r="H19" s="57"/>
      <c r="I19" s="20" t="n">
        <f aca="false">IF(H19=0,F19*G19/100*E19,E19*F19*H19/1000)</f>
        <v>0.35805</v>
      </c>
      <c r="J19" s="7"/>
      <c r="K19" s="7"/>
      <c r="L19" s="51" t="n">
        <f aca="false">IF(D14="C1",1,0)</f>
        <v>1</v>
      </c>
    </row>
    <row r="20" customFormat="false" ht="15.75" hidden="false" customHeight="false" outlineLevel="0" collapsed="false">
      <c r="B20" s="7"/>
      <c r="C20" s="54" t="str">
        <f aca="false">HLOOKUP($N$24,'Daten-Zusammensetzung Bauteil'!$B$4:$BC$14,Database!$B7,FALSE())</f>
        <v>Foamglas T4+, 115 kg/m3, lambdaD 0.041 W/mK, 25 cm [kg]</v>
      </c>
      <c r="D20" s="55" t="str">
        <f aca="false">MID(HLOOKUP($N$24,'Daten-Funktion'!$B$4:$BC$14,Database!$B7,FALSE()),1,2)</f>
        <v>C1</v>
      </c>
      <c r="E20" s="54" t="n">
        <f aca="false">HLOOKUP($N$24,'Daten-THGE'!$B$4:$BC$14,Database!$B7,FALSE())</f>
        <v>0.0195</v>
      </c>
      <c r="F20" s="54" t="n">
        <f aca="false">HLOOKUP($N$24,'Daten-Dichte'!$B$4:$BC$14,Database!$B7,FALSE())</f>
        <v>115</v>
      </c>
      <c r="G20" s="54" t="n">
        <f aca="false">HLOOKUP($N$24,'Daten-Dicke'!$B$4:$BC$14,Database!$B7,FALSE())</f>
        <v>25</v>
      </c>
      <c r="H20" s="57"/>
      <c r="I20" s="20" t="n">
        <f aca="false">IF(H20=0,F20*G20/100*E20,E20*F20*H20/1000)</f>
        <v>0.560625</v>
      </c>
      <c r="J20" s="7"/>
      <c r="K20" s="7"/>
      <c r="L20" s="58" t="n">
        <f aca="false">SUMPRODUCT(I11:I14*L16:L19)/SUM(I11:I14)</f>
        <v>1</v>
      </c>
    </row>
    <row r="22" customFormat="false" ht="15" hidden="false" customHeight="false" outlineLevel="0" collapsed="false">
      <c r="B22" s="59" t="s">
        <v>265</v>
      </c>
    </row>
    <row r="23" customFormat="false" ht="20.25" hidden="false" customHeight="false" outlineLevel="0" collapsed="false">
      <c r="B23" s="6" t="s">
        <v>266</v>
      </c>
      <c r="C23" s="37" t="s">
        <v>257</v>
      </c>
      <c r="D23" s="52"/>
      <c r="E23" s="37" t="s">
        <v>259</v>
      </c>
      <c r="F23" s="37" t="s">
        <v>260</v>
      </c>
      <c r="G23" s="37" t="s">
        <v>261</v>
      </c>
      <c r="H23" s="53" t="s">
        <v>262</v>
      </c>
      <c r="I23" s="37" t="s">
        <v>263</v>
      </c>
      <c r="J23" s="8" t="s">
        <v>102</v>
      </c>
      <c r="K23" s="7"/>
    </row>
    <row r="24" customFormat="false" ht="15.75" hidden="false" customHeight="false" outlineLevel="0" collapsed="false">
      <c r="B24" s="37" t="s">
        <v>63</v>
      </c>
      <c r="C24" s="54" t="str">
        <f aca="false">HLOOKUP($N$31,'Daten-Zusammensetzung Bauteil'!$B$4:$BC$14,Database!$B4,FALSE())</f>
        <v>Magerbeton 7 cm [kg]</v>
      </c>
      <c r="D24" s="55" t="str">
        <f aca="false">MID(HLOOKUP($N$31,'Daten-Funktion'!$B$4:$BC$14,Database!$B4,FALSE()),1,2)</f>
        <v>C1</v>
      </c>
      <c r="E24" s="54" t="n">
        <f aca="false">HLOOKUP($N$31,'Daten-THGE'!$B$4:$BC$14,Database!$B4,FALSE())</f>
        <v>0.000985</v>
      </c>
      <c r="F24" s="54" t="n">
        <f aca="false">HLOOKUP($N$31,'Daten-Dichte'!$B$4:$BC$14,Database!$B4,FALSE())</f>
        <v>2150</v>
      </c>
      <c r="G24" s="54" t="n">
        <f aca="false">HLOOKUP($N$31,'Daten-Dicke'!$B$4:$BC$14,Database!$B4,FALSE())</f>
        <v>7</v>
      </c>
      <c r="H24" s="9"/>
      <c r="I24" s="20" t="n">
        <f aca="false">IF(H24=0,F24*G24/100*E24,E24*F24*H24/1000)</f>
        <v>0.1482425</v>
      </c>
      <c r="J24" s="56" t="n">
        <f aca="false">SUM(I24:I27)*Gebäude!$C$30</f>
        <v>712.548977308917</v>
      </c>
      <c r="K24" s="37" t="s">
        <v>31</v>
      </c>
      <c r="N24" s="54" t="str">
        <f aca="false">VLOOKUP($B$18,Database!$Y$29:$AD$31,2,FALSE())</f>
        <v>6c</v>
      </c>
    </row>
    <row r="25" customFormat="false" ht="15.75" hidden="false" customHeight="false" outlineLevel="0" collapsed="false">
      <c r="B25" s="53" t="s">
        <v>113</v>
      </c>
      <c r="C25" s="54" t="str">
        <f aca="false">HLOOKUP($N$31,'Daten-Zusammensetzung Bauteil'!$B$4:$BC$14,Database!$B5,FALSE())</f>
        <v>Hochbaubeton, 30 cm [kg]</v>
      </c>
      <c r="D25" s="55" t="str">
        <f aca="false">MID(HLOOKUP($N$31,'Daten-Funktion'!$B$4:$BC$14,Database!$B5,FALSE()),1,2)</f>
        <v>C1</v>
      </c>
      <c r="E25" s="54" t="n">
        <f aca="false">HLOOKUP($N$31,'Daten-THGE'!$B$4:$BC$14,Database!$B5,FALSE())</f>
        <v>0.00165333333333333</v>
      </c>
      <c r="F25" s="54" t="n">
        <f aca="false">HLOOKUP($N$31,'Daten-Dichte'!$B$4:$BC$14,Database!$B5,FALSE())</f>
        <v>2300</v>
      </c>
      <c r="G25" s="54" t="n">
        <f aca="false">HLOOKUP($N$31,'Daten-Dicke'!$B$4:$BC$14,Database!$B5,FALSE())</f>
        <v>29.5987261146497</v>
      </c>
      <c r="H25" s="9"/>
      <c r="I25" s="20" t="n">
        <f aca="false">IF(H25=0,F25*G25/100*E25,E25*F25*H25/1000)</f>
        <v>1.12554089171975</v>
      </c>
      <c r="J25" s="54"/>
      <c r="K25" s="7"/>
      <c r="L25" s="51" t="n">
        <f aca="false">IF(D17="C1",1,0)</f>
        <v>1</v>
      </c>
    </row>
    <row r="26" customFormat="false" ht="15.75" hidden="false" customHeight="false" outlineLevel="0" collapsed="false">
      <c r="B26" s="7"/>
      <c r="C26" s="54" t="str">
        <f aca="false">HLOOKUP($N$31,'Daten-Zusammensetzung Bauteil'!$B$4:$BC$14,Database!$B6,FALSE())</f>
        <v>Armierungsstahl [kg]</v>
      </c>
      <c r="D26" s="55" t="str">
        <f aca="false">MID(HLOOKUP($N$31,'Daten-Funktion'!$B$4:$BC$14,Database!$B6,FALSE()),1,2)</f>
        <v>C1</v>
      </c>
      <c r="E26" s="54" t="n">
        <f aca="false">HLOOKUP($N$31,'Daten-THGE'!$B$4:$BC$14,Database!$B6,FALSE())</f>
        <v>0.0113666666666667</v>
      </c>
      <c r="F26" s="54" t="n">
        <f aca="false">HLOOKUP($N$31,'Daten-Dichte'!$B$4:$BC$14,Database!$B6,FALSE())</f>
        <v>7850</v>
      </c>
      <c r="G26" s="54" t="n">
        <f aca="false">HLOOKUP($N$31,'Daten-Dicke'!$B$4:$BC$14,Database!$B6,FALSE())</f>
        <v>0.401273885350318</v>
      </c>
      <c r="H26" s="57"/>
      <c r="I26" s="20" t="n">
        <f aca="false">IF(H26=0,F26*G26/100*E26,E26*F26*H26/1000)</f>
        <v>0.35805</v>
      </c>
      <c r="J26" s="7"/>
      <c r="K26" s="7"/>
      <c r="L26" s="51" t="n">
        <f aca="false">IF(D18="C1",1,0)</f>
        <v>1</v>
      </c>
    </row>
    <row r="27" customFormat="false" ht="15.75" hidden="false" customHeight="false" outlineLevel="0" collapsed="false">
      <c r="B27" s="7"/>
      <c r="C27" s="54" t="str">
        <f aca="false">HLOOKUP($N$31,'Daten-Zusammensetzung Bauteil'!$B$4:$BC$14,Database!$B7,FALSE())</f>
        <v>Foamglas T4+, 115 kg/m3, lambdaD 0.041 W/mK, 25 cm [kg]</v>
      </c>
      <c r="D27" s="55" t="str">
        <f aca="false">MID(HLOOKUP($N$31,'Daten-Funktion'!$B$4:$BC$14,Database!$B7,FALSE()),1,2)</f>
        <v>C1</v>
      </c>
      <c r="E27" s="54" t="n">
        <f aca="false">HLOOKUP($N$31,'Daten-THGE'!$B$4:$BC$14,Database!$B7,FALSE())</f>
        <v>0.0195</v>
      </c>
      <c r="F27" s="54" t="n">
        <f aca="false">HLOOKUP($N$31,'Daten-Dichte'!$B$4:$BC$14,Database!$B7,FALSE())</f>
        <v>115</v>
      </c>
      <c r="G27" s="54" t="n">
        <f aca="false">HLOOKUP($N$31,'Daten-Dicke'!$B$4:$BC$14,Database!$B7,FALSE())</f>
        <v>25</v>
      </c>
      <c r="H27" s="57"/>
      <c r="I27" s="20" t="n">
        <f aca="false">IF(H27=0,F27*G27/100*E27,E27*F27*H27/1000)</f>
        <v>0.560625</v>
      </c>
      <c r="J27" s="7"/>
      <c r="K27" s="7"/>
      <c r="L27" s="51" t="n">
        <f aca="false">IF(D19="C1",1,0)</f>
        <v>1</v>
      </c>
    </row>
    <row r="28" customFormat="false" ht="15" hidden="false" customHeight="false" outlineLevel="0" collapsed="false">
      <c r="L28" s="51" t="n">
        <f aca="false">IF(D20="C1",1,0)</f>
        <v>1</v>
      </c>
    </row>
    <row r="29" customFormat="false" ht="15" hidden="false" customHeight="false" outlineLevel="0" collapsed="false">
      <c r="L29" s="58" t="n">
        <f aca="false">SUMPRODUCT(I17:I20*L25:L28)/SUM(I17:I20)</f>
        <v>1</v>
      </c>
    </row>
    <row r="31" customFormat="false" ht="15.75" hidden="false" customHeight="false" outlineLevel="0" collapsed="false">
      <c r="N31" s="54" t="str">
        <f aca="false">VLOOKUP($B$18,Database!$Y$29:$AD$31,2,FALSE())</f>
        <v>6c</v>
      </c>
    </row>
    <row r="32" customFormat="false" ht="15" hidden="false" customHeight="false" outlineLevel="0" collapsed="false">
      <c r="L32" s="51" t="n">
        <f aca="false">IF(D24="C1",1,0)</f>
        <v>1</v>
      </c>
    </row>
    <row r="33" customFormat="false" ht="15" hidden="false" customHeight="false" outlineLevel="0" collapsed="false">
      <c r="L33" s="51" t="n">
        <f aca="false">IF(D25="C1",1,0)</f>
        <v>1</v>
      </c>
    </row>
    <row r="34" customFormat="false" ht="15" hidden="false" customHeight="false" outlineLevel="0" collapsed="false">
      <c r="L34" s="51" t="n">
        <f aca="false">IF(D26="C1",1,0)</f>
        <v>1</v>
      </c>
    </row>
    <row r="35" customFormat="false" ht="15" hidden="false" customHeight="false" outlineLevel="0" collapsed="false">
      <c r="L35" s="51" t="n">
        <f aca="false">IF(D27="C1",1,0)</f>
        <v>1</v>
      </c>
    </row>
    <row r="36" customFormat="false" ht="15" hidden="false" customHeight="false" outlineLevel="0" collapsed="false">
      <c r="L36" s="58" t="n">
        <f aca="false">SUMPRODUCT(I24:I27*L32:L35)/SUM(I24:I27)</f>
        <v>1</v>
      </c>
    </row>
  </sheetData>
  <dataValidations count="1">
    <dataValidation allowBlank="true" errorStyle="stop" operator="between" showDropDown="false" showErrorMessage="true" showInputMessage="true" sqref="B12 B18 B25" type="list">
      <formula1>Database!$H$4:$H$6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3:AL73"/>
  <sheetViews>
    <sheetView showFormulas="false" showGridLines="true" showRowColHeaders="true" showZeros="true" rightToLeft="false" tabSelected="false" showOutlineSymbols="true" defaultGridColor="true" view="normal" topLeftCell="N1" colorId="64" zoomScale="85" zoomScaleNormal="85" zoomScalePageLayoutView="100" workbookViewId="0">
      <selection pane="topLeft" activeCell="Q46" activeCellId="0" sqref="Q46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56.43"/>
    <col collapsed="false" customWidth="true" hidden="false" outlineLevel="0" max="4" min="4" style="51" width="8.86"/>
    <col collapsed="false" customWidth="true" hidden="false" outlineLevel="0" max="5" min="5" style="0" width="15.42"/>
    <col collapsed="false" customWidth="true" hidden="false" outlineLevel="0" max="6" min="6" style="0" width="13.43"/>
    <col collapsed="false" customWidth="true" hidden="false" outlineLevel="0" max="7" min="7" style="0" width="10.42"/>
    <col collapsed="false" customWidth="true" hidden="false" outlineLevel="0" max="8" min="8" style="0" width="19.85"/>
    <col collapsed="false" customWidth="true" hidden="false" outlineLevel="0" max="10" min="9" style="0" width="17.4"/>
    <col collapsed="false" customWidth="true" hidden="false" outlineLevel="0" max="11" min="11" style="61" width="11.86"/>
    <col collapsed="false" customWidth="true" hidden="false" outlineLevel="0" max="12" min="12" style="61" width="20.86"/>
    <col collapsed="false" customWidth="true" hidden="false" outlineLevel="0" max="13" min="13" style="61" width="39.14"/>
    <col collapsed="false" customWidth="true" hidden="false" outlineLevel="0" max="14" min="14" style="61" width="40.71"/>
    <col collapsed="false" customWidth="true" hidden="false" outlineLevel="0" max="15" min="15" style="61" width="36.42"/>
    <col collapsed="false" customWidth="true" hidden="false" outlineLevel="0" max="16" min="16" style="0" width="18.42"/>
    <col collapsed="false" customWidth="true" hidden="false" outlineLevel="0" max="17" min="17" style="0" width="47.86"/>
    <col collapsed="false" customWidth="true" hidden="false" outlineLevel="0" max="18" min="18" style="51" width="8.86"/>
    <col collapsed="false" customWidth="true" hidden="false" outlineLevel="0" max="19" min="19" style="0" width="15.42"/>
    <col collapsed="false" customWidth="true" hidden="false" outlineLevel="0" max="20" min="20" style="0" width="13.43"/>
    <col collapsed="false" customWidth="true" hidden="false" outlineLevel="0" max="21" min="21" style="0" width="10.42"/>
    <col collapsed="false" customWidth="true" hidden="false" outlineLevel="0" max="22" min="22" style="0" width="19.85"/>
    <col collapsed="false" customWidth="true" hidden="false" outlineLevel="0" max="23" min="23" style="0" width="17.4"/>
    <col collapsed="false" customWidth="true" hidden="false" outlineLevel="0" max="24" min="24" style="0" width="19.42"/>
    <col collapsed="false" customWidth="true" hidden="false" outlineLevel="0" max="25" min="25" style="0" width="11.86"/>
    <col collapsed="false" customWidth="true" hidden="false" outlineLevel="0" max="26" min="26" style="51" width="20.86"/>
    <col collapsed="false" customWidth="true" hidden="false" outlineLevel="0" max="27" min="27" style="51" width="22.28"/>
    <col collapsed="false" customWidth="true" hidden="false" outlineLevel="0" max="29" min="28" style="51" width="40"/>
    <col collapsed="false" customWidth="true" hidden="false" outlineLevel="0" max="30" min="30" style="51" width="38.29"/>
    <col collapsed="false" customWidth="true" hidden="false" outlineLevel="0" max="31" min="31" style="51" width="26.85"/>
    <col collapsed="false" customWidth="true" hidden="false" outlineLevel="0" max="32" min="32" style="51" width="23.42"/>
    <col collapsed="false" customWidth="true" hidden="false" outlineLevel="0" max="33" min="33" style="51" width="19.42"/>
    <col collapsed="false" customWidth="true" hidden="false" outlineLevel="0" max="36" min="34" style="51" width="25.71"/>
    <col collapsed="false" customWidth="true" hidden="false" outlineLevel="0" max="39" min="37" style="0" width="11.42"/>
  </cols>
  <sheetData>
    <row r="3" customFormat="false" ht="20.25" hidden="false" customHeight="false" outlineLevel="0" collapsed="false">
      <c r="B3" s="6" t="s">
        <v>256</v>
      </c>
      <c r="C3" s="37" t="s">
        <v>257</v>
      </c>
      <c r="D3" s="52" t="s">
        <v>258</v>
      </c>
      <c r="E3" s="37" t="s">
        <v>259</v>
      </c>
      <c r="F3" s="37" t="s">
        <v>260</v>
      </c>
      <c r="G3" s="37" t="s">
        <v>261</v>
      </c>
      <c r="H3" s="53" t="s">
        <v>262</v>
      </c>
      <c r="I3" s="37" t="s">
        <v>263</v>
      </c>
      <c r="J3" s="8" t="s">
        <v>102</v>
      </c>
      <c r="K3" s="62"/>
      <c r="L3" s="63" t="s">
        <v>267</v>
      </c>
      <c r="M3" s="64" t="s">
        <v>268</v>
      </c>
      <c r="N3" s="64" t="s">
        <v>269</v>
      </c>
      <c r="O3" s="65" t="s">
        <v>256</v>
      </c>
      <c r="P3" s="6"/>
      <c r="Q3" s="37" t="s">
        <v>257</v>
      </c>
      <c r="R3" s="52" t="s">
        <v>258</v>
      </c>
      <c r="S3" s="37" t="s">
        <v>259</v>
      </c>
      <c r="T3" s="37" t="s">
        <v>260</v>
      </c>
      <c r="U3" s="37" t="s">
        <v>261</v>
      </c>
      <c r="V3" s="53" t="s">
        <v>262</v>
      </c>
      <c r="W3" s="37" t="s">
        <v>263</v>
      </c>
      <c r="X3" s="8" t="s">
        <v>102</v>
      </c>
      <c r="Y3" s="7"/>
      <c r="Z3" s="64" t="s">
        <v>267</v>
      </c>
      <c r="AA3" s="64" t="s">
        <v>270</v>
      </c>
      <c r="AB3" s="64" t="s">
        <v>271</v>
      </c>
      <c r="AC3" s="64" t="s">
        <v>272</v>
      </c>
      <c r="AD3" s="64" t="s">
        <v>273</v>
      </c>
      <c r="AE3" s="64" t="s">
        <v>274</v>
      </c>
      <c r="AF3" s="64" t="s">
        <v>275</v>
      </c>
      <c r="AG3" s="64" t="s">
        <v>276</v>
      </c>
      <c r="AH3" s="64" t="s">
        <v>277</v>
      </c>
      <c r="AI3" s="64" t="s">
        <v>278</v>
      </c>
      <c r="AJ3" s="64" t="s">
        <v>279</v>
      </c>
      <c r="AK3" s="0" t="str">
        <f aca="false">IF($O$5=Database!$H$4,VLOOKUP('Aussenwand unter &amp; über Terrain'!$O$6,Database!$D$16:$E$17,2,FALSE()),VLOOKUP('Aussenwand unter &amp; über Terrain'!$O$5,Database!$H$5:$O$6,7,FALSE()))</f>
        <v>1e</v>
      </c>
    </row>
    <row r="4" customFormat="false" ht="15.75" hidden="false" customHeight="false" outlineLevel="0" collapsed="false">
      <c r="B4" s="37" t="s">
        <v>68</v>
      </c>
      <c r="C4" s="54" t="str">
        <f aca="false">IF(Gebäude!$G$6=Database!$D$4,HLOOKUP(Database!$E$4,'Daten-Zusammensetzung Bauteil'!$B$4:$BC$11,Database!B4,FALSE()),HLOOKUP(Database!$E$5,'Daten-Zusammensetzung Bauteil'!$B$4:$BC$11,Database!B4,FALSE()))</f>
        <v>Hochbaubeton, 25 cm [kg]</v>
      </c>
      <c r="D4" s="55" t="str">
        <f aca="false">MID(IF(Gebäude!$G$6=Database!$D$4,HLOOKUP(Database!$E$4,'Daten-Funktion'!$B$4:$BC$11,Database!B4,FALSE()),HLOOKUP(Database!$E$5,'Daten-Funktion'!$B$4:$BC$11,Database!B4,FALSE())),1,2)</f>
        <v>C2</v>
      </c>
      <c r="E4" s="54" t="n">
        <f aca="false">IF(Gebäude!$G$6=Database!$D$4,HLOOKUP(Database!$E$4,'Daten-THGE'!$B$4:$BC$11,Database!B4,FALSE()),HLOOKUP(Database!$E$5,'Daten-THGE'!$B$4:$BC$11,Database!B4,FALSE()))</f>
        <v>0.00165333333333333</v>
      </c>
      <c r="F4" s="54" t="n">
        <f aca="false">IF(Gebäude!$G$6=Database!$D$4,HLOOKUP(Database!$E$4,'Daten-Dichte'!$B$4:$BC$11,Database!B4,FALSE()),HLOOKUP(Database!$E$5,'Daten-Dichte'!$B$4:$BC$11,Database!B4,FALSE()))</f>
        <v>2300</v>
      </c>
      <c r="G4" s="54" t="n">
        <f aca="false">IF(Gebäude!$G$6=Database!$D$4,HLOOKUP(Database!$E$4,'Daten-Dicke'!$B$4:$BC$11,Database!B4,FALSE()),HLOOKUP(Database!$E$5,'Daten-Dicke'!$B$4:$BC$11,Database!B4,FALSE()))</f>
        <v>24.6894904458599</v>
      </c>
      <c r="H4" s="9"/>
      <c r="I4" s="20" t="n">
        <f aca="false">IF(H4=0,F4*G4/100*E4,E4*F4*H4/1000)</f>
        <v>0.938859023354565</v>
      </c>
      <c r="J4" s="56" t="n">
        <f aca="false">IF($B$7=Database!$D$15,0,SUM(I4:I10)*Gebäude!$C$17)</f>
        <v>0</v>
      </c>
      <c r="K4" s="66" t="s">
        <v>31</v>
      </c>
      <c r="L4" s="67" t="n">
        <f aca="false">IF(D4="C2",1,0)</f>
        <v>1</v>
      </c>
      <c r="M4" s="67" t="n">
        <f aca="false">IF(D4="E1.2",1,0)</f>
        <v>0</v>
      </c>
      <c r="N4" s="67" t="n">
        <f aca="false">IF(D4="E1.3",1,0)</f>
        <v>0</v>
      </c>
      <c r="O4" s="66" t="s">
        <v>80</v>
      </c>
      <c r="P4" s="37" t="s">
        <v>280</v>
      </c>
      <c r="Q4" s="54" t="str">
        <f aca="false">HLOOKUP($AK$3,'Daten-Zusammensetzung Bauteil'!$B$4:$BC$10,Database!$B4,FALSE())</f>
        <v>Betonfertigteil, Normalbeton, ab Werk [kg]</v>
      </c>
      <c r="R4" s="55" t="str">
        <f aca="false">MID(HLOOKUP($AK$3,'Daten-Funktion'!$B$4:$BC$10,Database!$B4,FALSE()),1,2)</f>
        <v>C3</v>
      </c>
      <c r="S4" s="54" t="n">
        <f aca="false">HLOOKUP($AK$3,'Daten-THGE'!$B$4:$BC$10,Database!$B4,FALSE())</f>
        <v>0.00286666666666667</v>
      </c>
      <c r="T4" s="54" t="n">
        <f aca="false">HLOOKUP($AK$3,'Daten-Dichte'!$B$4:$BC$10,Database!$B4,FALSE())</f>
        <v>2500</v>
      </c>
      <c r="U4" s="54" t="n">
        <f aca="false">HLOOKUP($AK$3,'Daten-Dicke'!$B$4:$BC$10,Database!$B4,FALSE())</f>
        <v>1.29087048832272</v>
      </c>
      <c r="V4" s="9"/>
      <c r="W4" s="20" t="n">
        <f aca="false">IF(V4=0,T4*U4/100*S4,S4*T4*V4/1000)</f>
        <v>0.0925123849964614</v>
      </c>
      <c r="X4" s="56" t="n">
        <f aca="false">SUM(W4:W18)*Gebäude!$C$18</f>
        <v>2883.25253586978</v>
      </c>
      <c r="Y4" s="37" t="s">
        <v>31</v>
      </c>
      <c r="Z4" s="68" t="n">
        <f aca="false">IF(R4="C2",1,0)</f>
        <v>0</v>
      </c>
      <c r="AA4" s="68" t="n">
        <f aca="false">IF(R4="C3",1,0)</f>
        <v>1</v>
      </c>
      <c r="AB4" s="68" t="n">
        <f aca="false">IF(R4="G3.1",1,0)</f>
        <v>0</v>
      </c>
      <c r="AC4" s="68" t="n">
        <f aca="false">IF(R4="G3.2",1,0)</f>
        <v>0</v>
      </c>
      <c r="AD4" s="68" t="n">
        <v>0</v>
      </c>
      <c r="AE4" s="68" t="n">
        <v>0</v>
      </c>
      <c r="AF4" s="68" t="n">
        <v>0</v>
      </c>
      <c r="AG4" s="68" t="n">
        <v>0</v>
      </c>
      <c r="AH4" s="68" t="n">
        <v>0</v>
      </c>
      <c r="AI4" s="68" t="n">
        <v>0</v>
      </c>
      <c r="AJ4" s="68" t="n">
        <v>0</v>
      </c>
      <c r="AK4" s="0" t="str">
        <f aca="false">VLOOKUP($O$5,Database!$H$4:$O$6,8,FALSE())</f>
        <v>2j</v>
      </c>
    </row>
    <row r="5" customFormat="false" ht="15.75" hidden="false" customHeight="false" outlineLevel="0" collapsed="false">
      <c r="B5" s="37" t="str">
        <f aca="false">Gebäude!$G$4</f>
        <v>Mischbauweise</v>
      </c>
      <c r="C5" s="54" t="str">
        <f aca="false">IF(Gebäude!$G$6=Database!$D$4,HLOOKUP(Database!$E$4,'Daten-Zusammensetzung Bauteil'!$B$4:$BC$11,Database!B5,FALSE()),HLOOKUP(Database!$E$5,'Daten-Zusammensetzung Bauteil'!$B$4:$BC$11,Database!B5,FALSE()))</f>
        <v>Armierungsstahl [kg]</v>
      </c>
      <c r="D5" s="55" t="str">
        <f aca="false">MID(IF(Gebäude!$G$6=Database!$D$4,HLOOKUP(Database!$E$4,'Daten-Funktion'!$B$4:$BC$11,Database!B5,FALSE()),HLOOKUP(Database!$E$5,'Daten-Funktion'!$B$4:$BC$11,Database!B5,FALSE())),1,2)</f>
        <v>C2</v>
      </c>
      <c r="E5" s="54" t="n">
        <f aca="false">IF(Gebäude!$G$6=Database!$D$4,HLOOKUP(Database!$E$4,'Daten-THGE'!$B$4:$BC$11,Database!B5,FALSE()),HLOOKUP(Database!$E$5,'Daten-THGE'!$B$4:$BC$11,Database!B5,FALSE()))</f>
        <v>0.0113666666666667</v>
      </c>
      <c r="F5" s="54" t="n">
        <f aca="false">IF(Gebäude!$G$6=Database!$D$4,HLOOKUP(Database!$E$4,'Daten-Dichte'!$B$4:$BC$11,Database!B5,FALSE()),HLOOKUP(Database!$E$5,'Daten-Dichte'!$B$4:$BC$11,Database!B5,FALSE()))</f>
        <v>7850</v>
      </c>
      <c r="G5" s="54" t="n">
        <f aca="false">IF(Gebäude!$G$6=Database!$D$4,HLOOKUP(Database!$E$4,'Daten-Dicke'!$B$4:$BC$11,Database!B5,FALSE()),HLOOKUP(Database!$E$5,'Daten-Dicke'!$B$4:$BC$11,Database!B5,FALSE()))</f>
        <v>0.310509554140127</v>
      </c>
      <c r="H5" s="9"/>
      <c r="I5" s="20" t="n">
        <f aca="false">IF(H5=0,F5*G5/100*E5,E5*F5*H5/1000)</f>
        <v>0.2770625</v>
      </c>
      <c r="J5" s="54"/>
      <c r="K5" s="62"/>
      <c r="L5" s="67" t="n">
        <f aca="false">IF(D5="C2",1,0)</f>
        <v>1</v>
      </c>
      <c r="M5" s="67" t="n">
        <f aca="false">IF(D5="E1.2",1,0)</f>
        <v>0</v>
      </c>
      <c r="N5" s="67" t="n">
        <f aca="false">IF(D5="E1.3",1,0)</f>
        <v>0</v>
      </c>
      <c r="O5" s="66" t="str">
        <f aca="false">Gebäude!$G$4</f>
        <v>Mischbauweise</v>
      </c>
      <c r="P5" s="37"/>
      <c r="Q5" s="54" t="str">
        <f aca="false">HLOOKUP($AK$3,'Daten-Zusammensetzung Bauteil'!$B$4:$BC$10,Database!$B5,FALSE())</f>
        <v>Armierungsstahl [kg]</v>
      </c>
      <c r="R5" s="55" t="str">
        <f aca="false">MID(HLOOKUP($AK$3,'Daten-Funktion'!$B$4:$BC$10,Database!$B5,FALSE()),1,2)</f>
        <v>C3</v>
      </c>
      <c r="S5" s="54" t="n">
        <f aca="false">HLOOKUP($AK$3,'Daten-THGE'!$B$4:$BC$10,Database!$B5,FALSE())</f>
        <v>0.0113666666666667</v>
      </c>
      <c r="T5" s="54" t="n">
        <f aca="false">HLOOKUP($AK$3,'Daten-Dichte'!$B$4:$BC$10,Database!$B5,FALSE())</f>
        <v>7850</v>
      </c>
      <c r="U5" s="54" t="n">
        <f aca="false">HLOOKUP($AK$3,'Daten-Dicke'!$B$4:$BC$10,Database!$B5,FALSE())</f>
        <v>0.0955414012738854</v>
      </c>
      <c r="V5" s="9"/>
      <c r="W5" s="20" t="n">
        <f aca="false">IF(V5=0,T5*U5/100*S5,S5*T5*V5/1000)</f>
        <v>0.08525</v>
      </c>
      <c r="X5" s="54"/>
      <c r="Y5" s="7"/>
      <c r="Z5" s="68" t="n">
        <f aca="false">IF(R5="C2",1,0)</f>
        <v>0</v>
      </c>
      <c r="AA5" s="68" t="n">
        <f aca="false">IF(R5="C3",1,0)</f>
        <v>1</v>
      </c>
      <c r="AB5" s="68" t="n">
        <f aca="false">IF(R5="G3.1",1,0)</f>
        <v>0</v>
      </c>
      <c r="AC5" s="68" t="n">
        <f aca="false">IF(R5="G3.2",1,0)</f>
        <v>0</v>
      </c>
      <c r="AD5" s="68" t="n">
        <f aca="false">IF(R5="E2.1",1,0)</f>
        <v>0</v>
      </c>
      <c r="AE5" s="68" t="n">
        <f aca="false">IF(R5="E2.2",1,0)</f>
        <v>0</v>
      </c>
      <c r="AF5" s="68" t="n">
        <f aca="false">IF(R5="E2.3",1,0)</f>
        <v>0</v>
      </c>
      <c r="AG5" s="68" t="n">
        <f aca="false">IF(R5="E2.3",1,0)</f>
        <v>0</v>
      </c>
      <c r="AH5" s="68" t="n">
        <v>0</v>
      </c>
      <c r="AI5" s="68" t="n">
        <v>0</v>
      </c>
      <c r="AJ5" s="68" t="n">
        <v>0</v>
      </c>
    </row>
    <row r="6" customFormat="false" ht="15.75" hidden="false" customHeight="false" outlineLevel="0" collapsed="false">
      <c r="B6" s="37" t="str">
        <f aca="false">Gebäude!G6</f>
        <v>Unbeheizt</v>
      </c>
      <c r="C6" s="54" t="str">
        <f aca="false">IF(Gebäude!$G$6=Database!$D$4,HLOOKUP(Database!$E$4,'Daten-Zusammensetzung Bauteil'!$B$4:$BC$11,Database!B6,FALSE()),HLOOKUP(Database!$E$5,'Daten-Zusammensetzung Bauteil'!$B$4:$BC$11,Database!B6,FALSE()))</f>
        <v>3-SP Schalung 2.5cm (Annahme 5xverwendet) [kg]</v>
      </c>
      <c r="D6" s="55" t="str">
        <f aca="false">MID(IF(Gebäude!$G$6=Database!$D$4,HLOOKUP(Database!$E$4,'Daten-Funktion'!$B$4:$BC$11,Database!B6,FALSE()),HLOOKUP(Database!$E$5,'Daten-Funktion'!$B$4:$BC$11,Database!B6,FALSE())),1,2)</f>
        <v>C2</v>
      </c>
      <c r="E6" s="54" t="n">
        <f aca="false">IF(Gebäude!$G$6=Database!$D$4,HLOOKUP(Database!$E$4,'Daten-THGE'!$B$4:$BC$11,Database!B6,FALSE()),HLOOKUP(Database!$E$5,'Daten-THGE'!$B$4:$BC$11,Database!B6,FALSE()))</f>
        <v>0.00871666666666667</v>
      </c>
      <c r="F6" s="54" t="n">
        <f aca="false">IF(Gebäude!$G$6=Database!$D$4,HLOOKUP(Database!$E$4,'Daten-Dichte'!$B$4:$BC$11,Database!B6,FALSE()),HLOOKUP(Database!$E$5,'Daten-Dichte'!$B$4:$BC$11,Database!B6,FALSE()))</f>
        <v>470</v>
      </c>
      <c r="G6" s="54" t="n">
        <f aca="false">IF(Gebäude!$G$6=Database!$D$4,HLOOKUP(Database!$E$4,'Daten-Dicke'!$B$4:$BC$11,Database!B6,FALSE()),HLOOKUP(Database!$E$5,'Daten-Dicke'!$B$4:$BC$11,Database!B6,FALSE()))</f>
        <v>1</v>
      </c>
      <c r="H6" s="57"/>
      <c r="I6" s="20" t="n">
        <f aca="false">IF(H6=0,F6*G6/100*E6,E6*F6*H6/1000)</f>
        <v>0.0409683333333333</v>
      </c>
      <c r="J6" s="7"/>
      <c r="K6" s="62"/>
      <c r="L6" s="67" t="n">
        <f aca="false">IF(D6="C2",1,0)</f>
        <v>1</v>
      </c>
      <c r="M6" s="67" t="n">
        <f aca="false">IF(D6="E1.2",1,0)</f>
        <v>0</v>
      </c>
      <c r="N6" s="67" t="n">
        <f aca="false">IF(D6="E1.3",1,0)</f>
        <v>0</v>
      </c>
      <c r="O6" s="66" t="str">
        <f aca="false">Gebäude!G12</f>
        <v>Backsteinwand</v>
      </c>
      <c r="P6" s="37"/>
      <c r="Q6" s="54" t="str">
        <f aca="false">HLOOKUP($AK$3,'Daten-Zusammensetzung Bauteil'!$B$4:$BC$10,Database!$B6,FALSE())</f>
        <v>3-SP Schalung 2.5 cm (Annahme 5xverwendet) [kg]</v>
      </c>
      <c r="R6" s="55" t="str">
        <f aca="false">HLOOKUP($AK$3,'Daten-Funktion'!$B$4:$BC$10,Database!$B6,FALSE())</f>
        <v>C3.1</v>
      </c>
      <c r="S6" s="54" t="n">
        <f aca="false">HLOOKUP($AK$3,'Daten-THGE'!$B$4:$BC$10,Database!$B6,FALSE())</f>
        <v>0.00871666666666667</v>
      </c>
      <c r="T6" s="54" t="n">
        <f aca="false">HLOOKUP($AK$3,'Daten-Dichte'!$B$4:$BC$10,Database!$B6,FALSE())</f>
        <v>470</v>
      </c>
      <c r="U6" s="54" t="n">
        <f aca="false">HLOOKUP($AK$3,'Daten-Dicke'!$B$4:$BC$10,Database!$B6,FALSE())</f>
        <v>0.133333333333333</v>
      </c>
      <c r="V6" s="57"/>
      <c r="W6" s="20" t="n">
        <f aca="false">IF(V6=0,T6*U6/100*S6,S6*T6*V6/1000)</f>
        <v>0.00546244444444444</v>
      </c>
      <c r="X6" s="7"/>
      <c r="Y6" s="7"/>
      <c r="Z6" s="68" t="n">
        <f aca="false">IF(R6="C2",1,0)</f>
        <v>0</v>
      </c>
      <c r="AA6" s="68" t="n">
        <f aca="false">IF(R6="C3",1,0)</f>
        <v>0</v>
      </c>
      <c r="AB6" s="68" t="n">
        <f aca="false">IF(R6="G3.1",1,0)</f>
        <v>0</v>
      </c>
      <c r="AC6" s="68" t="n">
        <f aca="false">IF(R6="G3.2",1,0)</f>
        <v>0</v>
      </c>
      <c r="AD6" s="68" t="n">
        <f aca="false">IF(R6="E2.1",1,0)</f>
        <v>0</v>
      </c>
      <c r="AE6" s="68" t="n">
        <f aca="false">IF(R6="E2.2",1,0)</f>
        <v>0</v>
      </c>
      <c r="AF6" s="68" t="n">
        <f aca="false">IF(R6="E2.3",1,0)</f>
        <v>0</v>
      </c>
      <c r="AG6" s="68" t="n">
        <f aca="false">IF(R6="E2.3",1,0)</f>
        <v>0</v>
      </c>
      <c r="AH6" s="68" t="n">
        <v>0</v>
      </c>
      <c r="AI6" s="68" t="n">
        <v>0</v>
      </c>
      <c r="AJ6" s="68" t="n">
        <v>0</v>
      </c>
    </row>
    <row r="7" customFormat="false" ht="15.75" hidden="false" customHeight="false" outlineLevel="0" collapsed="false">
      <c r="B7" s="37" t="str">
        <f aca="false">Gebäude!G5</f>
        <v>Ohne UG</v>
      </c>
      <c r="C7" s="54" t="str">
        <f aca="false">IF(Gebäude!$G$6=Database!$D$4,HLOOKUP(Database!$E$4,'Daten-Zusammensetzung Bauteil'!$B$4:$BC$11,Database!B7,FALSE()),HLOOKUP(Database!$E$5,'Daten-Zusammensetzung Bauteil'!$B$4:$BC$11,Database!B7,FALSE()))</f>
        <v>Bitumenanstrich [m2]</v>
      </c>
      <c r="D7" s="55" t="str">
        <f aca="false">IF(Gebäude!$G$6=Database!$D$4,HLOOKUP(Database!$E$4,'Daten-Funktion'!$B$4:$BC$11,Database!B7,FALSE()),HLOOKUP(Database!$E$5,'Daten-Funktion'!$B$4:$BC$11,Database!B7,FALSE()))</f>
        <v>E1.3</v>
      </c>
      <c r="E7" s="54" t="n">
        <f aca="false">IF(Gebäude!$G$6=Database!$D$4,HLOOKUP(Database!$E$4,'Daten-THGE'!$B$4:$BC$11,Database!B7,FALSE()),HLOOKUP(Database!$E$5,'Daten-THGE'!$B$4:$BC$11,Database!B7,FALSE()))</f>
        <v>0.0470666666666667</v>
      </c>
      <c r="F7" s="54" t="n">
        <f aca="false">IF(Gebäude!$G$6=Database!$D$4,HLOOKUP(Database!$E$4,'Daten-Dichte'!$B$4:$BC$11,Database!B7,FALSE()),HLOOKUP(Database!$E$5,'Daten-Dichte'!$B$4:$BC$11,Database!B7,FALSE()))</f>
        <v>250</v>
      </c>
      <c r="G7" s="54" t="n">
        <f aca="false">IF(Gebäude!$G$6=Database!$D$4,HLOOKUP(Database!$E$4,'Daten-Dicke'!$B$4:$BC$11,Database!B7,FALSE()),HLOOKUP(Database!$E$5,'Daten-Dicke'!$B$4:$BC$11,Database!B7,FALSE()))</f>
        <v>0.1</v>
      </c>
      <c r="H7" s="57"/>
      <c r="I7" s="20" t="n">
        <f aca="false">IF(H7=0,F7*G7/100*E7,E7*F7*H7/1000)</f>
        <v>0.0117666666666667</v>
      </c>
      <c r="J7" s="7"/>
      <c r="K7" s="62"/>
      <c r="L7" s="67" t="n">
        <f aca="false">IF(D7="C2",1,0)</f>
        <v>0</v>
      </c>
      <c r="M7" s="67" t="n">
        <f aca="false">IF(D7="E1.2",1,0)</f>
        <v>0</v>
      </c>
      <c r="N7" s="67" t="n">
        <f aca="false">IF(D7="E1.3",1,0)</f>
        <v>1</v>
      </c>
      <c r="O7" s="62"/>
      <c r="P7" s="7"/>
      <c r="Q7" s="54" t="n">
        <f aca="false">HLOOKUP($AK$3,'Daten-Zusammensetzung Bauteil'!$B$4:$BC$10,Database!$B7,FALSE())</f>
        <v>0</v>
      </c>
      <c r="R7" s="55" t="n">
        <f aca="false">HLOOKUP($AK$3,'Daten-Funktion'!$B$4:$BC$10,Database!$B7,FALSE())</f>
        <v>0</v>
      </c>
      <c r="S7" s="54" t="n">
        <f aca="false">HLOOKUP($AK$3,'Daten-THGE'!$B$4:$BC$10,Database!$B7,FALSE())</f>
        <v>0</v>
      </c>
      <c r="T7" s="54" t="n">
        <f aca="false">HLOOKUP($AK$3,'Daten-Dichte'!$B$4:$BC$10,Database!$B7,FALSE())</f>
        <v>0</v>
      </c>
      <c r="U7" s="54" t="n">
        <f aca="false">HLOOKUP($AK$3,'Daten-Dicke'!$B$4:$BC$10,Database!$B7,FALSE())</f>
        <v>0</v>
      </c>
      <c r="V7" s="57"/>
      <c r="W7" s="20" t="n">
        <f aca="false">IF(V7=0,T7*U7/100*S7,S7*T7*V7/1000)</f>
        <v>0</v>
      </c>
      <c r="X7" s="7"/>
      <c r="Y7" s="7"/>
      <c r="Z7" s="68" t="n">
        <f aca="false">IF(R7="C2",1,0)</f>
        <v>0</v>
      </c>
      <c r="AA7" s="68" t="n">
        <f aca="false">IF(R7="C3",1,0)</f>
        <v>0</v>
      </c>
      <c r="AB7" s="68" t="n">
        <f aca="false">IF(R7="G3.1",1,0)</f>
        <v>0</v>
      </c>
      <c r="AC7" s="68" t="n">
        <f aca="false">IF(R7="G3.2",1,0)</f>
        <v>0</v>
      </c>
      <c r="AD7" s="68" t="n">
        <f aca="false">IF(R7="E2.1",1,0)</f>
        <v>0</v>
      </c>
      <c r="AE7" s="68" t="n">
        <f aca="false">IF(R7="E2.2",1,0)</f>
        <v>0</v>
      </c>
      <c r="AF7" s="68" t="n">
        <f aca="false">IF(R7="E2.3",1,0)</f>
        <v>0</v>
      </c>
      <c r="AG7" s="68" t="n">
        <f aca="false">IF(R7="E2.3",1,0)</f>
        <v>0</v>
      </c>
      <c r="AH7" s="68" t="n">
        <v>0</v>
      </c>
      <c r="AI7" s="68" t="n">
        <v>0</v>
      </c>
      <c r="AJ7" s="68" t="n">
        <v>0</v>
      </c>
    </row>
    <row r="8" customFormat="false" ht="15.75" hidden="false" customHeight="false" outlineLevel="0" collapsed="false">
      <c r="B8" s="7"/>
      <c r="C8" s="54" t="str">
        <f aca="false">IF(Gebäude!$G$6=Database!$D$4,HLOOKUP(Database!$E$4,'Daten-Zusammensetzung Bauteil'!$B$4:$BC$11,Database!B8,FALSE()),HLOOKUP(Database!$E$5,'Daten-Zusammensetzung Bauteil'!$B$4:$BC$11,Database!B8,FALSE()))</f>
        <v>Noppenfolie PE [kg]</v>
      </c>
      <c r="D8" s="55" t="str">
        <f aca="false">IF(Gebäude!$G$6=Database!$D$4,HLOOKUP(Database!$E$4,'Daten-Funktion'!$B$4:$BC$11,Database!B8,FALSE()),HLOOKUP(Database!$E$5,'Daten-Funktion'!$B$4:$BC$11,Database!B8,FALSE()))</f>
        <v>E1.3</v>
      </c>
      <c r="E8" s="54" t="n">
        <f aca="false">IF(Gebäude!$G$6=Database!$D$4,HLOOKUP(Database!$E$4,'Daten-THGE'!$B$4:$BC$11,Database!B8,FALSE()),HLOOKUP(Database!$E$5,'Daten-THGE'!$B$4:$BC$11,Database!B8,FALSE()))</f>
        <v>0.0901666666666667</v>
      </c>
      <c r="F8" s="54" t="n">
        <f aca="false">IF(Gebäude!$G$6=Database!$D$4,HLOOKUP(Database!$E$4,'Daten-Dichte'!$B$4:$BC$11,Database!B8,FALSE()),HLOOKUP(Database!$E$5,'Daten-Dichte'!$B$4:$BC$11,Database!B8,FALSE()))</f>
        <v>960</v>
      </c>
      <c r="G8" s="54" t="n">
        <f aca="false">IF(Gebäude!$G$6=Database!$D$4,HLOOKUP(Database!$E$4,'Daten-Dicke'!$B$4:$BC$11,Database!B8,FALSE()),HLOOKUP(Database!$E$5,'Daten-Dicke'!$B$4:$BC$11,Database!B8,FALSE()))</f>
        <v>0.260416666666667</v>
      </c>
      <c r="H8" s="57"/>
      <c r="I8" s="20" t="n">
        <f aca="false">IF(H8=0,F8*G8/100*E8,E8*F8*H8/1000)</f>
        <v>0.225416666666667</v>
      </c>
      <c r="J8" s="7"/>
      <c r="K8" s="62"/>
      <c r="L8" s="67" t="n">
        <f aca="false">IF(D8="C2",1,0)</f>
        <v>0</v>
      </c>
      <c r="M8" s="67" t="n">
        <f aca="false">IF(D8="E1.2",1,0)</f>
        <v>0</v>
      </c>
      <c r="N8" s="67" t="n">
        <f aca="false">IF(D8="E1.3",1,0)</f>
        <v>1</v>
      </c>
      <c r="O8" s="62"/>
      <c r="P8" s="7"/>
      <c r="Q8" s="54" t="n">
        <f aca="false">HLOOKUP($AK$3,'Daten-Zusammensetzung Bauteil'!$B$4:$BC$10,Database!$B8,FALSE())</f>
        <v>0</v>
      </c>
      <c r="R8" s="55" t="n">
        <f aca="false">HLOOKUP($AK$3,'Daten-Funktion'!$B$4:$BC$10,Database!$B8,FALSE())</f>
        <v>0</v>
      </c>
      <c r="S8" s="54" t="n">
        <f aca="false">HLOOKUP($AK$3,'Daten-THGE'!$B$4:$BC$10,Database!$B8,FALSE())</f>
        <v>0</v>
      </c>
      <c r="T8" s="54" t="n">
        <f aca="false">HLOOKUP($AK$3,'Daten-Dichte'!$B$4:$BC$10,Database!$B8,FALSE())</f>
        <v>0</v>
      </c>
      <c r="U8" s="54" t="n">
        <f aca="false">HLOOKUP($AK$3,'Daten-Dicke'!$B$4:$BC$10,Database!$B8,FALSE())</f>
        <v>0</v>
      </c>
      <c r="V8" s="57"/>
      <c r="W8" s="20" t="n">
        <f aca="false">IF(V8=0,T8*U8/100*S8,S8*T8*V8/1000)</f>
        <v>0</v>
      </c>
      <c r="X8" s="7"/>
      <c r="Y8" s="7"/>
      <c r="Z8" s="68" t="n">
        <f aca="false">IF(R8="C2",1,0)</f>
        <v>0</v>
      </c>
      <c r="AA8" s="68" t="n">
        <f aca="false">IF(R8="C3",1,0)</f>
        <v>0</v>
      </c>
      <c r="AB8" s="68" t="n">
        <f aca="false">IF(R8="G3.1",1,0)</f>
        <v>0</v>
      </c>
      <c r="AC8" s="68" t="n">
        <f aca="false">IF(R8="G3.2",1,0)</f>
        <v>0</v>
      </c>
      <c r="AD8" s="68" t="n">
        <f aca="false">IF(R8="E2.1",1,0)</f>
        <v>0</v>
      </c>
      <c r="AE8" s="68" t="n">
        <f aca="false">IF(R8="E2.2",1,0)</f>
        <v>0</v>
      </c>
      <c r="AF8" s="68" t="n">
        <f aca="false">IF(R8="E2.3",1,0)</f>
        <v>0</v>
      </c>
      <c r="AG8" s="68" t="n">
        <f aca="false">IF(R8="E2.3",1,0)</f>
        <v>0</v>
      </c>
      <c r="AH8" s="68" t="n">
        <v>0</v>
      </c>
      <c r="AI8" s="68" t="n">
        <v>0</v>
      </c>
      <c r="AJ8" s="68" t="n">
        <v>0</v>
      </c>
    </row>
    <row r="9" customFormat="false" ht="15.75" hidden="false" customHeight="false" outlineLevel="0" collapsed="false">
      <c r="B9" s="7"/>
      <c r="C9" s="54" t="str">
        <f aca="false">IF(Gebäude!$G$6=Database!$D$4,HLOOKUP(Database!$E$4,'Daten-Zusammensetzung Bauteil'!$B$4:$BC$11,Database!B9,FALSE()),HLOOKUP(Database!$E$5,'Daten-Zusammensetzung Bauteil'!$B$4:$BC$11,Database!B9,FALSE()))</f>
        <v>Polystyrol extrudiert, 33 kg/m3, lamdaD 0.033 W/mK, 20 cm [kg]</v>
      </c>
      <c r="D9" s="55" t="str">
        <f aca="false">IF(Gebäude!$G$6=Database!$D$4,HLOOKUP(Database!$E$4,'Daten-Funktion'!$B$4:$BC$11,Database!B9,FALSE()),HLOOKUP(Database!$E$5,'Daten-Funktion'!$B$4:$BC$11,Database!B9,FALSE()))</f>
        <v>E1.2</v>
      </c>
      <c r="E9" s="54" t="n">
        <f aca="false">IF(Gebäude!$G$6=Database!$D$4,HLOOKUP(Database!$E$4,'Daten-THGE'!$B$4:$BC$11,Database!B9,FALSE()),HLOOKUP(Database!$E$5,'Daten-THGE'!$B$4:$BC$11,Database!B9,FALSE()))</f>
        <v>0.241666666666667</v>
      </c>
      <c r="F9" s="54" t="n">
        <f aca="false">IF(Gebäude!$G$6=Database!$D$4,HLOOKUP(Database!$E$4,'Daten-Dichte'!$B$4:$BC$11,Database!B9,FALSE()),HLOOKUP(Database!$E$5,'Daten-Dichte'!$B$4:$BC$11,Database!B9,FALSE()))</f>
        <v>33</v>
      </c>
      <c r="G9" s="54" t="n">
        <f aca="false">IF(Gebäude!$G$6=Database!$D$4,HLOOKUP(Database!$E$4,'Daten-Dicke'!$B$4:$BC$11,Database!B9,FALSE()),HLOOKUP(Database!$E$5,'Daten-Dicke'!$B$4:$BC$11,Database!B9,FALSE()))</f>
        <v>20</v>
      </c>
      <c r="H9" s="57"/>
      <c r="I9" s="20" t="n">
        <f aca="false">IF(H9=0,F9*G9/100*E9,E9*F9*H9/1000)</f>
        <v>1.595</v>
      </c>
      <c r="J9" s="7"/>
      <c r="K9" s="62"/>
      <c r="L9" s="67" t="n">
        <f aca="false">IF(D9="C2",1,0)</f>
        <v>0</v>
      </c>
      <c r="M9" s="67" t="n">
        <f aca="false">IF(D9="E1.2",1,0)</f>
        <v>1</v>
      </c>
      <c r="N9" s="67" t="n">
        <f aca="false">IF(D9="E1.3",1,0)</f>
        <v>0</v>
      </c>
      <c r="O9" s="62"/>
      <c r="P9" s="7"/>
      <c r="Q9" s="54" t="n">
        <f aca="false">HLOOKUP($AK$3,'Daten-Zusammensetzung Bauteil'!$B$4:$BC$10,Database!$B9,FALSE())</f>
        <v>0</v>
      </c>
      <c r="R9" s="55" t="n">
        <f aca="false">HLOOKUP($AK$3,'Daten-Funktion'!$B$4:$BC$10,Database!$B9,FALSE())</f>
        <v>0</v>
      </c>
      <c r="S9" s="54" t="n">
        <f aca="false">HLOOKUP($AK$3,'Daten-THGE'!$B$4:$BC$10,Database!$B9,FALSE())</f>
        <v>0</v>
      </c>
      <c r="T9" s="54" t="n">
        <f aca="false">HLOOKUP($AK$3,'Daten-Dichte'!$B$4:$BC$10,Database!$B9,FALSE())</f>
        <v>0</v>
      </c>
      <c r="U9" s="54" t="n">
        <f aca="false">HLOOKUP($AK$3,'Daten-Dicke'!$B$4:$BC$10,Database!$B9,FALSE())</f>
        <v>0</v>
      </c>
      <c r="V9" s="57"/>
      <c r="W9" s="20" t="n">
        <f aca="false">IF(V9=0,T9*U9/100*S9,S9*T9*V9/1000)</f>
        <v>0</v>
      </c>
      <c r="X9" s="7"/>
      <c r="Y9" s="7"/>
      <c r="Z9" s="68" t="n">
        <f aca="false">IF(R9="C2",1,0)</f>
        <v>0</v>
      </c>
      <c r="AA9" s="68" t="n">
        <f aca="false">IF(R9="C3",1,0)</f>
        <v>0</v>
      </c>
      <c r="AB9" s="68" t="n">
        <f aca="false">IF(R9="G3.1",1,0)</f>
        <v>0</v>
      </c>
      <c r="AC9" s="68" t="n">
        <f aca="false">IF(R9="G3.2",1,0)</f>
        <v>0</v>
      </c>
      <c r="AD9" s="68" t="n">
        <f aca="false">IF(R9="E2.1",1,0)</f>
        <v>0</v>
      </c>
      <c r="AE9" s="68" t="n">
        <f aca="false">IF(R9="E2.2",1,0)</f>
        <v>0</v>
      </c>
      <c r="AF9" s="68" t="n">
        <f aca="false">IF(R9="E2.3",1,0)</f>
        <v>0</v>
      </c>
      <c r="AG9" s="68" t="n">
        <f aca="false">IF(R9="E2.3",1,0)</f>
        <v>0</v>
      </c>
      <c r="AH9" s="68" t="n">
        <v>0</v>
      </c>
      <c r="AI9" s="68" t="n">
        <v>0</v>
      </c>
      <c r="AJ9" s="68" t="n">
        <v>0</v>
      </c>
    </row>
    <row r="10" customFormat="false" ht="15.75" hidden="false" customHeight="false" outlineLevel="0" collapsed="false">
      <c r="B10" s="7"/>
      <c r="C10" s="54" t="str">
        <f aca="false">IF(Gebäude!$G$6=Database!$D$4,HLOOKUP(Database!$E$4,'Daten-Zusammensetzung Bauteil'!$B$4:$BC$11,Database!B10,FALSE()),HLOOKUP(Database!$E$5,'Daten-Zusammensetzung Bauteil'!$B$4:$BC$11,Database!B10,FALSE()))</f>
        <v>Bitumenkleber [kg]</v>
      </c>
      <c r="D10" s="55" t="str">
        <f aca="false">IF(Gebäude!$G$6=Database!$D$4,HLOOKUP(Database!$E$4,'Daten-Funktion'!$B$4:$BC$11,Database!B10,FALSE()),HLOOKUP(Database!$E$5,'Daten-Funktion'!$B$4:$BC$11,Database!B10,FALSE()))</f>
        <v>E1.2</v>
      </c>
      <c r="E10" s="54" t="n">
        <f aca="false">IF(Gebäude!$G$6=Database!$D$4,HLOOKUP(Database!$E$4,'Daten-THGE'!$B$4:$BC$11,Database!B10,FALSE()),HLOOKUP(Database!$E$5,'Daten-THGE'!$B$4:$BC$11,Database!B10,FALSE()))</f>
        <v>0.051</v>
      </c>
      <c r="F10" s="54" t="n">
        <f aca="false">IF(Gebäude!$G$6=Database!$D$4,HLOOKUP(Database!$E$4,'Daten-Dichte'!$B$4:$BC$11,Database!B10,FALSE()),HLOOKUP(Database!$E$5,'Daten-Dichte'!$B$4:$BC$11,Database!B10,FALSE()))</f>
        <v>1000</v>
      </c>
      <c r="G10" s="54" t="n">
        <f aca="false">IF(Gebäude!$G$6=Database!$D$4,HLOOKUP(Database!$E$4,'Daten-Dicke'!$B$4:$BC$11,Database!B10,FALSE()),HLOOKUP(Database!$E$5,'Daten-Dicke'!$B$4:$BC$11,Database!B10,FALSE()))</f>
        <v>0.3</v>
      </c>
      <c r="H10" s="57"/>
      <c r="I10" s="20" t="n">
        <f aca="false">IF(H10=0,F10*G10/100*E10,E10*F10*H10/1000)</f>
        <v>0.153</v>
      </c>
      <c r="J10" s="7"/>
      <c r="K10" s="62"/>
      <c r="L10" s="67" t="n">
        <f aca="false">IF(D10="C2",1,0)</f>
        <v>0</v>
      </c>
      <c r="M10" s="67" t="n">
        <f aca="false">IF(D10="E1.2",1,0)</f>
        <v>1</v>
      </c>
      <c r="N10" s="67" t="n">
        <f aca="false">IF(D10="E1.3",1,0)</f>
        <v>0</v>
      </c>
      <c r="O10" s="62"/>
      <c r="P10" s="7"/>
      <c r="Q10" s="54"/>
      <c r="R10" s="55"/>
      <c r="S10" s="54"/>
      <c r="T10" s="54"/>
      <c r="U10" s="54"/>
      <c r="W10" s="20"/>
      <c r="X10" s="7"/>
      <c r="Y10" s="7"/>
    </row>
    <row r="11" customFormat="false" ht="15.75" hidden="false" customHeight="false" outlineLevel="0" collapsed="false">
      <c r="B11" s="7"/>
      <c r="C11" s="54"/>
      <c r="D11" s="55"/>
      <c r="E11" s="54"/>
      <c r="F11" s="54"/>
      <c r="G11" s="54"/>
      <c r="H11" s="54"/>
      <c r="I11" s="54"/>
      <c r="J11" s="7"/>
      <c r="K11" s="62"/>
      <c r="L11" s="67" t="n">
        <f aca="false">IF(J4=0,0,SUMPRODUCT(I4:I10*L4:L10)/SUM(I4:I10))</f>
        <v>0</v>
      </c>
      <c r="M11" s="67" t="n">
        <f aca="false">IF(J4=0,0,SUMPRODUCT(I4:I10*M4:M10)/SUM(I4:I10))</f>
        <v>0</v>
      </c>
      <c r="N11" s="67" t="n">
        <f aca="false">IF(J4=0,0,SUMPRODUCT(I4:I10*N4:N10)/SUM(I4:I10))</f>
        <v>0</v>
      </c>
      <c r="O11" s="69" t="n">
        <f aca="false">SUM(L11:N11)</f>
        <v>0</v>
      </c>
      <c r="P11" s="37" t="s">
        <v>281</v>
      </c>
      <c r="Q11" s="54" t="str">
        <f aca="false">HLOOKUP($AK$4,'Daten-Zusammensetzung Bauteil'!$B$4:$BC$12,Database!$B4,FALSE())</f>
        <v>Pfostenriegel Alu/Glas [m2]</v>
      </c>
      <c r="R11" s="55" t="str">
        <f aca="false">HLOOKUP($AK$4,'Daten-Funktion'!$B$4:$BC$12,Database!$B4,FALSE())</f>
        <v>E2.4</v>
      </c>
      <c r="S11" s="54" t="n">
        <f aca="false">HLOOKUP($AK$4,'Daten-THGE'!$B$4:$BC$12,Database!$B4,FALSE())</f>
        <v>4.425</v>
      </c>
      <c r="T11" s="54" t="n">
        <f aca="false">HLOOKUP($AK$4,'Daten-Dichte'!$B$4:$BC$12,Database!$B4,FALSE())</f>
        <v>10</v>
      </c>
      <c r="U11" s="54" t="n">
        <f aca="false">HLOOKUP($AK$4,'Daten-Dicke'!$B$4:$BC$12,Database!$B4,FALSE())</f>
        <v>10</v>
      </c>
      <c r="V11" s="57"/>
      <c r="W11" s="20" t="n">
        <f aca="false">IF(V11=0,T11*U11/100*S11,S11*T11*V11/1000)</f>
        <v>4.425</v>
      </c>
      <c r="X11" s="7"/>
      <c r="Y11" s="7"/>
      <c r="Z11" s="68" t="n">
        <v>0</v>
      </c>
      <c r="AA11" s="68" t="n">
        <v>0</v>
      </c>
      <c r="AB11" s="68" t="n">
        <f aca="false">IF(R11="G3.1",1,0)</f>
        <v>0</v>
      </c>
      <c r="AC11" s="68" t="n">
        <f aca="false">IF(R11="G3.2",1,0)</f>
        <v>0</v>
      </c>
      <c r="AD11" s="68" t="n">
        <f aca="false">IF(R11="E2.1",1,0)</f>
        <v>0</v>
      </c>
      <c r="AE11" s="68" t="n">
        <f aca="false">IF(R11="E2.2",1,0)</f>
        <v>0</v>
      </c>
      <c r="AF11" s="68" t="n">
        <f aca="false">IF(R11="E2.3",1,0)</f>
        <v>0</v>
      </c>
      <c r="AG11" s="68" t="n">
        <f aca="false">IF(R11="E2.4",1,0)</f>
        <v>1</v>
      </c>
      <c r="AH11" s="68" t="n">
        <f aca="false">IF(R11="E3.1",1,0)</f>
        <v>0</v>
      </c>
      <c r="AI11" s="68" t="n">
        <f aca="false">IF(R11="E3.2",1,0)</f>
        <v>0</v>
      </c>
      <c r="AJ11" s="68" t="n">
        <f aca="false">IF(R11="E3.3",1,0)</f>
        <v>0</v>
      </c>
    </row>
    <row r="12" customFormat="false" ht="15.75" hidden="false" customHeight="false" outlineLevel="0" collapsed="false">
      <c r="B12" s="59" t="s">
        <v>265</v>
      </c>
      <c r="L12" s="70"/>
      <c r="M12" s="70"/>
      <c r="N12" s="70"/>
      <c r="O12" s="62"/>
      <c r="P12" s="7"/>
      <c r="Q12" s="54" t="str">
        <f aca="false">HLOOKUP($AK$4,'Daten-Zusammensetzung Bauteil'!$B$4:$BC$12,Database!$B5,FALSE())</f>
        <v>Lamellenstoren [m2]</v>
      </c>
      <c r="R12" s="55" t="str">
        <f aca="false">HLOOKUP($AK$4,'Daten-Funktion'!$B$4:$BC$12,Database!$B5,FALSE())</f>
        <v>E3.3</v>
      </c>
      <c r="S12" s="54" t="n">
        <f aca="false">HLOOKUP($AK$4,'Daten-THGE'!$B$4:$BC$12,Database!$B5,FALSE())</f>
        <v>1.435</v>
      </c>
      <c r="T12" s="54" t="n">
        <f aca="false">HLOOKUP($AK$4,'Daten-Dichte'!$B$4:$BC$12,Database!$B5,FALSE())</f>
        <v>10</v>
      </c>
      <c r="U12" s="54" t="n">
        <f aca="false">HLOOKUP($AK$4,'Daten-Dicke'!$B$4:$BC$12,Database!$B5,FALSE())</f>
        <v>10</v>
      </c>
      <c r="V12" s="57"/>
      <c r="W12" s="20" t="n">
        <f aca="false">IF(V12=0,T12*U12/100*S12,S12*T12*V12/1000)</f>
        <v>1.435</v>
      </c>
      <c r="X12" s="7"/>
      <c r="Y12" s="7"/>
      <c r="Z12" s="68" t="n">
        <v>0</v>
      </c>
      <c r="AA12" s="68" t="n">
        <v>0</v>
      </c>
      <c r="AB12" s="68" t="n">
        <f aca="false">IF(R12="G3.1",1,0)</f>
        <v>0</v>
      </c>
      <c r="AC12" s="68" t="n">
        <f aca="false">IF(R12="G3.2",1,0)</f>
        <v>0</v>
      </c>
      <c r="AD12" s="68" t="n">
        <f aca="false">IF(R12="E2.1",1,0)</f>
        <v>0</v>
      </c>
      <c r="AE12" s="68" t="n">
        <f aca="false">IF(R12="E2.2",1,0)</f>
        <v>0</v>
      </c>
      <c r="AF12" s="68" t="n">
        <f aca="false">IF(R12="E2.3",1,0)</f>
        <v>0</v>
      </c>
      <c r="AG12" s="68" t="n">
        <f aca="false">IF(R12="E2.4",1,0)</f>
        <v>0</v>
      </c>
      <c r="AH12" s="68" t="n">
        <f aca="false">IF(R12="E3.1",1,0)</f>
        <v>0</v>
      </c>
      <c r="AI12" s="68" t="n">
        <f aca="false">IF(R12="E3.2",1,0)</f>
        <v>0</v>
      </c>
      <c r="AJ12" s="68" t="n">
        <f aca="false">IF(R12="E3.3",1,0)</f>
        <v>1</v>
      </c>
    </row>
    <row r="13" customFormat="false" ht="20.25" hidden="false" customHeight="false" outlineLevel="0" collapsed="false">
      <c r="B13" s="6" t="s">
        <v>256</v>
      </c>
      <c r="C13" s="37" t="s">
        <v>257</v>
      </c>
      <c r="D13" s="52"/>
      <c r="E13" s="37" t="s">
        <v>259</v>
      </c>
      <c r="F13" s="37" t="s">
        <v>260</v>
      </c>
      <c r="G13" s="37" t="s">
        <v>261</v>
      </c>
      <c r="H13" s="53" t="s">
        <v>262</v>
      </c>
      <c r="I13" s="37" t="s">
        <v>263</v>
      </c>
      <c r="J13" s="8" t="s">
        <v>102</v>
      </c>
      <c r="K13" s="62"/>
      <c r="Q13" s="54" t="str">
        <f aca="false">HLOOKUP($AK$4,'Daten-Zusammensetzung Bauteil'!$B$4:$BC$12,Database!$B6,FALSE())</f>
        <v>Ausstellstoren [m2]</v>
      </c>
      <c r="R13" s="55" t="str">
        <f aca="false">HLOOKUP($AK$4,'Daten-Funktion'!$B$4:$BC$12,Database!$B6,FALSE())</f>
        <v>E3.3</v>
      </c>
      <c r="S13" s="54" t="n">
        <f aca="false">HLOOKUP($AK$4,'Daten-THGE'!$B$4:$BC$12,Database!$B6,FALSE())</f>
        <v>1.625</v>
      </c>
      <c r="T13" s="54" t="n">
        <f aca="false">HLOOKUP($AK$4,'Daten-Dichte'!$B$4:$BC$12,Database!$B6,FALSE())</f>
        <v>10</v>
      </c>
      <c r="U13" s="54" t="n">
        <f aca="false">HLOOKUP($AK$4,'Daten-Dicke'!$B$4:$BC$12,Database!$B6,FALSE())</f>
        <v>10</v>
      </c>
      <c r="V13" s="57"/>
      <c r="W13" s="20" t="n">
        <f aca="false">IF(V13=0,T13*U13/100*S13,S13*T13*V13/1000)</f>
        <v>1.625</v>
      </c>
      <c r="Z13" s="68" t="n">
        <v>0</v>
      </c>
      <c r="AA13" s="68" t="n">
        <v>0</v>
      </c>
      <c r="AB13" s="68" t="n">
        <f aca="false">IF(R13="G3.1",1,0)</f>
        <v>0</v>
      </c>
      <c r="AC13" s="68" t="n">
        <f aca="false">IF(R13="G3.2",1,0)</f>
        <v>0</v>
      </c>
      <c r="AD13" s="68" t="n">
        <f aca="false">IF(R13="E2.1",1,0)</f>
        <v>0</v>
      </c>
      <c r="AE13" s="68" t="n">
        <f aca="false">IF(R13="E2.2",1,0)</f>
        <v>0</v>
      </c>
      <c r="AF13" s="68" t="n">
        <f aca="false">IF(R13="E2.3",1,0)</f>
        <v>0</v>
      </c>
      <c r="AG13" s="68" t="n">
        <f aca="false">IF(R13="E2.4",1,0)</f>
        <v>0</v>
      </c>
      <c r="AH13" s="68" t="n">
        <f aca="false">IF(R13="E3.1",1,0)</f>
        <v>0</v>
      </c>
      <c r="AI13" s="68" t="n">
        <f aca="false">IF(R13="E3.2",1,0)</f>
        <v>0</v>
      </c>
      <c r="AJ13" s="68" t="n">
        <f aca="false">IF(R13="E3.3",1,0)</f>
        <v>1</v>
      </c>
    </row>
    <row r="14" customFormat="false" ht="15.75" hidden="false" customHeight="false" outlineLevel="0" collapsed="false">
      <c r="B14" s="37" t="s">
        <v>68</v>
      </c>
      <c r="C14" s="54" t="str">
        <f aca="false">IF($B$16=Database!$D$4,HLOOKUP(Database!$E$4,'Daten-Zusammensetzung Bauteil'!$B$4:$BC$11,Database!B4,FALSE()),HLOOKUP(Database!$E$5,'Daten-Zusammensetzung Bauteil'!$B$4:$BC$11,Database!B4,FALSE()))</f>
        <v>Hochbaubeton, 25 cm [kg]</v>
      </c>
      <c r="D14" s="55" t="str">
        <f aca="false">MID(IF($B$16=Database!$D$4,HLOOKUP(Database!$E$4,'Daten-Funktion'!$B$4:$BC$11,Database!B4,FALSE()),HLOOKUP(Database!$E$5,'Daten-Funktion'!$B$4:$BC$11,Database!B4,FALSE())),1,2)</f>
        <v>C2</v>
      </c>
      <c r="E14" s="54" t="n">
        <f aca="false">IF($B$16=Database!$D$4,HLOOKUP(Database!$E$4,'Daten-THGE'!$B$4:$BC$11,Database!B4,FALSE()),HLOOKUP(Database!$E$5,'Daten-THGE'!$B$4:$BC$11,Database!B4,FALSE()))</f>
        <v>0.00165333333333333</v>
      </c>
      <c r="F14" s="54" t="n">
        <f aca="false">IF($B$16=Database!$D$4,HLOOKUP(Database!$E$4,'Daten-Dichte'!$B$4:$BC$11,Database!B4,FALSE()),HLOOKUP(Database!$E$5,'Daten-Dichte'!$B$4:$BC$11,Database!B4,FALSE()))</f>
        <v>2300</v>
      </c>
      <c r="G14" s="54" t="n">
        <f aca="false">IF($B$16=Database!$D$4,HLOOKUP(Database!$E$4,'Daten-Dicke'!$B$4:$BC$11,Database!B4,FALSE()),HLOOKUP(Database!$E$5,'Daten-Dicke'!$B$4:$BC$11,Database!B4,FALSE()))</f>
        <v>24.6894904458599</v>
      </c>
      <c r="H14" s="9"/>
      <c r="I14" s="20" t="n">
        <f aca="false">IF(H4=0,F4*G4/100*E4,E4*F4*H4/1000)</f>
        <v>0.938859023354565</v>
      </c>
      <c r="J14" s="56" t="n">
        <f aca="false">IF($B$17=Database!$D$15,0,SUM(I14:I20)*B19)</f>
        <v>0</v>
      </c>
      <c r="K14" s="66" t="s">
        <v>31</v>
      </c>
      <c r="L14" s="67" t="n">
        <f aca="false">IF(D14="C2",1,0)</f>
        <v>1</v>
      </c>
      <c r="M14" s="67" t="n">
        <f aca="false">IF(D14="E1.2",1,0)</f>
        <v>0</v>
      </c>
      <c r="N14" s="67" t="n">
        <f aca="false">IF(D14="E1.3",1,0)</f>
        <v>0</v>
      </c>
      <c r="Q14" s="54" t="n">
        <f aca="false">HLOOKUP($AK$4,'Daten-Zusammensetzung Bauteil'!$B$4:$BC$12,Database!$B7,FALSE())</f>
        <v>0</v>
      </c>
      <c r="R14" s="55" t="n">
        <f aca="false">HLOOKUP($AK$4,'Daten-Funktion'!$B$4:$BC$12,Database!$B7,FALSE())</f>
        <v>0</v>
      </c>
      <c r="S14" s="54" t="n">
        <f aca="false">HLOOKUP($AK$4,'Daten-THGE'!$B$4:$BC$12,Database!$B7,FALSE())</f>
        <v>0</v>
      </c>
      <c r="T14" s="54" t="n">
        <f aca="false">HLOOKUP($AK$4,'Daten-Dichte'!$B$4:$BC$12,Database!$B7,FALSE())</f>
        <v>0</v>
      </c>
      <c r="U14" s="54" t="n">
        <f aca="false">HLOOKUP($AK$4,'Daten-Dicke'!$B$4:$BC$12,Database!$B7,FALSE())</f>
        <v>0</v>
      </c>
      <c r="V14" s="57"/>
      <c r="W14" s="20" t="n">
        <f aca="false">IF(V14=0,T14*U14/100*S14,S14*T14*V14/1000)</f>
        <v>0</v>
      </c>
      <c r="Z14" s="68" t="n">
        <v>0</v>
      </c>
      <c r="AA14" s="68" t="n">
        <v>0</v>
      </c>
      <c r="AB14" s="68" t="n">
        <f aca="false">IF(R14="G3.1",1,0)</f>
        <v>0</v>
      </c>
      <c r="AC14" s="68" t="n">
        <f aca="false">IF(R14="G3.2",1,0)</f>
        <v>0</v>
      </c>
      <c r="AD14" s="68" t="n">
        <f aca="false">IF(R14="E2.1",1,0)</f>
        <v>0</v>
      </c>
      <c r="AE14" s="68" t="n">
        <f aca="false">IF(R14="E2.2",1,0)</f>
        <v>0</v>
      </c>
      <c r="AF14" s="68" t="n">
        <f aca="false">IF(R14="E2.3",1,0)</f>
        <v>0</v>
      </c>
      <c r="AG14" s="68" t="n">
        <f aca="false">IF(R14="E2.4",1,0)</f>
        <v>0</v>
      </c>
      <c r="AH14" s="68" t="n">
        <f aca="false">IF(R14="E3.1",1,0)</f>
        <v>0</v>
      </c>
      <c r="AI14" s="68" t="n">
        <f aca="false">IF(R14="E3.2",1,0)</f>
        <v>0</v>
      </c>
      <c r="AJ14" s="68" t="n">
        <f aca="false">IF(R14="E3.3",1,0)</f>
        <v>0</v>
      </c>
    </row>
    <row r="15" customFormat="false" ht="15.75" hidden="false" customHeight="false" outlineLevel="0" collapsed="false">
      <c r="B15" s="53" t="s">
        <v>113</v>
      </c>
      <c r="C15" s="54" t="str">
        <f aca="false">IF($B$16=Database!$D$4,HLOOKUP(Database!$E$4,'Daten-Zusammensetzung Bauteil'!$B$4:$BC$11,Database!B5,FALSE()),HLOOKUP(Database!$E$5,'Daten-Zusammensetzung Bauteil'!$B$4:$BC$11,Database!B5,FALSE()))</f>
        <v>Armierungsstahl [kg]</v>
      </c>
      <c r="D15" s="55" t="str">
        <f aca="false">MID(IF($B$16=Database!$D$4,HLOOKUP(Database!$E$4,'Daten-Funktion'!$B$4:$BC$11,Database!B5,FALSE()),HLOOKUP(Database!$E$5,'Daten-Funktion'!$B$4:$BC$11,Database!B5,FALSE())),1,2)</f>
        <v>C2</v>
      </c>
      <c r="E15" s="54" t="n">
        <f aca="false">IF($B$16=Database!$D$4,HLOOKUP(Database!$E$4,'Daten-THGE'!$B$4:$BC$11,Database!B5,FALSE()),HLOOKUP(Database!$E$5,'Daten-THGE'!$B$4:$BC$11,Database!B5,FALSE()))</f>
        <v>0.0113666666666667</v>
      </c>
      <c r="F15" s="54" t="n">
        <f aca="false">IF($B$16=Database!$D$4,HLOOKUP(Database!$E$4,'Daten-Dichte'!$B$4:$BC$11,Database!B5,FALSE()),HLOOKUP(Database!$E$5,'Daten-Dichte'!$B$4:$BC$11,Database!B5,FALSE()))</f>
        <v>7850</v>
      </c>
      <c r="G15" s="54" t="n">
        <f aca="false">IF($B$16=Database!$D$4,HLOOKUP(Database!$E$4,'Daten-Dicke'!$B$4:$BC$11,Database!B5,FALSE()),HLOOKUP(Database!$E$5,'Daten-Dicke'!$B$4:$BC$11,Database!B5,FALSE()))</f>
        <v>0.310509554140127</v>
      </c>
      <c r="H15" s="9"/>
      <c r="I15" s="20" t="n">
        <f aca="false">IF(H5=0,F5*G5/100*E5,E5*F5*H5/1000)</f>
        <v>0.2770625</v>
      </c>
      <c r="J15" s="54"/>
      <c r="K15" s="62"/>
      <c r="L15" s="67" t="n">
        <f aca="false">IF(D15="C2",1,0)</f>
        <v>1</v>
      </c>
      <c r="M15" s="67" t="n">
        <f aca="false">IF(D15="E1.2",1,0)</f>
        <v>0</v>
      </c>
      <c r="N15" s="67" t="n">
        <f aca="false">IF(D15="E1.3",1,0)</f>
        <v>0</v>
      </c>
      <c r="Q15" s="54" t="n">
        <f aca="false">HLOOKUP($AK$4,'Daten-Zusammensetzung Bauteil'!$B$4:$BC$12,Database!$B8,FALSE())</f>
        <v>0</v>
      </c>
      <c r="R15" s="55" t="n">
        <f aca="false">HLOOKUP($AK$4,'Daten-Funktion'!$B$4:$BC$12,Database!$B8,FALSE())</f>
        <v>0</v>
      </c>
      <c r="S15" s="54" t="n">
        <f aca="false">HLOOKUP($AK$4,'Daten-THGE'!$B$4:$BC$12,Database!$B8,FALSE())</f>
        <v>0</v>
      </c>
      <c r="T15" s="54" t="n">
        <f aca="false">HLOOKUP($AK$4,'Daten-Dichte'!$B$4:$BC$12,Database!$B8,FALSE())</f>
        <v>0</v>
      </c>
      <c r="U15" s="54" t="n">
        <f aca="false">HLOOKUP($AK$4,'Daten-Dicke'!$B$4:$BC$12,Database!$B8,FALSE())</f>
        <v>0</v>
      </c>
      <c r="V15" s="57"/>
      <c r="W15" s="20" t="n">
        <f aca="false">IF(V15=0,T15*U15/100*S15,S15*T15*V15/1000)</f>
        <v>0</v>
      </c>
      <c r="Z15" s="68" t="n">
        <v>0</v>
      </c>
      <c r="AA15" s="68" t="n">
        <v>0</v>
      </c>
      <c r="AB15" s="68" t="n">
        <f aca="false">IF(R15="G3.1",1,0)</f>
        <v>0</v>
      </c>
      <c r="AC15" s="68" t="n">
        <f aca="false">IF(R15="G3.2",1,0)</f>
        <v>0</v>
      </c>
      <c r="AD15" s="68" t="n">
        <f aca="false">IF(R15="E2.1",1,0)</f>
        <v>0</v>
      </c>
      <c r="AE15" s="68" t="n">
        <f aca="false">IF(R15="E2.2",1,0)</f>
        <v>0</v>
      </c>
      <c r="AF15" s="68" t="n">
        <f aca="false">IF(R15="E2.3",1,0)</f>
        <v>0</v>
      </c>
      <c r="AG15" s="68" t="n">
        <f aca="false">IF(R15="E2.4",1,0)</f>
        <v>0</v>
      </c>
      <c r="AH15" s="68" t="n">
        <f aca="false">IF(R15="E3.1",1,0)</f>
        <v>0</v>
      </c>
      <c r="AI15" s="68" t="n">
        <f aca="false">IF(R15="E3.2",1,0)</f>
        <v>0</v>
      </c>
      <c r="AJ15" s="68" t="n">
        <f aca="false">IF(R15="E3.3",1,0)</f>
        <v>0</v>
      </c>
    </row>
    <row r="16" customFormat="false" ht="15.75" hidden="false" customHeight="false" outlineLevel="0" collapsed="false">
      <c r="B16" s="53" t="s">
        <v>282</v>
      </c>
      <c r="C16" s="54" t="str">
        <f aca="false">IF($B$16=Database!$D$4,HLOOKUP(Database!$E$4,'Daten-Zusammensetzung Bauteil'!$B$4:$BC$11,Database!B6,FALSE()),HLOOKUP(Database!$E$5,'Daten-Zusammensetzung Bauteil'!$B$4:$BC$11,Database!B6,FALSE()))</f>
        <v>3-SP Schalung 2.5cm (Annahme 5xverwendet) [kg]</v>
      </c>
      <c r="D16" s="55" t="str">
        <f aca="false">MID(IF($B$16=Database!$D$4,HLOOKUP(Database!$E$4,'Daten-Funktion'!$B$4:$BC$11,Database!B6,FALSE()),HLOOKUP(Database!$E$5,'Daten-Funktion'!$B$4:$BC$11,Database!B6,FALSE())),1,2)</f>
        <v>C2</v>
      </c>
      <c r="E16" s="54" t="n">
        <f aca="false">IF($B$16=Database!$D$4,HLOOKUP(Database!$E$4,'Daten-THGE'!$B$4:$BC$11,Database!B6,FALSE()),HLOOKUP(Database!$E$5,'Daten-THGE'!$B$4:$BC$11,Database!B6,FALSE()))</f>
        <v>0.00871666666666667</v>
      </c>
      <c r="F16" s="54" t="n">
        <f aca="false">IF($B$16=Database!$D$4,HLOOKUP(Database!$E$4,'Daten-Dichte'!$B$4:$BC$11,Database!B6,FALSE()),HLOOKUP(Database!$E$5,'Daten-Dichte'!$B$4:$BC$11,Database!B6,FALSE()))</f>
        <v>470</v>
      </c>
      <c r="G16" s="54" t="n">
        <f aca="false">IF($B$16=Database!$D$4,HLOOKUP(Database!$E$4,'Daten-Dicke'!$B$4:$BC$11,Database!B6,FALSE()),HLOOKUP(Database!$E$5,'Daten-Dicke'!$B$4:$BC$11,Database!B6,FALSE()))</f>
        <v>1</v>
      </c>
      <c r="H16" s="57"/>
      <c r="I16" s="20" t="n">
        <f aca="false">IF(H6=0,F6*G6/100*E6,E6*F6*H6/1000)</f>
        <v>0.0409683333333333</v>
      </c>
      <c r="J16" s="7"/>
      <c r="K16" s="62"/>
      <c r="L16" s="67" t="n">
        <f aca="false">IF(D16="C2",1,0)</f>
        <v>1</v>
      </c>
      <c r="M16" s="67" t="n">
        <f aca="false">IF(D16="E1.2",1,0)</f>
        <v>0</v>
      </c>
      <c r="N16" s="67" t="n">
        <f aca="false">IF(D16="E1.3",1,0)</f>
        <v>0</v>
      </c>
      <c r="Q16" s="54" t="n">
        <f aca="false">HLOOKUP($AK$4,'Daten-Zusammensetzung Bauteil'!$B$4:$BC$12,Database!$B9,FALSE())</f>
        <v>0</v>
      </c>
      <c r="R16" s="55" t="n">
        <f aca="false">HLOOKUP($AK$4,'Daten-Funktion'!$B$4:$BC$12,Database!$B9,FALSE())</f>
        <v>0</v>
      </c>
      <c r="S16" s="54" t="n">
        <f aca="false">HLOOKUP($AK$4,'Daten-THGE'!$B$4:$BC$12,Database!$B9,FALSE())</f>
        <v>0</v>
      </c>
      <c r="T16" s="54" t="n">
        <f aca="false">HLOOKUP($AK$4,'Daten-Dichte'!$B$4:$BC$12,Database!$B9,FALSE())</f>
        <v>0</v>
      </c>
      <c r="U16" s="54" t="n">
        <f aca="false">HLOOKUP($AK$4,'Daten-Dicke'!$B$4:$BC$12,Database!$B9,FALSE())</f>
        <v>0</v>
      </c>
      <c r="V16" s="57"/>
      <c r="W16" s="20" t="n">
        <f aca="false">IF(V16=0,T16*U16/100*S16,S16*T16*V16/1000)</f>
        <v>0</v>
      </c>
      <c r="Z16" s="68" t="n">
        <v>0</v>
      </c>
      <c r="AA16" s="68" t="n">
        <v>0</v>
      </c>
      <c r="AB16" s="68" t="n">
        <f aca="false">IF(R16="G3.1",1,0)</f>
        <v>0</v>
      </c>
      <c r="AC16" s="68" t="n">
        <f aca="false">IF(R16="G3.2",1,0)</f>
        <v>0</v>
      </c>
      <c r="AD16" s="68" t="n">
        <f aca="false">IF(R16="E2.1",1,0)</f>
        <v>0</v>
      </c>
      <c r="AE16" s="68" t="n">
        <f aca="false">IF(R16="E2.2",1,0)</f>
        <v>0</v>
      </c>
      <c r="AF16" s="68" t="n">
        <f aca="false">IF(R16="E2.3",1,0)</f>
        <v>0</v>
      </c>
      <c r="AG16" s="68" t="n">
        <f aca="false">IF(R16="E2.4",1,0)</f>
        <v>0</v>
      </c>
      <c r="AH16" s="68" t="n">
        <f aca="false">IF(R16="E3.1",1,0)</f>
        <v>0</v>
      </c>
      <c r="AI16" s="68" t="n">
        <f aca="false">IF(R16="E3.2",1,0)</f>
        <v>0</v>
      </c>
      <c r="AJ16" s="68" t="n">
        <f aca="false">IF(R16="E3.3",1,0)</f>
        <v>0</v>
      </c>
    </row>
    <row r="17" customFormat="false" ht="15.75" hidden="false" customHeight="false" outlineLevel="0" collapsed="false">
      <c r="B17" s="53" t="s">
        <v>116</v>
      </c>
      <c r="C17" s="54" t="str">
        <f aca="false">IF($B$16=Database!$D$4,HLOOKUP(Database!$E$4,'Daten-Zusammensetzung Bauteil'!$B$4:$BC$11,Database!B7,FALSE()),HLOOKUP(Database!$E$5,'Daten-Zusammensetzung Bauteil'!$B$4:$BC$11,Database!B7,FALSE()))</f>
        <v>Bitumenanstrich [m2]</v>
      </c>
      <c r="D17" s="55" t="str">
        <f aca="false">IF($B$16=Database!$D$4,HLOOKUP(Database!$E$4,'Daten-Funktion'!$B$4:$BC$11,Database!B7,FALSE()),HLOOKUP(Database!$E$5,'Daten-Funktion'!$B$4:$BC$11,Database!B7,FALSE()))</f>
        <v>E1.3</v>
      </c>
      <c r="E17" s="54" t="n">
        <f aca="false">IF($B$16=Database!$D$4,HLOOKUP(Database!$E$4,'Daten-THGE'!$B$4:$BC$11,Database!B7,FALSE()),HLOOKUP(Database!$E$5,'Daten-THGE'!$B$4:$BC$11,Database!B7,FALSE()))</f>
        <v>0.0470666666666667</v>
      </c>
      <c r="F17" s="54" t="n">
        <f aca="false">IF($B$16=Database!$D$4,HLOOKUP(Database!$E$4,'Daten-Dichte'!$B$4:$BC$11,Database!B7,FALSE()),HLOOKUP(Database!$E$5,'Daten-Dichte'!$B$4:$BC$11,Database!B7,FALSE()))</f>
        <v>250</v>
      </c>
      <c r="G17" s="54" t="n">
        <f aca="false">IF($B$16=Database!$D$4,HLOOKUP(Database!$E$4,'Daten-Dicke'!$B$4:$BC$11,Database!B7,FALSE()),HLOOKUP(Database!$E$5,'Daten-Dicke'!$B$4:$BC$11,Database!B7,FALSE()))</f>
        <v>0.1</v>
      </c>
      <c r="H17" s="57"/>
      <c r="I17" s="20" t="n">
        <f aca="false">IF(H7=0,F7*G7/100*E7,E7*F7*H7/1000)</f>
        <v>0.0117666666666667</v>
      </c>
      <c r="J17" s="7"/>
      <c r="K17" s="62"/>
      <c r="L17" s="67" t="n">
        <f aca="false">IF(D17="C2",1,0)</f>
        <v>0</v>
      </c>
      <c r="M17" s="67" t="n">
        <f aca="false">IF(D17="E1.2",1,0)</f>
        <v>0</v>
      </c>
      <c r="N17" s="67" t="n">
        <f aca="false">IF(D17="E1.3",1,0)</f>
        <v>1</v>
      </c>
      <c r="Q17" s="54" t="n">
        <f aca="false">HLOOKUP($AK$4,'Daten-Zusammensetzung Bauteil'!$B$4:$BC$12,Database!$B10,FALSE())</f>
        <v>0</v>
      </c>
      <c r="R17" s="55" t="n">
        <f aca="false">HLOOKUP($AK$4,'Daten-Funktion'!$B$4:$BC$12,Database!$B10,FALSE())</f>
        <v>0</v>
      </c>
      <c r="S17" s="54" t="n">
        <f aca="false">HLOOKUP($AK$4,'Daten-THGE'!$B$4:$BC$12,Database!$B10,FALSE())</f>
        <v>0</v>
      </c>
      <c r="T17" s="54" t="n">
        <f aca="false">HLOOKUP($AK$4,'Daten-Dichte'!$B$4:$BC$12,Database!$B10,FALSE())</f>
        <v>0</v>
      </c>
      <c r="U17" s="54" t="n">
        <f aca="false">HLOOKUP($AK$4,'Daten-Dicke'!$B$4:$BC$12,Database!$B10,FALSE())</f>
        <v>0</v>
      </c>
      <c r="V17" s="57"/>
      <c r="W17" s="20" t="n">
        <f aca="false">IF(V17=0,T17*U17/100*S17,S17*T17*V17/1000)</f>
        <v>0</v>
      </c>
      <c r="Z17" s="68" t="n">
        <v>0</v>
      </c>
      <c r="AA17" s="68" t="n">
        <v>0</v>
      </c>
      <c r="AB17" s="68" t="n">
        <f aca="false">IF(R17="G3.1",1,0)</f>
        <v>0</v>
      </c>
      <c r="AC17" s="68" t="n">
        <f aca="false">IF(R17="G3.2",1,0)</f>
        <v>0</v>
      </c>
      <c r="AD17" s="68" t="n">
        <f aca="false">IF(R17="E2.1",1,0)</f>
        <v>0</v>
      </c>
      <c r="AE17" s="68" t="n">
        <f aca="false">IF(R17="E2.2",1,0)</f>
        <v>0</v>
      </c>
      <c r="AF17" s="68" t="n">
        <f aca="false">IF(R17="E2.3",1,0)</f>
        <v>0</v>
      </c>
      <c r="AG17" s="68" t="n">
        <f aca="false">IF(R17="E2.4",1,0)</f>
        <v>0</v>
      </c>
      <c r="AH17" s="68" t="n">
        <f aca="false">IF(R17="E3.1",1,0)</f>
        <v>0</v>
      </c>
      <c r="AI17" s="68" t="n">
        <f aca="false">IF(R17="E3.2",1,0)</f>
        <v>0</v>
      </c>
      <c r="AJ17" s="68" t="n">
        <f aca="false">IF(R17="E3.3",1,0)</f>
        <v>0</v>
      </c>
    </row>
    <row r="18" customFormat="false" ht="15.75" hidden="false" customHeight="false" outlineLevel="0" collapsed="false">
      <c r="B18" s="53" t="s">
        <v>283</v>
      </c>
      <c r="C18" s="54" t="str">
        <f aca="false">IF($B$16=Database!$D$4,HLOOKUP(Database!$E$4,'Daten-Zusammensetzung Bauteil'!$B$4:$BC$11,Database!B8,FALSE()),HLOOKUP(Database!$E$5,'Daten-Zusammensetzung Bauteil'!$B$4:$BC$11,Database!B8,FALSE()))</f>
        <v>Noppenfolie PE [kg]</v>
      </c>
      <c r="D18" s="55" t="str">
        <f aca="false">IF($B$16=Database!$D$4,HLOOKUP(Database!$E$4,'Daten-Funktion'!$B$4:$BC$11,Database!B8,FALSE()),HLOOKUP(Database!$E$5,'Daten-Funktion'!$B$4:$BC$11,Database!B8,FALSE()))</f>
        <v>E1.3</v>
      </c>
      <c r="E18" s="54" t="n">
        <f aca="false">IF($B$16=Database!$D$4,HLOOKUP(Database!$E$4,'Daten-THGE'!$B$4:$BC$11,Database!B8,FALSE()),HLOOKUP(Database!$E$5,'Daten-THGE'!$B$4:$BC$11,Database!B8,FALSE()))</f>
        <v>0.0901666666666667</v>
      </c>
      <c r="F18" s="54" t="n">
        <f aca="false">IF($B$16=Database!$D$4,HLOOKUP(Database!$E$4,'Daten-Dichte'!$B$4:$BC$11,Database!B8,FALSE()),HLOOKUP(Database!$E$5,'Daten-Dichte'!$B$4:$BC$11,Database!B8,FALSE()))</f>
        <v>960</v>
      </c>
      <c r="G18" s="54" t="n">
        <f aca="false">IF($B$16=Database!$D$4,HLOOKUP(Database!$E$4,'Daten-Dicke'!$B$4:$BC$11,Database!B8,FALSE()),HLOOKUP(Database!$E$5,'Daten-Dicke'!$B$4:$BC$11,Database!B8,FALSE()))</f>
        <v>0.260416666666667</v>
      </c>
      <c r="H18" s="57"/>
      <c r="I18" s="20" t="n">
        <f aca="false">IF(H8=0,F8*G8/100*E8,E8*F8*H8/1000)</f>
        <v>0.225416666666667</v>
      </c>
      <c r="J18" s="7"/>
      <c r="K18" s="62"/>
      <c r="L18" s="67" t="n">
        <f aca="false">IF(D18="C2",1,0)</f>
        <v>0</v>
      </c>
      <c r="M18" s="67" t="n">
        <f aca="false">IF(D18="E1.2",1,0)</f>
        <v>0</v>
      </c>
      <c r="N18" s="67" t="n">
        <f aca="false">IF(D18="E1.3",1,0)</f>
        <v>1</v>
      </c>
      <c r="Q18" s="54" t="n">
        <f aca="false">HLOOKUP($AK$4,'Daten-Zusammensetzung Bauteil'!$B$4:$BC$12,Database!$B11,FALSE())</f>
        <v>0</v>
      </c>
      <c r="R18" s="55" t="n">
        <f aca="false">HLOOKUP($AK$4,'Daten-Funktion'!$B$4:$BC$12,Database!$B11,FALSE())</f>
        <v>0</v>
      </c>
      <c r="S18" s="54" t="n">
        <f aca="false">HLOOKUP($AK$4,'Daten-THGE'!$B$4:$BC$12,Database!$B11,FALSE())</f>
        <v>0</v>
      </c>
      <c r="T18" s="54" t="n">
        <f aca="false">HLOOKUP($AK$4,'Daten-Dichte'!$B$4:$BC$12,Database!$B11,FALSE())</f>
        <v>0</v>
      </c>
      <c r="U18" s="54" t="n">
        <f aca="false">HLOOKUP($AK$4,'Daten-Dicke'!$B$4:$BC$12,Database!$B11,FALSE())</f>
        <v>0</v>
      </c>
      <c r="V18" s="57"/>
      <c r="W18" s="20" t="n">
        <f aca="false">IF(V18=0,T18*U18/100*S18,S18*T18*V18/1000)</f>
        <v>0</v>
      </c>
      <c r="Z18" s="68" t="n">
        <v>0</v>
      </c>
      <c r="AA18" s="68" t="n">
        <v>0</v>
      </c>
      <c r="AB18" s="68" t="n">
        <f aca="false">IF(R18="G3.1",1,0)</f>
        <v>0</v>
      </c>
      <c r="AC18" s="68" t="n">
        <f aca="false">IF(R18="G3.2",1,0)</f>
        <v>0</v>
      </c>
      <c r="AD18" s="68" t="n">
        <f aca="false">IF(R18="E2.1",1,0)</f>
        <v>0</v>
      </c>
      <c r="AE18" s="68" t="n">
        <f aca="false">IF(R18="E2.2",1,0)</f>
        <v>0</v>
      </c>
      <c r="AF18" s="68" t="n">
        <f aca="false">IF(R18="E2.3",1,0)</f>
        <v>0</v>
      </c>
      <c r="AG18" s="68" t="n">
        <f aca="false">IF(R18="E2.4",1,0)</f>
        <v>0</v>
      </c>
      <c r="AH18" s="68" t="n">
        <f aca="false">IF(R18="E3.1",1,0)</f>
        <v>0</v>
      </c>
      <c r="AI18" s="68" t="n">
        <f aca="false">IF(R18="E3.2",1,0)</f>
        <v>0</v>
      </c>
      <c r="AJ18" s="68" t="n">
        <f aca="false">IF(R18="E3.3",1,0)</f>
        <v>0</v>
      </c>
    </row>
    <row r="19" customFormat="false" ht="15.75" hidden="false" customHeight="false" outlineLevel="0" collapsed="false">
      <c r="B19" s="53"/>
      <c r="C19" s="54" t="str">
        <f aca="false">IF($B$16=Database!$D$4,HLOOKUP(Database!$E$4,'Daten-Zusammensetzung Bauteil'!$B$4:$BC$11,Database!B9,FALSE()),HLOOKUP(Database!$E$5,'Daten-Zusammensetzung Bauteil'!$B$4:$BC$11,Database!B9,FALSE()))</f>
        <v>Polystyrol extrudiert, 33 kg/m3, lamdaD 0.033 W/mK, 20 cm [kg]</v>
      </c>
      <c r="D19" s="55" t="str">
        <f aca="false">IF($B$16=Database!$D$4,HLOOKUP(Database!$E$4,'Daten-Funktion'!$B$4:$BC$11,Database!B9,FALSE()),HLOOKUP(Database!$E$5,'Daten-Funktion'!$B$4:$BC$11,Database!B9,FALSE()))</f>
        <v>E1.2</v>
      </c>
      <c r="E19" s="54" t="n">
        <f aca="false">IF($B$16=Database!$D$4,HLOOKUP(Database!$E$4,'Daten-THGE'!$B$4:$BC$11,Database!B9,FALSE()),HLOOKUP(Database!$E$5,'Daten-THGE'!$B$4:$BC$11,Database!B9,FALSE()))</f>
        <v>0.241666666666667</v>
      </c>
      <c r="F19" s="54" t="n">
        <f aca="false">IF($B$16=Database!$D$4,HLOOKUP(Database!$E$4,'Daten-Dichte'!$B$4:$BC$11,Database!B9,FALSE()),HLOOKUP(Database!$E$5,'Daten-Dichte'!$B$4:$BC$11,Database!B9,FALSE()))</f>
        <v>33</v>
      </c>
      <c r="G19" s="54" t="n">
        <f aca="false">IF($B$16=Database!$D$4,HLOOKUP(Database!$E$4,'Daten-Dicke'!$B$4:$BC$11,Database!B9,FALSE()),HLOOKUP(Database!$E$5,'Daten-Dicke'!$B$4:$BC$11,Database!B9,FALSE()))</f>
        <v>20</v>
      </c>
      <c r="H19" s="57"/>
      <c r="I19" s="20" t="n">
        <f aca="false">IF(H9=0,F9*G9/100*E9,E9*F9*H9/1000)</f>
        <v>1.595</v>
      </c>
      <c r="J19" s="7"/>
      <c r="K19" s="62"/>
      <c r="L19" s="67" t="n">
        <f aca="false">IF(D19="C2",1,0)</f>
        <v>0</v>
      </c>
      <c r="M19" s="67" t="n">
        <f aca="false">IF(D19="E1.2",1,0)</f>
        <v>1</v>
      </c>
      <c r="N19" s="67" t="n">
        <f aca="false">IF(D19="E1.3",1,0)</f>
        <v>0</v>
      </c>
      <c r="Z19" s="68" t="n">
        <f aca="false">SUMPRODUCT(W4:W18*Z4:Z18)/SUM(W4:W18)</f>
        <v>0</v>
      </c>
      <c r="AA19" s="68" t="n">
        <f aca="false">SUMPRODUCT(W4:W18*AA4:AA18)/SUM(W4:W18)</f>
        <v>0.0231816866289538</v>
      </c>
      <c r="AB19" s="68" t="n">
        <f aca="false">SUMPRODUCT(W4:W18*AB4:AB18)/SUM(W4:W18)</f>
        <v>0</v>
      </c>
      <c r="AC19" s="68" t="n">
        <f aca="false">SUMPRODUCT(W4:W18*AC4:AC18)/SUM(W4:W18)</f>
        <v>0</v>
      </c>
      <c r="AD19" s="68" t="n">
        <f aca="false">SUMPRODUCT(W4:W18*AD4:AD18)/SUM(W4:W18)</f>
        <v>0</v>
      </c>
      <c r="AE19" s="68" t="n">
        <f aca="false">SUMPRODUCT(W4:W18*AE4:AE18)/SUM(W4:W18)</f>
        <v>0</v>
      </c>
      <c r="AF19" s="68" t="n">
        <f aca="false">SUMPRODUCT(W4:W18*AF4:AF18)/SUM(W4:W18)</f>
        <v>0</v>
      </c>
      <c r="AG19" s="68" t="n">
        <f aca="false">SUMPRODUCT(W4:W18*AG4:AG18)/SUM(W4:W18)</f>
        <v>0.577056632848183</v>
      </c>
      <c r="AH19" s="68" t="n">
        <f aca="false">SUMPRODUCT(W4:W18*AH4:AH18)/SUM(W4:W18)</f>
        <v>0</v>
      </c>
      <c r="AI19" s="68" t="n">
        <f aca="false">SUMPRODUCT(W4:W18*AI4:AI18)/SUM(W4:W18)</f>
        <v>0</v>
      </c>
      <c r="AJ19" s="68" t="n">
        <f aca="false">SUMPRODUCT(W4:W18*AJ4:AJ18)/SUM(W4:W18)</f>
        <v>0.399049332545862</v>
      </c>
      <c r="AL19" s="68" t="n">
        <f aca="false">SUM(Z19:AJ19)</f>
        <v>0.999287652022998</v>
      </c>
    </row>
    <row r="20" customFormat="false" ht="15.75" hidden="false" customHeight="false" outlineLevel="0" collapsed="false">
      <c r="C20" s="54" t="str">
        <f aca="false">IF($B$16=Database!$D$4,HLOOKUP(Database!$E$4,'Daten-Zusammensetzung Bauteil'!$B$4:$BC$11,Database!B10,FALSE()),HLOOKUP(Database!$E$5,'Daten-Zusammensetzung Bauteil'!$B$4:$BC$11,Database!B10,FALSE()))</f>
        <v>Bitumenkleber [kg]</v>
      </c>
      <c r="D20" s="55" t="str">
        <f aca="false">IF($B$16=Database!$D$4,HLOOKUP(Database!$E$4,'Daten-Funktion'!$B$4:$BC$11,Database!B10,FALSE()),HLOOKUP(Database!$E$5,'Daten-Funktion'!$B$4:$BC$11,Database!B10,FALSE()))</f>
        <v>E1.2</v>
      </c>
      <c r="E20" s="54" t="n">
        <f aca="false">IF($B$16=Database!$D$4,HLOOKUP(Database!$E$4,'Daten-THGE'!$B$4:$BC$11,Database!B10,FALSE()),HLOOKUP(Database!$E$5,'Daten-THGE'!$B$4:$BC$11,Database!B10,FALSE()))</f>
        <v>0.051</v>
      </c>
      <c r="F20" s="54" t="n">
        <f aca="false">IF($B$16=Database!$D$4,HLOOKUP(Database!$E$4,'Daten-Dichte'!$B$4:$BC$11,Database!B10,FALSE()),HLOOKUP(Database!$E$5,'Daten-Dichte'!$B$4:$BC$11,Database!B10,FALSE()))</f>
        <v>1000</v>
      </c>
      <c r="G20" s="54" t="n">
        <f aca="false">IF($B$16=Database!$D$4,HLOOKUP(Database!$E$4,'Daten-Dicke'!$B$4:$BC$11,Database!B10,FALSE()),HLOOKUP(Database!$E$5,'Daten-Dicke'!$B$4:$BC$11,Database!B10,FALSE()))</f>
        <v>0.3</v>
      </c>
      <c r="H20" s="57"/>
      <c r="I20" s="20" t="n">
        <f aca="false">IF(H10=0,F10*G10/100*E10,E10*F10*H10/1000)</f>
        <v>0.153</v>
      </c>
      <c r="J20" s="7"/>
      <c r="K20" s="62"/>
      <c r="L20" s="67" t="n">
        <f aca="false">IF(D20="C2",1,0)</f>
        <v>0</v>
      </c>
      <c r="M20" s="67" t="n">
        <f aca="false">IF(D20="E1.2",1,0)</f>
        <v>1</v>
      </c>
      <c r="N20" s="67" t="n">
        <f aca="false">IF(D20="E1.3",1,0)</f>
        <v>0</v>
      </c>
      <c r="O20" s="71" t="s">
        <v>265</v>
      </c>
      <c r="P20" s="59"/>
    </row>
    <row r="21" customFormat="false" ht="20.25" hidden="false" customHeight="false" outlineLevel="0" collapsed="false">
      <c r="B21" s="7"/>
      <c r="C21" s="54"/>
      <c r="D21" s="55"/>
      <c r="E21" s="54"/>
      <c r="F21" s="54"/>
      <c r="G21" s="54"/>
      <c r="H21" s="54"/>
      <c r="I21" s="54"/>
      <c r="J21" s="7"/>
      <c r="K21" s="62"/>
      <c r="L21" s="67" t="n">
        <f aca="false">IF(J14=0,0,SUMPRODUCT(I14:I20*L14:L20)/SUM(I14:I20))</f>
        <v>0</v>
      </c>
      <c r="M21" s="67" t="n">
        <f aca="false">IF(J14=0,0,SUMPRODUCT(I14:I20*M14:M20)/SUM(I14:I20))</f>
        <v>0</v>
      </c>
      <c r="N21" s="67" t="n">
        <f aca="false">IF(J14=0,0,SUMPRODUCT(I14:I20*N14:N20)/SUM(I14:I20))</f>
        <v>0</v>
      </c>
      <c r="O21" s="65" t="s">
        <v>256</v>
      </c>
      <c r="P21" s="6"/>
      <c r="Q21" s="37" t="s">
        <v>257</v>
      </c>
      <c r="R21" s="52"/>
      <c r="S21" s="37" t="s">
        <v>259</v>
      </c>
      <c r="T21" s="37" t="s">
        <v>260</v>
      </c>
      <c r="U21" s="37" t="s">
        <v>261</v>
      </c>
      <c r="V21" s="53" t="s">
        <v>262</v>
      </c>
      <c r="W21" s="37" t="s">
        <v>263</v>
      </c>
      <c r="X21" s="8" t="s">
        <v>102</v>
      </c>
      <c r="Y21" s="7"/>
    </row>
    <row r="22" customFormat="false" ht="20.25" hidden="false" customHeight="false" outlineLevel="0" collapsed="false">
      <c r="B22" s="6" t="s">
        <v>266</v>
      </c>
      <c r="C22" s="37" t="s">
        <v>257</v>
      </c>
      <c r="D22" s="52"/>
      <c r="E22" s="37" t="s">
        <v>259</v>
      </c>
      <c r="F22" s="37" t="s">
        <v>260</v>
      </c>
      <c r="G22" s="37" t="s">
        <v>261</v>
      </c>
      <c r="H22" s="53" t="s">
        <v>262</v>
      </c>
      <c r="I22" s="37" t="s">
        <v>263</v>
      </c>
      <c r="J22" s="8" t="s">
        <v>102</v>
      </c>
      <c r="K22" s="62"/>
      <c r="O22" s="66" t="s">
        <v>80</v>
      </c>
      <c r="P22" s="37" t="s">
        <v>280</v>
      </c>
      <c r="Q22" s="54" t="str">
        <f aca="false">HLOOKUP($AK$22,'Daten-Zusammensetzung Bauteil'!$B$4:$BC$10,Database!$B4,FALSE())</f>
        <v>Betonfertigteil, Normalbeton, ab Werk [kg]</v>
      </c>
      <c r="R22" s="55" t="str">
        <f aca="false">MID(HLOOKUP($AK$22,'Daten-Funktion'!$B$4:$BC$10,Database!$B4,FALSE()),1,2)</f>
        <v>C3</v>
      </c>
      <c r="S22" s="54" t="n">
        <f aca="false">HLOOKUP($AK$22,'Daten-THGE'!$B$4:$BC$10,Database!$B4,FALSE())</f>
        <v>0.00286666666666667</v>
      </c>
      <c r="T22" s="54" t="n">
        <f aca="false">HLOOKUP($AK$22,'Daten-Dichte'!$B$4:$BC$10,Database!$B4,FALSE())</f>
        <v>2500</v>
      </c>
      <c r="U22" s="54" t="n">
        <f aca="false">HLOOKUP($AK$22,'Daten-Dicke'!$B$4:$BC$10,Database!$B4,FALSE())</f>
        <v>1.29087048832272</v>
      </c>
      <c r="V22" s="9"/>
      <c r="W22" s="20" t="n">
        <f aca="false">IF(V22=0,T22*U22/100*S22,S22*T22*V22/1000)</f>
        <v>0.0925123849964614</v>
      </c>
      <c r="X22" s="29" t="n">
        <f aca="false">SUM(W22:W36)*Gebäude!$C$18</f>
        <v>2883.25253586978</v>
      </c>
      <c r="Y22" s="37" t="s">
        <v>31</v>
      </c>
      <c r="AK22" s="0" t="str">
        <f aca="false">IF($O$23=Database!$H$4,VLOOKUP('Aussenwand unter &amp; über Terrain'!$O$24,Database!$D$16:$E$17,2,FALSE()),VLOOKUP('Aussenwand unter &amp; über Terrain'!$O$23,Database!$H$5:$O$6,7,FALSE()))</f>
        <v>1e</v>
      </c>
    </row>
    <row r="23" customFormat="false" ht="15.75" hidden="false" customHeight="false" outlineLevel="0" collapsed="false">
      <c r="B23" s="37" t="s">
        <v>68</v>
      </c>
      <c r="C23" s="54" t="str">
        <f aca="false">HLOOKUP($AK$40,'Daten-Zusammensetzung Bauteil'!$B$4:$BC$14,Database!$B4,FALSE())</f>
        <v>Hochbaubeton, 25 cm [kg]</v>
      </c>
      <c r="D23" s="55" t="str">
        <f aca="false">MID(HLOOKUP($AK$40,'Daten-Funktion'!$B$4:$BC$14,Database!$B4,FALSE()),1,2)</f>
        <v>C2</v>
      </c>
      <c r="E23" s="54" t="n">
        <f aca="false">HLOOKUP($AK$40,'Daten-THGE'!$B$4:$BC$14,Database!$B4,FALSE())</f>
        <v>0.00165333333333333</v>
      </c>
      <c r="F23" s="54" t="n">
        <f aca="false">HLOOKUP($AK$40,'Daten-Dichte'!$B$4:$BC$14,Database!$B4,FALSE())</f>
        <v>2300</v>
      </c>
      <c r="G23" s="54" t="n">
        <f aca="false">HLOOKUP($AK$40,'Daten-Dicke'!$B$4:$BC$14,Database!$B4,FALSE())</f>
        <v>24.7133757961783</v>
      </c>
      <c r="H23" s="9"/>
      <c r="I23" s="20" t="n">
        <f aca="false">IF(H23=0,F23*G23/100*E23,E23*F23*H23/1000)</f>
        <v>0.939767303609342</v>
      </c>
      <c r="J23" s="56" t="n">
        <f aca="false">IF(B25=Database!$D$15,0,SUM(I23:I29)*Gebäude!$C$39)</f>
        <v>437.458794055202</v>
      </c>
      <c r="K23" s="66" t="s">
        <v>31</v>
      </c>
      <c r="L23" s="67" t="n">
        <f aca="false">IF(D23="C2",1,0)</f>
        <v>1</v>
      </c>
      <c r="M23" s="67" t="n">
        <f aca="false">IF(D23="E1.2",1,0)</f>
        <v>0</v>
      </c>
      <c r="N23" s="67" t="n">
        <f aca="false">IF(D23="E1.3",1,0)</f>
        <v>0</v>
      </c>
      <c r="O23" s="72" t="s">
        <v>26</v>
      </c>
      <c r="P23" s="37"/>
      <c r="Q23" s="54" t="str">
        <f aca="false">HLOOKUP($AK$22,'Daten-Zusammensetzung Bauteil'!$B$4:$BC$10,Database!$B5,FALSE())</f>
        <v>Armierungsstahl [kg]</v>
      </c>
      <c r="R23" s="55" t="str">
        <f aca="false">MID(HLOOKUP($AK$22,'Daten-Funktion'!$B$4:$BC$10,Database!$B5,FALSE()),1,2)</f>
        <v>C3</v>
      </c>
      <c r="S23" s="54" t="n">
        <f aca="false">HLOOKUP($AK$22,'Daten-THGE'!$B$4:$BC$10,Database!$B5,FALSE())</f>
        <v>0.0113666666666667</v>
      </c>
      <c r="T23" s="54" t="n">
        <f aca="false">HLOOKUP($AK$22,'Daten-Dichte'!$B$4:$BC$10,Database!$B5,FALSE())</f>
        <v>7850</v>
      </c>
      <c r="U23" s="54" t="n">
        <f aca="false">HLOOKUP($AK$22,'Daten-Dicke'!$B$4:$BC$10,Database!$B5,FALSE())</f>
        <v>0.0955414012738854</v>
      </c>
      <c r="V23" s="9"/>
      <c r="W23" s="20" t="n">
        <f aca="false">IF(V23=0,T23*U23/100*S23,S23*T23*V23/1000)</f>
        <v>0.08525</v>
      </c>
      <c r="X23" s="54"/>
      <c r="Y23" s="7"/>
      <c r="AK23" s="0" t="str">
        <f aca="false">VLOOKUP($O$23,Database!$H$4:$O$6,8,FALSE())</f>
        <v>2j</v>
      </c>
    </row>
    <row r="24" customFormat="false" ht="15.75" hidden="false" customHeight="false" outlineLevel="0" collapsed="false">
      <c r="B24" s="37" t="str">
        <f aca="false">Gebäude!$G$25</f>
        <v>Massivbauweise</v>
      </c>
      <c r="C24" s="54" t="str">
        <f aca="false">HLOOKUP($AK$40,'Daten-Zusammensetzung Bauteil'!$B$4:$BC$14,Database!$B5,FALSE())</f>
        <v>Armierungsstahl [kg]</v>
      </c>
      <c r="D24" s="55" t="str">
        <f aca="false">MID(HLOOKUP($AK$40,'Daten-Funktion'!$B$4:$BC$14,Database!$B5,FALSE()),1,2)</f>
        <v>C2</v>
      </c>
      <c r="E24" s="54" t="n">
        <f aca="false">HLOOKUP($AK$40,'Daten-THGE'!$B$4:$BC$14,Database!$B5,FALSE())</f>
        <v>0.0113666666666667</v>
      </c>
      <c r="F24" s="54" t="n">
        <f aca="false">HLOOKUP($AK$40,'Daten-Dichte'!$B$4:$BC$14,Database!$B5,FALSE())</f>
        <v>7850</v>
      </c>
      <c r="G24" s="54" t="n">
        <f aca="false">HLOOKUP($AK$40,'Daten-Dicke'!$B$4:$BC$14,Database!$B5,FALSE())</f>
        <v>0.286624203821656</v>
      </c>
      <c r="H24" s="9"/>
      <c r="I24" s="20" t="n">
        <f aca="false">IF(H24=0,F24*G24/100*E24,E24*F24*H24/1000)</f>
        <v>0.25575</v>
      </c>
      <c r="J24" s="54"/>
      <c r="K24" s="62"/>
      <c r="L24" s="67" t="n">
        <f aca="false">IF(D24="C2",1,0)</f>
        <v>1</v>
      </c>
      <c r="M24" s="67" t="n">
        <f aca="false">IF(D24="E1.2",1,0)</f>
        <v>0</v>
      </c>
      <c r="N24" s="67" t="n">
        <f aca="false">IF(D24="E1.3",1,0)</f>
        <v>0</v>
      </c>
      <c r="O24" s="72" t="s">
        <v>90</v>
      </c>
      <c r="P24" s="37"/>
      <c r="Q24" s="54" t="str">
        <f aca="false">HLOOKUP($AK$22,'Daten-Zusammensetzung Bauteil'!$B$4:$BC$10,Database!$B6,FALSE())</f>
        <v>3-SP Schalung 2.5 cm (Annahme 5xverwendet) [kg]</v>
      </c>
      <c r="R24" s="55" t="str">
        <f aca="false">MID(HLOOKUP($AK$22,'Daten-Funktion'!$B$4:$BC$10,Database!$B6,FALSE()),1,2)</f>
        <v>C3</v>
      </c>
      <c r="S24" s="54" t="n">
        <f aca="false">HLOOKUP($AK$22,'Daten-THGE'!$B$4:$BC$10,Database!$B6,FALSE())</f>
        <v>0.00871666666666667</v>
      </c>
      <c r="T24" s="54" t="n">
        <f aca="false">HLOOKUP($AK$22,'Daten-Dichte'!$B$4:$BC$10,Database!$B6,FALSE())</f>
        <v>470</v>
      </c>
      <c r="U24" s="54" t="n">
        <f aca="false">HLOOKUP($AK$22,'Daten-Dicke'!$B$4:$BC$10,Database!$B6,FALSE())</f>
        <v>0.133333333333333</v>
      </c>
      <c r="V24" s="57"/>
      <c r="W24" s="20" t="n">
        <f aca="false">IF(V24=0,T24*U24/100*S24,S24*T24*V24/1000)</f>
        <v>0.00546244444444444</v>
      </c>
      <c r="X24" s="7"/>
      <c r="Y24" s="7"/>
    </row>
    <row r="25" customFormat="false" ht="15.75" hidden="false" customHeight="false" outlineLevel="0" collapsed="false">
      <c r="B25" s="37" t="str">
        <f aca="false">Gebäude!G26</f>
        <v>Mit UG</v>
      </c>
      <c r="C25" s="54" t="str">
        <f aca="false">HLOOKUP($AK$40,'Daten-Zusammensetzung Bauteil'!$B$4:$BC$14,Database!$B6,FALSE())</f>
        <v>3-SP Schalung 2.5cm (Annahme 5xverwendet) [kg]</v>
      </c>
      <c r="D25" s="55" t="str">
        <f aca="false">MID(HLOOKUP($AK$40,'Daten-Funktion'!$B$4:$BC$14,Database!$B6,FALSE()),1,2)</f>
        <v>C2</v>
      </c>
      <c r="E25" s="54" t="n">
        <f aca="false">HLOOKUP($AK$40,'Daten-THGE'!$B$4:$BC$14,Database!$B6,FALSE())</f>
        <v>0.00871666666666667</v>
      </c>
      <c r="F25" s="54" t="n">
        <f aca="false">HLOOKUP($AK$40,'Daten-Dichte'!$B$4:$BC$14,Database!$B6,FALSE())</f>
        <v>470</v>
      </c>
      <c r="G25" s="54" t="n">
        <f aca="false">HLOOKUP($AK$40,'Daten-Dicke'!$B$4:$BC$14,Database!$B6,FALSE())</f>
        <v>1</v>
      </c>
      <c r="H25" s="57"/>
      <c r="I25" s="20" t="n">
        <f aca="false">IF(H25=0,F25*G25/100*E25,E25*F25*H25/1000)</f>
        <v>0.0409683333333333</v>
      </c>
      <c r="J25" s="7"/>
      <c r="K25" s="62"/>
      <c r="L25" s="67" t="n">
        <f aca="false">IF(D25="C2",1,0)</f>
        <v>1</v>
      </c>
      <c r="M25" s="67" t="n">
        <f aca="false">IF(D25="E1.2",1,0)</f>
        <v>0</v>
      </c>
      <c r="N25" s="67" t="n">
        <f aca="false">IF(D25="E1.3",1,0)</f>
        <v>0</v>
      </c>
      <c r="O25" s="62"/>
      <c r="P25" s="7"/>
      <c r="Q25" s="54" t="n">
        <f aca="false">HLOOKUP($AK$22,'Daten-Zusammensetzung Bauteil'!$B$4:$BC$10,Database!$B7,FALSE())</f>
        <v>0</v>
      </c>
      <c r="R25" s="55" t="str">
        <f aca="false">MID(HLOOKUP($AK$22,'Daten-Funktion'!$B$4:$BC$10,Database!$B7,FALSE()),1,2)</f>
        <v/>
      </c>
      <c r="S25" s="54" t="n">
        <f aca="false">HLOOKUP($AK$22,'Daten-THGE'!$B$4:$BC$10,Database!$B7,FALSE())</f>
        <v>0</v>
      </c>
      <c r="T25" s="54" t="n">
        <f aca="false">HLOOKUP($AK$22,'Daten-Dichte'!$B$4:$BC$10,Database!$B7,FALSE())</f>
        <v>0</v>
      </c>
      <c r="U25" s="54" t="n">
        <f aca="false">HLOOKUP($AK$22,'Daten-Dicke'!$B$4:$BC$10,Database!$B7,FALSE())</f>
        <v>0</v>
      </c>
      <c r="V25" s="57"/>
      <c r="W25" s="20" t="n">
        <f aca="false">IF(V25=0,T25*U25/100*S25,S25*T25*V25/1000)</f>
        <v>0</v>
      </c>
      <c r="X25" s="7"/>
      <c r="Y25" s="7"/>
    </row>
    <row r="26" customFormat="false" ht="15.75" hidden="false" customHeight="false" outlineLevel="0" collapsed="false">
      <c r="B26" s="7"/>
      <c r="C26" s="54" t="str">
        <f aca="false">HLOOKUP($AK$40,'Daten-Zusammensetzung Bauteil'!$B$4:$BC$14,Database!$B7,FALSE())</f>
        <v>Bitumenanstrich [m2]</v>
      </c>
      <c r="D26" s="55" t="str">
        <f aca="false">(HLOOKUP($AK$40,'Daten-Funktion'!$B$4:$BC$14,Database!$B7,FALSE()))</f>
        <v>E1.3</v>
      </c>
      <c r="E26" s="54" t="n">
        <f aca="false">HLOOKUP($AK$40,'Daten-THGE'!$B$4:$BC$14,Database!$B7,FALSE())</f>
        <v>0.0470666666666667</v>
      </c>
      <c r="F26" s="54" t="n">
        <f aca="false">HLOOKUP($AK$40,'Daten-Dichte'!$B$4:$BC$14,Database!$B7,FALSE())</f>
        <v>250</v>
      </c>
      <c r="G26" s="54" t="n">
        <f aca="false">HLOOKUP($AK$40,'Daten-Dicke'!$B$4:$BC$14,Database!$B7,FALSE())</f>
        <v>0.1</v>
      </c>
      <c r="H26" s="57"/>
      <c r="I26" s="20" t="n">
        <f aca="false">IF(H26=0,F26*G26/100*E26,E26*F26*H26/1000)</f>
        <v>0.0117666666666667</v>
      </c>
      <c r="J26" s="7"/>
      <c r="K26" s="62"/>
      <c r="L26" s="67" t="n">
        <f aca="false">IF(D26="C2",1,0)</f>
        <v>0</v>
      </c>
      <c r="M26" s="67" t="n">
        <f aca="false">IF(D26="E1.2",1,0)</f>
        <v>0</v>
      </c>
      <c r="N26" s="67" t="n">
        <f aca="false">IF(D26="E1.3",1,0)</f>
        <v>1</v>
      </c>
      <c r="O26" s="62"/>
      <c r="P26" s="7"/>
      <c r="Q26" s="54" t="n">
        <f aca="false">HLOOKUP($AK$22,'Daten-Zusammensetzung Bauteil'!$B$4:$BC$10,Database!$B8,FALSE())</f>
        <v>0</v>
      </c>
      <c r="R26" s="55" t="str">
        <f aca="false">MID(HLOOKUP($AK$22,'Daten-Funktion'!$B$4:$BC$10,Database!$B8,FALSE()),1,2)</f>
        <v/>
      </c>
      <c r="S26" s="54" t="n">
        <f aca="false">HLOOKUP($AK$22,'Daten-THGE'!$B$4:$BC$10,Database!$B8,FALSE())</f>
        <v>0</v>
      </c>
      <c r="T26" s="54" t="n">
        <f aca="false">HLOOKUP($AK$22,'Daten-Dichte'!$B$4:$BC$10,Database!$B8,FALSE())</f>
        <v>0</v>
      </c>
      <c r="U26" s="54" t="n">
        <f aca="false">HLOOKUP($AK$22,'Daten-Dicke'!$B$4:$BC$10,Database!$B8,FALSE())</f>
        <v>0</v>
      </c>
      <c r="V26" s="57"/>
      <c r="W26" s="20" t="n">
        <f aca="false">IF(V26=0,T26*U26/100*S26,S26*T26*V26/1000)</f>
        <v>0</v>
      </c>
      <c r="X26" s="7"/>
      <c r="Y26" s="7"/>
    </row>
    <row r="27" customFormat="false" ht="15.75" hidden="false" customHeight="false" outlineLevel="0" collapsed="false">
      <c r="B27" s="7"/>
      <c r="C27" s="54" t="str">
        <f aca="false">HLOOKUP($AK$40,'Daten-Zusammensetzung Bauteil'!$B$4:$BC$14,Database!$B8,FALSE())</f>
        <v>Sickerplatte</v>
      </c>
      <c r="D27" s="55" t="str">
        <f aca="false">HLOOKUP($AK$40,'Daten-Funktion'!$B$4:$BC$14,Database!$B8,FALSE())</f>
        <v>E1.3</v>
      </c>
      <c r="E27" s="54" t="n">
        <f aca="false">HLOOKUP($AK$40,'Daten-THGE'!$B$4:$BC$14,Database!$B8,FALSE())</f>
        <v>0.0901666666666667</v>
      </c>
      <c r="F27" s="54" t="n">
        <f aca="false">HLOOKUP($AK$40,'Daten-Dichte'!$B$4:$BC$14,Database!$B8,FALSE())</f>
        <v>960</v>
      </c>
      <c r="G27" s="54" t="n">
        <f aca="false">HLOOKUP($AK$40,'Daten-Dicke'!$B$4:$BC$14,Database!$B8,FALSE())</f>
        <v>0.260416666666667</v>
      </c>
      <c r="H27" s="57"/>
      <c r="I27" s="20" t="n">
        <f aca="false">IF(H27=0,F27*G27/100*E27,E27*F27*H27/1000)</f>
        <v>0.225416666666667</v>
      </c>
      <c r="J27" s="7"/>
      <c r="K27" s="62"/>
      <c r="L27" s="67" t="n">
        <f aca="false">IF(D27="C2",1,0)</f>
        <v>0</v>
      </c>
      <c r="M27" s="67" t="n">
        <f aca="false">IF(D27="E1.2",1,0)</f>
        <v>0</v>
      </c>
      <c r="N27" s="67" t="n">
        <f aca="false">IF(D27="E1.3",1,0)</f>
        <v>1</v>
      </c>
      <c r="O27" s="62"/>
      <c r="P27" s="7"/>
      <c r="Q27" s="54" t="n">
        <f aca="false">HLOOKUP($AK$22,'Daten-Zusammensetzung Bauteil'!$B$4:$BC$10,Database!$B9,FALSE())</f>
        <v>0</v>
      </c>
      <c r="R27" s="55" t="str">
        <f aca="false">MID(HLOOKUP($AK$22,'Daten-Funktion'!$B$4:$BC$10,Database!$B9,FALSE()),1,2)</f>
        <v/>
      </c>
      <c r="S27" s="54" t="n">
        <f aca="false">HLOOKUP($AK$22,'Daten-THGE'!$B$4:$BC$10,Database!$B9,FALSE())</f>
        <v>0</v>
      </c>
      <c r="T27" s="54" t="n">
        <f aca="false">HLOOKUP($AK$22,'Daten-Dichte'!$B$4:$BC$10,Database!$B9,FALSE())</f>
        <v>0</v>
      </c>
      <c r="U27" s="54" t="n">
        <f aca="false">HLOOKUP($AK$22,'Daten-Dicke'!$B$4:$BC$10,Database!$B9,FALSE())</f>
        <v>0</v>
      </c>
      <c r="V27" s="57"/>
      <c r="W27" s="20" t="n">
        <f aca="false">IF(V27=0,T27*U27/100*S27,S27*T27*V27/1000)</f>
        <v>0</v>
      </c>
      <c r="X27" s="7"/>
      <c r="Y27" s="7"/>
    </row>
    <row r="28" customFormat="false" ht="15.75" hidden="false" customHeight="false" outlineLevel="0" collapsed="false">
      <c r="B28" s="7"/>
      <c r="C28" s="54" t="str">
        <f aca="false">HLOOKUP($AK$40,'Daten-Zusammensetzung Bauteil'!$B$4:$BC$14,Database!$B9,FALSE())</f>
        <v>Foamglas T4+, 115 kg/m3, lambdaD 0.041 W/mK, 25 cm [kg]</v>
      </c>
      <c r="D28" s="55" t="str">
        <f aca="false">HLOOKUP($AK$40,'Daten-Funktion'!$B$4:$BC$14,Database!$B9,FALSE())</f>
        <v>E1.2</v>
      </c>
      <c r="E28" s="54" t="n">
        <f aca="false">HLOOKUP($AK$40,'Daten-THGE'!$B$4:$BC$14,Database!$B9,FALSE())</f>
        <v>0.0195</v>
      </c>
      <c r="F28" s="54" t="n">
        <f aca="false">HLOOKUP($AK$40,'Daten-Dichte'!$B$4:$BC$14,Database!$B9,FALSE())</f>
        <v>115</v>
      </c>
      <c r="G28" s="54" t="n">
        <f aca="false">HLOOKUP($AK$40,'Daten-Dicke'!$B$4:$BC$14,Database!$B9,FALSE())</f>
        <v>25</v>
      </c>
      <c r="H28" s="57"/>
      <c r="I28" s="20" t="n">
        <f aca="false">IF(H28=0,F28*G28/100*E28,E28*F28*H28/1000)</f>
        <v>0.560625</v>
      </c>
      <c r="J28" s="7"/>
      <c r="K28" s="62"/>
      <c r="L28" s="67" t="n">
        <f aca="false">IF(D28="C2",1,0)</f>
        <v>0</v>
      </c>
      <c r="M28" s="67" t="n">
        <f aca="false">IF(D28="E1.2",1,0)</f>
        <v>1</v>
      </c>
      <c r="N28" s="67" t="n">
        <f aca="false">IF(D28="E1.3",1,0)</f>
        <v>0</v>
      </c>
      <c r="O28" s="62"/>
      <c r="P28" s="7"/>
      <c r="Q28" s="54"/>
      <c r="R28" s="55"/>
      <c r="S28" s="54"/>
      <c r="T28" s="54"/>
      <c r="U28" s="54"/>
      <c r="V28" s="54"/>
      <c r="W28" s="20"/>
      <c r="X28" s="7"/>
      <c r="Y28" s="7"/>
    </row>
    <row r="29" customFormat="false" ht="15.75" hidden="false" customHeight="false" outlineLevel="0" collapsed="false">
      <c r="B29" s="7"/>
      <c r="C29" s="54" t="str">
        <f aca="false">HLOOKUP($AK$40,'Daten-Zusammensetzung Bauteil'!$B$4:$BC$14,Database!$B10,FALSE())</f>
        <v>Bitumenkleber [kg]</v>
      </c>
      <c r="D29" s="55" t="str">
        <f aca="false">HLOOKUP($AK$40,'Daten-Funktion'!$B$4:$BC$14,Database!$B10,FALSE())</f>
        <v>E1.2</v>
      </c>
      <c r="E29" s="54" t="n">
        <f aca="false">HLOOKUP($AK$40,'Daten-THGE'!$B$4:$BC$14,Database!$B10,FALSE())</f>
        <v>0.051</v>
      </c>
      <c r="F29" s="54" t="n">
        <f aca="false">HLOOKUP($AK$40,'Daten-Dichte'!$B$4:$BC$14,Database!$B10,FALSE())</f>
        <v>1000</v>
      </c>
      <c r="G29" s="54" t="n">
        <f aca="false">HLOOKUP($AK$40,'Daten-Dicke'!$B$4:$BC$14,Database!$B10,FALSE())</f>
        <v>0.3</v>
      </c>
      <c r="H29" s="57"/>
      <c r="I29" s="20" t="n">
        <f aca="false">IF(H29=0,F29*G29/100*E29,E29*F29*H29/1000)</f>
        <v>0.153</v>
      </c>
      <c r="J29" s="7"/>
      <c r="K29" s="62"/>
      <c r="L29" s="67" t="n">
        <f aca="false">IF(D29="C2",1,0)</f>
        <v>0</v>
      </c>
      <c r="M29" s="67" t="n">
        <f aca="false">IF(D29="E1.2",1,0)</f>
        <v>1</v>
      </c>
      <c r="N29" s="67" t="n">
        <f aca="false">IF(D29="E1.3",1,0)</f>
        <v>0</v>
      </c>
      <c r="O29" s="62"/>
      <c r="P29" s="37" t="s">
        <v>281</v>
      </c>
      <c r="Q29" s="54" t="str">
        <f aca="false">HLOOKUP($AK$23,'Daten-Zusammensetzung Bauteil'!$B$4:$BC$12,Database!$B4,FALSE())</f>
        <v>Pfostenriegel Alu/Glas [m2]</v>
      </c>
      <c r="R29" s="55" t="str">
        <f aca="false">HLOOKUP($AK$23,'Daten-Funktion'!$B$4:$BC$12,Database!$B4,FALSE())</f>
        <v>E2.4</v>
      </c>
      <c r="S29" s="54" t="n">
        <f aca="false">HLOOKUP($AK$23,'Daten-THGE'!$B$4:$BC$12,Database!$B4,FALSE())</f>
        <v>4.425</v>
      </c>
      <c r="T29" s="54" t="n">
        <f aca="false">HLOOKUP($AK$23,'Daten-Dichte'!$B$4:$BC$12,Database!$B4,FALSE())</f>
        <v>10</v>
      </c>
      <c r="U29" s="54" t="n">
        <f aca="false">HLOOKUP($AK$23,'Daten-Dicke'!$B$4:$BC$12,Database!$B4,FALSE())</f>
        <v>10</v>
      </c>
      <c r="V29" s="57"/>
      <c r="W29" s="20" t="n">
        <f aca="false">IF(V29=0,T29*U29/100*S29,S29*T29*V29/1000)</f>
        <v>4.425</v>
      </c>
      <c r="X29" s="7"/>
      <c r="Y29" s="7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customFormat="false" ht="15.75" hidden="false" customHeight="false" outlineLevel="0" collapsed="false">
      <c r="L30" s="67" t="n">
        <f aca="false">IF(J23=0,0,SUMPRODUCT(I23:I29*L23:L29)/SUM(I23:I29))</f>
        <v>0.565303820037801</v>
      </c>
      <c r="M30" s="67" t="n">
        <f aca="false">IF(J23=0,0,SUMPRODUCT(I23:I29*M23:M29)/SUM(I23:I29))</f>
        <v>0.3262593001662</v>
      </c>
      <c r="N30" s="67" t="n">
        <f aca="false">IF(J23=0,0,SUMPRODUCT(I23:I29*N23:N29)/SUM(I23:I29))</f>
        <v>0.108436879795999</v>
      </c>
      <c r="Q30" s="54" t="str">
        <f aca="false">HLOOKUP($AK$23,'Daten-Zusammensetzung Bauteil'!$B$4:$BC$12,Database!$B5,FALSE())</f>
        <v>Lamellenstoren [m2]</v>
      </c>
      <c r="R30" s="55" t="str">
        <f aca="false">HLOOKUP($AK$23,'Daten-Funktion'!$B$4:$BC$12,Database!$B5,FALSE())</f>
        <v>E3.3</v>
      </c>
      <c r="S30" s="54" t="n">
        <f aca="false">HLOOKUP($AK$23,'Daten-THGE'!$B$4:$BC$12,Database!$B5,FALSE())</f>
        <v>1.435</v>
      </c>
      <c r="T30" s="54" t="n">
        <f aca="false">HLOOKUP($AK$23,'Daten-Dichte'!$B$4:$BC$12,Database!$B5,FALSE())</f>
        <v>10</v>
      </c>
      <c r="U30" s="54" t="n">
        <f aca="false">HLOOKUP($AK$23,'Daten-Dicke'!$B$4:$BC$12,Database!$B5,FALSE())</f>
        <v>10</v>
      </c>
      <c r="V30" s="57"/>
      <c r="W30" s="20" t="n">
        <f aca="false">IF(V30=0,T30*U30/100*S30,S30*T30*V30/1000)</f>
        <v>1.435</v>
      </c>
      <c r="X30" s="7"/>
      <c r="Y30" s="7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customFormat="false" ht="15.75" hidden="false" customHeight="false" outlineLevel="0" collapsed="false">
      <c r="B31" s="59" t="s">
        <v>265</v>
      </c>
      <c r="Q31" s="54" t="str">
        <f aca="false">HLOOKUP($AK$23,'Daten-Zusammensetzung Bauteil'!$B$4:$BC$12,Database!$B6,FALSE())</f>
        <v>Ausstellstoren [m2]</v>
      </c>
      <c r="R31" s="55" t="str">
        <f aca="false">HLOOKUP($AK$23,'Daten-Funktion'!$B$4:$BC$12,Database!$B6,FALSE())</f>
        <v>E3.3</v>
      </c>
      <c r="S31" s="54" t="n">
        <f aca="false">HLOOKUP($AK$23,'Daten-THGE'!$B$4:$BC$12,Database!$B6,FALSE())</f>
        <v>1.625</v>
      </c>
      <c r="T31" s="54" t="n">
        <f aca="false">HLOOKUP($AK$23,'Daten-Dichte'!$B$4:$BC$12,Database!$B6,FALSE())</f>
        <v>10</v>
      </c>
      <c r="U31" s="54" t="n">
        <f aca="false">HLOOKUP($AK$23,'Daten-Dicke'!$B$4:$BC$12,Database!$B6,FALSE())</f>
        <v>10</v>
      </c>
      <c r="V31" s="57"/>
      <c r="W31" s="20" t="n">
        <f aca="false">IF(V31=0,T31*U31/100*S31,S31*T31*V31/1000)</f>
        <v>1.625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customFormat="false" ht="20.25" hidden="false" customHeight="false" outlineLevel="0" collapsed="false">
      <c r="B32" s="6" t="s">
        <v>266</v>
      </c>
      <c r="C32" s="37" t="s">
        <v>257</v>
      </c>
      <c r="D32" s="52"/>
      <c r="E32" s="37" t="s">
        <v>259</v>
      </c>
      <c r="F32" s="37" t="s">
        <v>260</v>
      </c>
      <c r="G32" s="37" t="s">
        <v>261</v>
      </c>
      <c r="H32" s="53" t="s">
        <v>262</v>
      </c>
      <c r="I32" s="37" t="s">
        <v>263</v>
      </c>
      <c r="J32" s="8" t="s">
        <v>102</v>
      </c>
      <c r="K32" s="62"/>
      <c r="Q32" s="54" t="n">
        <f aca="false">HLOOKUP($AK$23,'Daten-Zusammensetzung Bauteil'!$B$4:$BC$12,Database!$B7,FALSE())</f>
        <v>0</v>
      </c>
      <c r="R32" s="55" t="n">
        <f aca="false">HLOOKUP($AK$23,'Daten-Funktion'!$B$4:$BC$12,Database!$B7,FALSE())</f>
        <v>0</v>
      </c>
      <c r="S32" s="54" t="n">
        <f aca="false">HLOOKUP($AK$23,'Daten-THGE'!$B$4:$BC$12,Database!$B7,FALSE())</f>
        <v>0</v>
      </c>
      <c r="T32" s="54" t="n">
        <f aca="false">HLOOKUP($AK$23,'Daten-Dichte'!$B$4:$BC$12,Database!$B7,FALSE())</f>
        <v>0</v>
      </c>
      <c r="U32" s="54" t="n">
        <f aca="false">HLOOKUP($AK$23,'Daten-Dicke'!$B$4:$BC$12,Database!$B7,FALSE())</f>
        <v>0</v>
      </c>
      <c r="V32" s="57"/>
      <c r="W32" s="20" t="n">
        <f aca="false">IF(V32=0,T32*U32/100*S32,S32*T32*V32/1000)</f>
        <v>0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customFormat="false" ht="15.75" hidden="false" customHeight="false" outlineLevel="0" collapsed="false">
      <c r="B33" s="37" t="s">
        <v>68</v>
      </c>
      <c r="C33" s="54" t="str">
        <f aca="false">HLOOKUP($AK$57,'Daten-Zusammensetzung Bauteil'!$B$4:$BC$14,Database!$B4,FALSE())</f>
        <v>Hochbaubeton, 25 cm [kg]</v>
      </c>
      <c r="D33" s="55" t="str">
        <f aca="false">MID(HLOOKUP($AK$57,'Daten-Funktion'!$B$4:$BC$14,Database!$B4,FALSE()),1,2)</f>
        <v>C2</v>
      </c>
      <c r="E33" s="54" t="n">
        <f aca="false">HLOOKUP($AK$57,'Daten-THGE'!$B$4:$BC$14,Database!$B4,FALSE())</f>
        <v>0.00165333333333333</v>
      </c>
      <c r="F33" s="54" t="n">
        <f aca="false">HLOOKUP($AK$57,'Daten-Dichte'!$B$4:$BC$14,Database!$B4,FALSE())</f>
        <v>2300</v>
      </c>
      <c r="G33" s="54" t="n">
        <f aca="false">HLOOKUP($AK$57,'Daten-Dicke'!$B$4:$BC$14,Database!$B4,FALSE())</f>
        <v>24.7133757961783</v>
      </c>
      <c r="H33" s="9"/>
      <c r="I33" s="20" t="n">
        <f aca="false">IF(H33=0,F33*G33/100*E33,E33*F33*H33/1000)</f>
        <v>0.939767303609342</v>
      </c>
      <c r="J33" s="56" t="n">
        <f aca="false">IF(B35=Database!$D$15,0,SUM(I33:I39)*B37)</f>
        <v>0</v>
      </c>
      <c r="K33" s="66" t="s">
        <v>31</v>
      </c>
      <c r="L33" s="67" t="n">
        <f aca="false">IF(D33="C2",1,0)</f>
        <v>1</v>
      </c>
      <c r="M33" s="67" t="n">
        <f aca="false">IF(D33="E1.2",1,0)</f>
        <v>0</v>
      </c>
      <c r="N33" s="67" t="n">
        <f aca="false">IF(D33="E1.3",1,0)</f>
        <v>0</v>
      </c>
      <c r="Q33" s="54" t="n">
        <f aca="false">HLOOKUP($AK$23,'Daten-Zusammensetzung Bauteil'!$B$4:$BC$12,Database!$B8,FALSE())</f>
        <v>0</v>
      </c>
      <c r="R33" s="55" t="n">
        <f aca="false">HLOOKUP($AK$23,'Daten-Funktion'!$B$4:$BC$12,Database!$B8,FALSE())</f>
        <v>0</v>
      </c>
      <c r="S33" s="54" t="n">
        <f aca="false">HLOOKUP($AK$23,'Daten-THGE'!$B$4:$BC$12,Database!$B8,FALSE())</f>
        <v>0</v>
      </c>
      <c r="T33" s="54" t="n">
        <f aca="false">HLOOKUP($AK$23,'Daten-Dichte'!$B$4:$BC$12,Database!$B8,FALSE())</f>
        <v>0</v>
      </c>
      <c r="U33" s="54" t="n">
        <f aca="false">HLOOKUP($AK$23,'Daten-Dicke'!$B$4:$BC$12,Database!$B8,FALSE())</f>
        <v>0</v>
      </c>
      <c r="V33" s="57"/>
      <c r="W33" s="20" t="n">
        <f aca="false">IF(V33=0,T33*U33/100*S33,S33*T33*V33/1000)</f>
        <v>0</v>
      </c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customFormat="false" ht="15.75" hidden="false" customHeight="false" outlineLevel="0" collapsed="false">
      <c r="B34" s="53" t="s">
        <v>104</v>
      </c>
      <c r="C34" s="54" t="str">
        <f aca="false">HLOOKUP($AK$57,'Daten-Zusammensetzung Bauteil'!$B$4:$BC$14,Database!$B5,FALSE())</f>
        <v>Armierungsstahl [kg]</v>
      </c>
      <c r="D34" s="55" t="str">
        <f aca="false">MID(HLOOKUP($AK$57,'Daten-Funktion'!$B$4:$BC$14,Database!$B5,FALSE()),1,2)</f>
        <v>C2</v>
      </c>
      <c r="E34" s="54" t="n">
        <f aca="false">HLOOKUP($AK$57,'Daten-THGE'!$B$4:$BC$14,Database!$B5,FALSE())</f>
        <v>0.0113666666666667</v>
      </c>
      <c r="F34" s="54" t="n">
        <f aca="false">HLOOKUP($AK$57,'Daten-Dichte'!$B$4:$BC$14,Database!$B5,FALSE())</f>
        <v>7850</v>
      </c>
      <c r="G34" s="54" t="n">
        <f aca="false">HLOOKUP($AK$57,'Daten-Dicke'!$B$4:$BC$14,Database!$B5,FALSE())</f>
        <v>0.286624203821656</v>
      </c>
      <c r="H34" s="9"/>
      <c r="I34" s="20" t="n">
        <f aca="false">IF(H34=0,F34*G34/100*E34,E34*F34*H34/1000)</f>
        <v>0.25575</v>
      </c>
      <c r="J34" s="54"/>
      <c r="K34" s="62"/>
      <c r="L34" s="67" t="n">
        <f aca="false">IF(D34="C2",1,0)</f>
        <v>1</v>
      </c>
      <c r="M34" s="67" t="n">
        <f aca="false">IF(D34="E1.2",1,0)</f>
        <v>0</v>
      </c>
      <c r="N34" s="67" t="n">
        <f aca="false">IF(D34="E1.3",1,0)</f>
        <v>0</v>
      </c>
      <c r="Q34" s="54" t="n">
        <f aca="false">HLOOKUP($AK$23,'Daten-Zusammensetzung Bauteil'!$B$4:$BC$12,Database!$B9,FALSE())</f>
        <v>0</v>
      </c>
      <c r="R34" s="55" t="n">
        <f aca="false">HLOOKUP($AK$23,'Daten-Funktion'!$B$4:$BC$12,Database!$B9,FALSE())</f>
        <v>0</v>
      </c>
      <c r="S34" s="54" t="n">
        <f aca="false">HLOOKUP($AK$23,'Daten-THGE'!$B$4:$BC$12,Database!$B9,FALSE())</f>
        <v>0</v>
      </c>
      <c r="T34" s="54" t="n">
        <f aca="false">HLOOKUP($AK$23,'Daten-Dichte'!$B$4:$BC$12,Database!$B9,FALSE())</f>
        <v>0</v>
      </c>
      <c r="U34" s="54" t="n">
        <f aca="false">HLOOKUP($AK$23,'Daten-Dicke'!$B$4:$BC$12,Database!$B9,FALSE())</f>
        <v>0</v>
      </c>
      <c r="V34" s="57"/>
      <c r="W34" s="20" t="n">
        <f aca="false">IF(V34=0,T34*U34/100*S34,S34*T34*V34/1000)</f>
        <v>0</v>
      </c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customFormat="false" ht="15.75" hidden="false" customHeight="false" outlineLevel="0" collapsed="false">
      <c r="B35" s="53" t="s">
        <v>62</v>
      </c>
      <c r="C35" s="54" t="str">
        <f aca="false">HLOOKUP($AK$57,'Daten-Zusammensetzung Bauteil'!$B$4:$BC$14,Database!$B6,FALSE())</f>
        <v>3-SP Schalung 2.5cm (Annahme 5xverwendet) [kg]</v>
      </c>
      <c r="D35" s="55" t="str">
        <f aca="false">MID(HLOOKUP($AK$57,'Daten-Funktion'!$B$4:$BC$14,Database!$B6,FALSE()),1,2)</f>
        <v>C2</v>
      </c>
      <c r="E35" s="54" t="n">
        <f aca="false">HLOOKUP($AK$57,'Daten-THGE'!$B$4:$BC$14,Database!$B6,FALSE())</f>
        <v>0.00871666666666667</v>
      </c>
      <c r="F35" s="54" t="n">
        <f aca="false">HLOOKUP($AK$57,'Daten-Dichte'!$B$4:$BC$14,Database!$B6,FALSE())</f>
        <v>470</v>
      </c>
      <c r="G35" s="54" t="n">
        <f aca="false">HLOOKUP($AK$57,'Daten-Dicke'!$B$4:$BC$14,Database!$B6,FALSE())</f>
        <v>1</v>
      </c>
      <c r="H35" s="57"/>
      <c r="I35" s="20" t="n">
        <f aca="false">IF(H35=0,F35*G35/100*E35,E35*F35*H35/1000)</f>
        <v>0.0409683333333333</v>
      </c>
      <c r="J35" s="7"/>
      <c r="K35" s="62"/>
      <c r="L35" s="67" t="n">
        <f aca="false">IF(D35="C2",1,0)</f>
        <v>1</v>
      </c>
      <c r="M35" s="67" t="n">
        <f aca="false">IF(D35="E1.2",1,0)</f>
        <v>0</v>
      </c>
      <c r="N35" s="67" t="n">
        <f aca="false">IF(D35="E1.3",1,0)</f>
        <v>0</v>
      </c>
      <c r="Q35" s="54" t="n">
        <f aca="false">HLOOKUP($AK$23,'Daten-Zusammensetzung Bauteil'!$B$4:$BC$12,Database!$B10,FALSE())</f>
        <v>0</v>
      </c>
      <c r="R35" s="55" t="n">
        <f aca="false">HLOOKUP($AK$23,'Daten-Funktion'!$B$4:$BC$12,Database!$B10,FALSE())</f>
        <v>0</v>
      </c>
      <c r="S35" s="54" t="n">
        <f aca="false">HLOOKUP($AK$23,'Daten-THGE'!$B$4:$BC$12,Database!$B10,FALSE())</f>
        <v>0</v>
      </c>
      <c r="T35" s="54" t="n">
        <f aca="false">HLOOKUP($AK$23,'Daten-Dichte'!$B$4:$BC$12,Database!$B10,FALSE())</f>
        <v>0</v>
      </c>
      <c r="U35" s="54" t="n">
        <f aca="false">HLOOKUP($AK$23,'Daten-Dicke'!$B$4:$BC$12,Database!$B10,FALSE())</f>
        <v>0</v>
      </c>
      <c r="V35" s="57"/>
      <c r="W35" s="20" t="n">
        <f aca="false">IF(V35=0,T35*U35/100*S35,S35*T35*V35/1000)</f>
        <v>0</v>
      </c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customFormat="false" ht="15.75" hidden="false" customHeight="false" outlineLevel="0" collapsed="false">
      <c r="B36" s="53" t="s">
        <v>283</v>
      </c>
      <c r="C36" s="54" t="str">
        <f aca="false">HLOOKUP($AK$57,'Daten-Zusammensetzung Bauteil'!$B$4:$BC$14,Database!$B7,FALSE())</f>
        <v>Bitumenanstrich [m2]</v>
      </c>
      <c r="D36" s="55" t="str">
        <f aca="false">HLOOKUP($AK$57,'Daten-Funktion'!$B$4:$BC$14,Database!$B7,FALSE())</f>
        <v>E1.3</v>
      </c>
      <c r="E36" s="54" t="n">
        <f aca="false">HLOOKUP($AK$57,'Daten-THGE'!$B$4:$BC$14,Database!$B7,FALSE())</f>
        <v>0.0470666666666667</v>
      </c>
      <c r="F36" s="54" t="n">
        <f aca="false">HLOOKUP($AK$57,'Daten-Dichte'!$B$4:$BC$14,Database!$B7,FALSE())</f>
        <v>250</v>
      </c>
      <c r="G36" s="54" t="n">
        <f aca="false">HLOOKUP($AK$57,'Daten-Dicke'!$B$4:$BC$14,Database!$B7,FALSE())</f>
        <v>0.1</v>
      </c>
      <c r="H36" s="57"/>
      <c r="I36" s="20" t="n">
        <f aca="false">IF(H36=0,F36*G36/100*E36,E36*F36*H36/1000)</f>
        <v>0.0117666666666667</v>
      </c>
      <c r="J36" s="7"/>
      <c r="K36" s="62"/>
      <c r="L36" s="67" t="n">
        <f aca="false">IF(D36="C2",1,0)</f>
        <v>0</v>
      </c>
      <c r="M36" s="67" t="n">
        <f aca="false">IF(D36="E1.2",1,0)</f>
        <v>0</v>
      </c>
      <c r="N36" s="67" t="n">
        <f aca="false">IF(D36="E1.3",1,0)</f>
        <v>1</v>
      </c>
      <c r="Q36" s="54" t="n">
        <f aca="false">HLOOKUP($AK$23,'Daten-Zusammensetzung Bauteil'!$B$4:$BC$12,Database!$B11,FALSE())</f>
        <v>0</v>
      </c>
      <c r="R36" s="55" t="n">
        <f aca="false">HLOOKUP($AK$23,'Daten-Funktion'!$B$4:$BC$12,Database!$B11,FALSE())</f>
        <v>0</v>
      </c>
      <c r="S36" s="54" t="n">
        <f aca="false">HLOOKUP($AK$23,'Daten-THGE'!$B$4:$BC$12,Database!$B11,FALSE())</f>
        <v>0</v>
      </c>
      <c r="T36" s="54" t="n">
        <f aca="false">HLOOKUP($AK$23,'Daten-Dichte'!$B$4:$BC$12,Database!$B11,FALSE())</f>
        <v>0</v>
      </c>
      <c r="U36" s="54" t="n">
        <f aca="false">HLOOKUP($AK$23,'Daten-Dicke'!$B$4:$BC$12,Database!$B11,FALSE())</f>
        <v>0</v>
      </c>
      <c r="V36" s="57"/>
      <c r="W36" s="20" t="n">
        <f aca="false">IF(V36=0,T36*U36/100*S36,S36*T36*V36/1000)</f>
        <v>0</v>
      </c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customFormat="false" ht="15.75" hidden="false" customHeight="false" outlineLevel="0" collapsed="false">
      <c r="B37" s="53"/>
      <c r="C37" s="54" t="str">
        <f aca="false">HLOOKUP($AK$57,'Daten-Zusammensetzung Bauteil'!$B$4:$BC$14,Database!$B8,FALSE())</f>
        <v>Sickerplatte</v>
      </c>
      <c r="D37" s="55" t="str">
        <f aca="false">HLOOKUP($AK$57,'Daten-Funktion'!$B$4:$BC$14,Database!$B8,FALSE())</f>
        <v>E1.3</v>
      </c>
      <c r="E37" s="54" t="n">
        <f aca="false">HLOOKUP($AK$57,'Daten-THGE'!$B$4:$BC$14,Database!$B8,FALSE())</f>
        <v>0.0901666666666667</v>
      </c>
      <c r="F37" s="54" t="n">
        <f aca="false">HLOOKUP($AK$57,'Daten-Dichte'!$B$4:$BC$14,Database!$B8,FALSE())</f>
        <v>960</v>
      </c>
      <c r="G37" s="54" t="n">
        <f aca="false">HLOOKUP($AK$57,'Daten-Dicke'!$B$4:$BC$14,Database!$B8,FALSE())</f>
        <v>0.260416666666667</v>
      </c>
      <c r="H37" s="57"/>
      <c r="I37" s="20" t="n">
        <f aca="false">IF(H37=0,F37*G37/100*E37,E37*F37*H37/1000)</f>
        <v>0.225416666666667</v>
      </c>
      <c r="J37" s="7"/>
      <c r="K37" s="62"/>
      <c r="L37" s="67" t="n">
        <f aca="false">IF(D37="C2",1,0)</f>
        <v>0</v>
      </c>
      <c r="M37" s="67" t="n">
        <f aca="false">IF(D37="E1.2",1,0)</f>
        <v>0</v>
      </c>
      <c r="N37" s="67" t="n">
        <f aca="false">IF(D37="E1.3",1,0)</f>
        <v>1</v>
      </c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customFormat="false" ht="20.25" hidden="false" customHeight="false" outlineLevel="0" collapsed="false">
      <c r="B38" s="7"/>
      <c r="C38" s="54" t="str">
        <f aca="false">HLOOKUP($AK$57,'Daten-Zusammensetzung Bauteil'!$B$4:$BC$14,Database!$B9,FALSE())</f>
        <v>Foamglas T4+, 115 kg/m3, lambdaD 0.041 W/mK, 25 cm [kg]</v>
      </c>
      <c r="D38" s="55" t="str">
        <f aca="false">HLOOKUP($AK$57,'Daten-Funktion'!$B$4:$BC$14,Database!$B9,FALSE())</f>
        <v>E1.2</v>
      </c>
      <c r="E38" s="54" t="n">
        <f aca="false">HLOOKUP($AK$57,'Daten-THGE'!$B$4:$BC$14,Database!$B9,FALSE())</f>
        <v>0.0195</v>
      </c>
      <c r="F38" s="54" t="n">
        <f aca="false">HLOOKUP($AK$57,'Daten-Dichte'!$B$4:$BC$14,Database!$B9,FALSE())</f>
        <v>115</v>
      </c>
      <c r="G38" s="54" t="n">
        <f aca="false">HLOOKUP($AK$57,'Daten-Dicke'!$B$4:$BC$14,Database!$B9,FALSE())</f>
        <v>25</v>
      </c>
      <c r="H38" s="57"/>
      <c r="I38" s="20" t="n">
        <f aca="false">IF(H38=0,F38*G38/100*E38,E38*F38*H38/1000)</f>
        <v>0.560625</v>
      </c>
      <c r="J38" s="7"/>
      <c r="K38" s="62"/>
      <c r="L38" s="67" t="n">
        <f aca="false">IF(D38="C2",1,0)</f>
        <v>0</v>
      </c>
      <c r="M38" s="67" t="n">
        <f aca="false">IF(D38="E1.2",1,0)</f>
        <v>1</v>
      </c>
      <c r="N38" s="67" t="n">
        <f aca="false">IF(D38="E1.3",1,0)</f>
        <v>0</v>
      </c>
      <c r="O38" s="65" t="s">
        <v>266</v>
      </c>
      <c r="P38" s="6"/>
      <c r="Q38" s="37" t="s">
        <v>257</v>
      </c>
      <c r="R38" s="52"/>
      <c r="S38" s="37" t="s">
        <v>259</v>
      </c>
      <c r="T38" s="37" t="s">
        <v>260</v>
      </c>
      <c r="U38" s="37" t="s">
        <v>261</v>
      </c>
      <c r="V38" s="53" t="s">
        <v>262</v>
      </c>
      <c r="W38" s="37" t="s">
        <v>263</v>
      </c>
      <c r="X38" s="8" t="s">
        <v>102</v>
      </c>
      <c r="Y38" s="7"/>
      <c r="Z38" s="64" t="s">
        <v>267</v>
      </c>
      <c r="AA38" s="64" t="s">
        <v>270</v>
      </c>
      <c r="AB38" s="64" t="s">
        <v>271</v>
      </c>
      <c r="AC38" s="64" t="s">
        <v>272</v>
      </c>
      <c r="AD38" s="64" t="s">
        <v>273</v>
      </c>
      <c r="AE38" s="64" t="s">
        <v>274</v>
      </c>
      <c r="AF38" s="64" t="s">
        <v>275</v>
      </c>
      <c r="AG38" s="64" t="s">
        <v>276</v>
      </c>
      <c r="AH38" s="64" t="s">
        <v>277</v>
      </c>
      <c r="AI38" s="64" t="s">
        <v>278</v>
      </c>
      <c r="AJ38" s="64" t="s">
        <v>279</v>
      </c>
    </row>
    <row r="39" customFormat="false" ht="15.75" hidden="false" customHeight="false" outlineLevel="0" collapsed="false">
      <c r="B39" s="7"/>
      <c r="C39" s="54" t="str">
        <f aca="false">HLOOKUP($AK$57,'Daten-Zusammensetzung Bauteil'!$B$4:$BC$14,Database!$B10,FALSE())</f>
        <v>Bitumenkleber [kg]</v>
      </c>
      <c r="D39" s="55" t="str">
        <f aca="false">HLOOKUP($AK$57,'Daten-Funktion'!$B$4:$BC$14,Database!$B10,FALSE())</f>
        <v>E1.2</v>
      </c>
      <c r="E39" s="54" t="n">
        <f aca="false">HLOOKUP($AK$57,'Daten-THGE'!$B$4:$BC$14,Database!$B10,FALSE())</f>
        <v>0.051</v>
      </c>
      <c r="F39" s="54" t="n">
        <f aca="false">HLOOKUP($AK$57,'Daten-Dichte'!$B$4:$BC$14,Database!$B10,FALSE())</f>
        <v>1000</v>
      </c>
      <c r="G39" s="54" t="n">
        <f aca="false">HLOOKUP($AK$57,'Daten-Dicke'!$B$4:$BC$14,Database!$B10,FALSE())</f>
        <v>0.3</v>
      </c>
      <c r="H39" s="57"/>
      <c r="I39" s="20" t="n">
        <f aca="false">IF(H39=0,F39*G39/100*E39,E39*F39*H39/1000)</f>
        <v>0.153</v>
      </c>
      <c r="J39" s="7"/>
      <c r="K39" s="62"/>
      <c r="L39" s="67" t="n">
        <f aca="false">IF(D39="C2",1,0)</f>
        <v>0</v>
      </c>
      <c r="M39" s="67" t="n">
        <f aca="false">IF(D39="E1.2",1,0)</f>
        <v>1</v>
      </c>
      <c r="N39" s="67" t="n">
        <f aca="false">IF(D39="E1.3",1,0)</f>
        <v>0</v>
      </c>
      <c r="O39" s="66" t="s">
        <v>80</v>
      </c>
      <c r="P39" s="37" t="s">
        <v>280</v>
      </c>
      <c r="Q39" s="54" t="str">
        <f aca="false">HLOOKUP($AL$40,'Daten-Zusammensetzung Bauteil'!$B$4:$BC$14,Database!$B4,FALSE())</f>
        <v>Backstein [kg]</v>
      </c>
      <c r="R39" s="55" t="str">
        <f aca="false">MID(HLOOKUP($AL$40,'Daten-Funktion'!$B$4:$BC$14,Database!$B4,FALSE()),1,2)</f>
        <v>C2</v>
      </c>
      <c r="S39" s="54" t="n">
        <f aca="false">HLOOKUP($AL$40,'Daten-THGE'!$B$4:$BC$14,Database!$B4,FALSE())</f>
        <v>0.0043</v>
      </c>
      <c r="T39" s="54" t="n">
        <f aca="false">HLOOKUP($AL$40,'Daten-Dichte'!$B$4:$BC$14,Database!$B4,FALSE())</f>
        <v>900</v>
      </c>
      <c r="U39" s="54" t="n">
        <f aca="false">HLOOKUP($AL$40,'Daten-Dicke'!$B$4:$BC$14,Database!$B4,FALSE())</f>
        <v>17.5</v>
      </c>
      <c r="V39" s="9"/>
      <c r="W39" s="20" t="n">
        <f aca="false">IF(V39=0,T39*U39/100*S39,S39*T39*V39/1000)</f>
        <v>0.67725</v>
      </c>
      <c r="X39" s="56" t="n">
        <f aca="false">SUM(W39:W53)*Gebäude!$C$40</f>
        <v>1151.95511666667</v>
      </c>
      <c r="Y39" s="37" t="s">
        <v>31</v>
      </c>
      <c r="Z39" s="68" t="n">
        <f aca="false">IF(R39="C2",1,0)</f>
        <v>1</v>
      </c>
      <c r="AA39" s="68" t="n">
        <f aca="false">IF(R39="C3",1,0)</f>
        <v>0</v>
      </c>
      <c r="AB39" s="68" t="n">
        <f aca="false">IF(R39="G3.1",1,0)</f>
        <v>0</v>
      </c>
      <c r="AC39" s="68" t="n">
        <f aca="false">IF(R39="G3.2",1,0)</f>
        <v>0</v>
      </c>
      <c r="AD39" s="68" t="n">
        <v>0</v>
      </c>
      <c r="AE39" s="68" t="n">
        <v>0</v>
      </c>
      <c r="AF39" s="68" t="n">
        <v>0</v>
      </c>
      <c r="AG39" s="68" t="n">
        <v>0</v>
      </c>
      <c r="AH39" s="68" t="n">
        <v>0</v>
      </c>
      <c r="AI39" s="68" t="n">
        <v>0</v>
      </c>
      <c r="AJ39" s="68" t="n">
        <v>0</v>
      </c>
    </row>
    <row r="40" customFormat="false" ht="15.75" hidden="false" customHeight="false" outlineLevel="0" collapsed="false">
      <c r="L40" s="67" t="n">
        <f aca="false">IF(J33=0,0,SUMPRODUCT(I33:I39*L33:L39)/SUM(I33:I39))</f>
        <v>0</v>
      </c>
      <c r="M40" s="67" t="n">
        <f aca="false">IF(J33=0,0,SUMPRODUCT(I33:I39*M33:M39)/SUM(I33:I39))</f>
        <v>0</v>
      </c>
      <c r="N40" s="67" t="n">
        <f aca="false">IF(J33=0,0,SUMPRODUCT(I33:I39*N33:N39)/SUM(I33:I39))</f>
        <v>0</v>
      </c>
      <c r="O40" s="66" t="str">
        <f aca="false">Gebäude!$G$25</f>
        <v>Massivbauweise</v>
      </c>
      <c r="P40" s="37"/>
      <c r="Q40" s="54" t="str">
        <f aca="false">HLOOKUP($AL$40,'Daten-Zusammensetzung Bauteil'!$B$4:$BC$14,Database!$B5,FALSE())</f>
        <v>Mörtel [kg]</v>
      </c>
      <c r="R40" s="55" t="str">
        <f aca="false">MID(HLOOKUP($AL$40,'Daten-Funktion'!$B$4:$BC$14,Database!$B5,FALSE()),1,2)</f>
        <v>C2</v>
      </c>
      <c r="S40" s="54" t="n">
        <f aca="false">HLOOKUP($AL$40,'Daten-THGE'!$B$4:$BC$14,Database!$B5,FALSE())</f>
        <v>0.00448333333333333</v>
      </c>
      <c r="T40" s="54" t="n">
        <f aca="false">HLOOKUP($AL$40,'Daten-Dichte'!$B$4:$BC$14,Database!$B5,FALSE())</f>
        <v>1550</v>
      </c>
      <c r="U40" s="54" t="n">
        <f aca="false">HLOOKUP($AL$40,'Daten-Dicke'!$B$4:$BC$14,Database!$B5,FALSE())</f>
        <v>3.32903225806452</v>
      </c>
      <c r="V40" s="9"/>
      <c r="W40" s="20" t="n">
        <f aca="false">IF(V40=0,T40*U40/100*S40,S40*T40*V40/1000)</f>
        <v>0.23134</v>
      </c>
      <c r="X40" s="54"/>
      <c r="Y40" s="7"/>
      <c r="Z40" s="68" t="n">
        <f aca="false">IF(R40="C2",1,0)</f>
        <v>1</v>
      </c>
      <c r="AA40" s="68" t="n">
        <f aca="false">IF(R40="C3",1,0)</f>
        <v>0</v>
      </c>
      <c r="AB40" s="68" t="n">
        <f aca="false">IF(R40="G3.1",1,0)</f>
        <v>0</v>
      </c>
      <c r="AC40" s="68" t="n">
        <f aca="false">IF(R40="G3.2",1,0)</f>
        <v>0</v>
      </c>
      <c r="AD40" s="68" t="n">
        <f aca="false">IF(R40="E2.1",1,0)</f>
        <v>0</v>
      </c>
      <c r="AE40" s="68" t="n">
        <f aca="false">IF(R40="E2.2",1,0)</f>
        <v>0</v>
      </c>
      <c r="AF40" s="68" t="n">
        <f aca="false">IF(R40="E2.3",1,0)</f>
        <v>0</v>
      </c>
      <c r="AG40" s="68" t="n">
        <f aca="false">IF(R40="E2.3",1,0)</f>
        <v>0</v>
      </c>
      <c r="AH40" s="68" t="n">
        <v>0</v>
      </c>
      <c r="AI40" s="68" t="n">
        <v>0</v>
      </c>
      <c r="AJ40" s="68" t="n">
        <v>0</v>
      </c>
      <c r="AK40" s="0" t="str">
        <f aca="false">VLOOKUP($B$24,Database!$Y$29:$AD$31,3,FALSE())</f>
        <v>7c</v>
      </c>
      <c r="AL40" s="0" t="str">
        <f aca="false">IF($O$40=Database!$Y$29,HLOOKUP($O$41,Database!$T$51:$U$52,2,FALSE()),IF($O$40=Database!$S$67,VLOOKUP($O$42,Database!$S$72:$T$76,2,FALSE()),VLOOKUP($O$42,Database!$S$87:$T$94,2,FALSE())))</f>
        <v>1b</v>
      </c>
    </row>
    <row r="41" customFormat="false" ht="15.75" hidden="false" customHeight="false" outlineLevel="0" collapsed="false">
      <c r="O41" s="66" t="str">
        <f aca="false">Gebäude!$G$32</f>
        <v>Backsteinwand</v>
      </c>
      <c r="P41" s="37"/>
      <c r="Q41" s="54" t="str">
        <f aca="false">HLOOKUP($AL$40,'Daten-Zusammensetzung Bauteil'!$B$4:$BC$14,Database!$B6,FALSE())</f>
        <v>Kalk-Zementgrundputz [kg]</v>
      </c>
      <c r="R41" s="55" t="str">
        <f aca="false">HLOOKUP($AL$40,'Daten-Funktion'!$B$4:$BC$14,Database!$B6,FALSE())</f>
        <v>G3.1</v>
      </c>
      <c r="S41" s="54" t="n">
        <f aca="false">HLOOKUP($AL$40,'Daten-THGE'!$B$4:$BC$14,Database!$B6,FALSE())</f>
        <v>0.00823333333333333</v>
      </c>
      <c r="T41" s="54" t="n">
        <f aca="false">HLOOKUP($AL$40,'Daten-Dichte'!$B$4:$BC$14,Database!$B6,FALSE())</f>
        <v>1550</v>
      </c>
      <c r="U41" s="54" t="n">
        <f aca="false">HLOOKUP($AL$40,'Daten-Dicke'!$B$4:$BC$14,Database!$B6,FALSE())</f>
        <v>1.16129032258065</v>
      </c>
      <c r="V41" s="57"/>
      <c r="W41" s="20" t="n">
        <f aca="false">IF(V41=0,T41*U41/100*S41,S41*T41*V41/1000)</f>
        <v>0.1482</v>
      </c>
      <c r="X41" s="7"/>
      <c r="Y41" s="7"/>
      <c r="Z41" s="68" t="n">
        <f aca="false">IF(R41="C2",1,0)</f>
        <v>0</v>
      </c>
      <c r="AA41" s="68" t="n">
        <f aca="false">IF(R41="C3",1,0)</f>
        <v>0</v>
      </c>
      <c r="AB41" s="68" t="n">
        <f aca="false">IF(R41="G3.1",1,0)</f>
        <v>1</v>
      </c>
      <c r="AC41" s="68" t="n">
        <f aca="false">IF(R41="G3.2",1,0)</f>
        <v>0</v>
      </c>
      <c r="AD41" s="68" t="n">
        <f aca="false">IF(R41="E2.1",1,0)</f>
        <v>0</v>
      </c>
      <c r="AE41" s="68" t="n">
        <f aca="false">IF(R41="E2.2",1,0)</f>
        <v>0</v>
      </c>
      <c r="AF41" s="68" t="n">
        <f aca="false">IF(R41="E2.3",1,0)</f>
        <v>0</v>
      </c>
      <c r="AG41" s="68" t="n">
        <f aca="false">IF(R41="E2.3",1,0)</f>
        <v>0</v>
      </c>
      <c r="AH41" s="68" t="n">
        <v>0</v>
      </c>
      <c r="AI41" s="68" t="n">
        <v>0</v>
      </c>
      <c r="AJ41" s="68" t="n">
        <v>0</v>
      </c>
      <c r="AL41" s="0" t="str">
        <f aca="false">IF($O$40=Database!$Y$29,VLOOKUP($O$43,Database!$S$51:$T$60,2,FALSE()),IF($O$40=Database!$S$67,VLOOKUP($O$43,Database!$S$72:$T$76,2,FALSE()),VLOOKUP($O$43,Database!$S$87:$T$94,2,FALSE())))</f>
        <v>2g</v>
      </c>
    </row>
    <row r="42" customFormat="false" ht="15.75" hidden="false" customHeight="false" outlineLevel="0" collapsed="false">
      <c r="O42" s="66" t="str">
        <f aca="false">Gebäude!$G$33</f>
        <v>Aussenwand über Terrain 1</v>
      </c>
      <c r="P42" s="7"/>
      <c r="Q42" s="54" t="str">
        <f aca="false">HLOOKUP($AL$40,'Daten-Zusammensetzung Bauteil'!$B$4:$BC$14,Database!$B7,FALSE())</f>
        <v>Deckputz (Weissputz) [kg]</v>
      </c>
      <c r="R42" s="55" t="str">
        <f aca="false">HLOOKUP($AL$40,'Daten-Funktion'!$B$4:$BC$14,Database!$B7,FALSE())</f>
        <v>G3.2</v>
      </c>
      <c r="S42" s="54" t="n">
        <f aca="false">HLOOKUP($AL$40,'Daten-THGE'!$B$4:$BC$14,Database!$B7,FALSE())</f>
        <v>0.0049</v>
      </c>
      <c r="T42" s="54" t="n">
        <f aca="false">HLOOKUP($AL$40,'Daten-Dichte'!$B$4:$BC$14,Database!$B7,FALSE())</f>
        <v>1100</v>
      </c>
      <c r="U42" s="54" t="n">
        <f aca="false">HLOOKUP($AL$40,'Daten-Dicke'!$B$4:$BC$14,Database!$B7,FALSE())</f>
        <v>0.318181818181818</v>
      </c>
      <c r="V42" s="57"/>
      <c r="W42" s="20" t="n">
        <f aca="false">IF(V42=0,T42*U42/100*S42,S42*T42*V42/1000)</f>
        <v>0.01715</v>
      </c>
      <c r="X42" s="7"/>
      <c r="Y42" s="7"/>
      <c r="Z42" s="68" t="n">
        <f aca="false">IF(R42="C2",1,0)</f>
        <v>0</v>
      </c>
      <c r="AA42" s="68" t="n">
        <f aca="false">IF(R42="C3",1,0)</f>
        <v>0</v>
      </c>
      <c r="AB42" s="68" t="n">
        <f aca="false">IF(R42="G3.1",1,0)</f>
        <v>0</v>
      </c>
      <c r="AC42" s="68" t="n">
        <f aca="false">IF(R42="G3.2",1,0)</f>
        <v>1</v>
      </c>
      <c r="AD42" s="68" t="n">
        <f aca="false">IF(R42="E2.1",1,0)</f>
        <v>0</v>
      </c>
      <c r="AE42" s="68" t="n">
        <f aca="false">IF(R42="E2.2",1,0)</f>
        <v>0</v>
      </c>
      <c r="AF42" s="68" t="n">
        <f aca="false">IF(R42="E2.3",1,0)</f>
        <v>0</v>
      </c>
      <c r="AG42" s="68" t="n">
        <f aca="false">IF(R42="E2.3",1,0)</f>
        <v>0</v>
      </c>
      <c r="AH42" s="68" t="n">
        <v>0</v>
      </c>
      <c r="AI42" s="68" t="n">
        <v>0</v>
      </c>
      <c r="AJ42" s="68" t="n">
        <v>0</v>
      </c>
    </row>
    <row r="43" customFormat="false" ht="15.75" hidden="false" customHeight="false" outlineLevel="0" collapsed="false">
      <c r="O43" s="66" t="str">
        <f aca="false">Gebäude!$G$34</f>
        <v>Aussenwand über Terrain Bekleidung 5</v>
      </c>
      <c r="P43" s="7"/>
      <c r="Q43" s="54" t="str">
        <f aca="false">HLOOKUP($AL$40,'Daten-Zusammensetzung Bauteil'!$B$4:$BC$14,Database!$B8,FALSE())</f>
        <v>Wanddispersion [m2]</v>
      </c>
      <c r="R43" s="55" t="str">
        <f aca="false">HLOOKUP($AL$40,'Daten-Funktion'!$B$4:$BC$14,Database!$B8,FALSE())</f>
        <v>G3.2</v>
      </c>
      <c r="S43" s="54" t="n">
        <f aca="false">HLOOKUP($AL$40,'Daten-THGE'!$B$4:$BC$14,Database!$B8,FALSE())</f>
        <v>0.151111111111111</v>
      </c>
      <c r="T43" s="54" t="n">
        <f aca="false">HLOOKUP($AL$40,'Daten-Dichte'!$B$4:$BC$14,Database!$B8,FALSE())</f>
        <v>150</v>
      </c>
      <c r="U43" s="54" t="n">
        <f aca="false">HLOOKUP($AL$40,'Daten-Dicke'!$B$4:$BC$14,Database!$B8,FALSE())</f>
        <v>0.2</v>
      </c>
      <c r="V43" s="57"/>
      <c r="W43" s="20" t="n">
        <f aca="false">IF(V43=0,T43*U43/100*S43,S43*T43*V43/1000)</f>
        <v>0.0453333333333333</v>
      </c>
      <c r="X43" s="7"/>
      <c r="Y43" s="7"/>
      <c r="Z43" s="68" t="n">
        <f aca="false">IF(R43="C2",1,0)</f>
        <v>0</v>
      </c>
      <c r="AA43" s="68" t="n">
        <f aca="false">IF(R43="C3",1,0)</f>
        <v>0</v>
      </c>
      <c r="AB43" s="68" t="n">
        <f aca="false">IF(R43="G3.1",1,0)</f>
        <v>0</v>
      </c>
      <c r="AC43" s="68" t="n">
        <f aca="false">IF(R43="G3.2",1,0)</f>
        <v>1</v>
      </c>
      <c r="AD43" s="68" t="n">
        <f aca="false">IF(R43="E2.1",1,0)</f>
        <v>0</v>
      </c>
      <c r="AE43" s="68" t="n">
        <f aca="false">IF(R43="E2.2",1,0)</f>
        <v>0</v>
      </c>
      <c r="AF43" s="68" t="n">
        <f aca="false">IF(R43="E2.3",1,0)</f>
        <v>0</v>
      </c>
      <c r="AG43" s="68" t="n">
        <f aca="false">IF(R43="E2.3",1,0)</f>
        <v>0</v>
      </c>
      <c r="AH43" s="68" t="n">
        <v>0</v>
      </c>
      <c r="AI43" s="68" t="n">
        <v>0</v>
      </c>
      <c r="AJ43" s="68" t="n">
        <v>0</v>
      </c>
    </row>
    <row r="44" customFormat="false" ht="15.75" hidden="false" customHeight="false" outlineLevel="0" collapsed="false">
      <c r="O44" s="62"/>
      <c r="P44" s="7"/>
      <c r="Q44" s="54" t="n">
        <f aca="false">HLOOKUP($AL$40,'Daten-Zusammensetzung Bauteil'!$B$4:$BC$14,Database!$B9,FALSE())</f>
        <v>0</v>
      </c>
      <c r="R44" s="55" t="n">
        <f aca="false">HLOOKUP($AL$40,'Daten-Funktion'!$B$4:$BC$14,Database!$B9,FALSE())</f>
        <v>0</v>
      </c>
      <c r="S44" s="54" t="n">
        <f aca="false">HLOOKUP($AL$40,'Daten-THGE'!$B$4:$BC$14,Database!$B9,FALSE())</f>
        <v>0</v>
      </c>
      <c r="T44" s="54" t="n">
        <f aca="false">HLOOKUP($AL$40,'Daten-Dichte'!$B$4:$BC$14,Database!$B9,FALSE())</f>
        <v>0</v>
      </c>
      <c r="U44" s="54" t="n">
        <f aca="false">HLOOKUP($AL$40,'Daten-Dicke'!$B$4:$BC$14,Database!$B9,FALSE())</f>
        <v>0</v>
      </c>
      <c r="V44" s="57"/>
      <c r="W44" s="20" t="n">
        <f aca="false">IF(V44=0,T44*U44/100*S44,S44*T44*V44/1000)</f>
        <v>0</v>
      </c>
      <c r="X44" s="7"/>
      <c r="Y44" s="7"/>
      <c r="Z44" s="68" t="n">
        <f aca="false">IF(R44="C2",1,0)</f>
        <v>0</v>
      </c>
      <c r="AA44" s="68" t="n">
        <f aca="false">IF(R44="C3",1,0)</f>
        <v>0</v>
      </c>
      <c r="AB44" s="68" t="n">
        <f aca="false">IF(R44="G3.1",1,0)</f>
        <v>0</v>
      </c>
      <c r="AC44" s="68" t="n">
        <f aca="false">IF(R44="G3.2",1,0)</f>
        <v>0</v>
      </c>
      <c r="AD44" s="68" t="n">
        <f aca="false">IF(R44="E2.1",1,0)</f>
        <v>0</v>
      </c>
      <c r="AE44" s="68" t="n">
        <f aca="false">IF(R44="E2.2",1,0)</f>
        <v>0</v>
      </c>
      <c r="AF44" s="68" t="n">
        <f aca="false">IF(R44="E2.3",1,0)</f>
        <v>0</v>
      </c>
      <c r="AG44" s="68" t="n">
        <f aca="false">IF(R44="E2.3",1,0)</f>
        <v>0</v>
      </c>
      <c r="AH44" s="68" t="n">
        <v>0</v>
      </c>
      <c r="AI44" s="68" t="n">
        <v>0</v>
      </c>
      <c r="AJ44" s="68" t="n">
        <v>0</v>
      </c>
    </row>
    <row r="45" customFormat="false" ht="15.75" hidden="false" customHeight="false" outlineLevel="0" collapsed="false">
      <c r="O45" s="62"/>
      <c r="P45" s="7"/>
      <c r="Q45" s="54"/>
      <c r="R45" s="55"/>
      <c r="S45" s="54"/>
      <c r="T45" s="54"/>
      <c r="U45" s="54"/>
      <c r="W45" s="20"/>
      <c r="X45" s="7"/>
      <c r="Y45" s="74"/>
      <c r="Z45" s="73"/>
      <c r="AA45" s="73"/>
      <c r="AD45" s="73"/>
    </row>
    <row r="46" customFormat="false" ht="15.75" hidden="false" customHeight="false" outlineLevel="0" collapsed="false">
      <c r="O46" s="62"/>
      <c r="P46" s="37" t="s">
        <v>281</v>
      </c>
      <c r="Q46" s="54" t="str">
        <f aca="false">HLOOKUP($AL$41,'Daten-Zusammensetzung Bauteil'!$B$4:$BC$14,Database!$B4,FALSE())</f>
        <v>Fassadenplatte, Aluverbund, 4 mm</v>
      </c>
      <c r="R46" s="55" t="str">
        <f aca="false">HLOOKUP($AL$41,'Daten-Funktion'!$B$4:$BC$14,Database!$B4,FALSE())</f>
        <v>E2.3</v>
      </c>
      <c r="S46" s="54" t="n">
        <f aca="false">HLOOKUP($AL$41,'Daten-THGE'!$B$4:$BC$14,Database!$B4,FALSE())</f>
        <v>0.155985915492958</v>
      </c>
      <c r="T46" s="54" t="n">
        <f aca="false">HLOOKUP($AL$41,'Daten-Dichte'!$B$4:$BC$14,Database!$B4,FALSE())</f>
        <v>1775</v>
      </c>
      <c r="U46" s="54" t="n">
        <f aca="false">HLOOKUP($AL$41,'Daten-Dicke'!$B$4:$BC$14,Database!$B4,FALSE())</f>
        <v>0.4</v>
      </c>
      <c r="V46" s="57"/>
      <c r="W46" s="20" t="n">
        <f aca="false">IF(V46=0,T46*U46/100*S46,S46*T46*V46/1000)</f>
        <v>1.1075</v>
      </c>
      <c r="X46" s="7"/>
      <c r="Y46" s="7"/>
      <c r="Z46" s="68" t="n">
        <v>0</v>
      </c>
      <c r="AA46" s="68" t="n">
        <v>0</v>
      </c>
      <c r="AB46" s="68" t="n">
        <f aca="false">IF(R46="G3.1",1,0)</f>
        <v>0</v>
      </c>
      <c r="AC46" s="68" t="n">
        <f aca="false">IF(R46="G3.2",1,0)</f>
        <v>0</v>
      </c>
      <c r="AD46" s="68" t="n">
        <f aca="false">IF(R46="E2.1",1,0)</f>
        <v>0</v>
      </c>
      <c r="AE46" s="68" t="n">
        <f aca="false">IF(R46="E2.2",1,0)</f>
        <v>0</v>
      </c>
      <c r="AF46" s="68" t="n">
        <f aca="false">IF(R46="E2.3",1,0)</f>
        <v>1</v>
      </c>
      <c r="AG46" s="68" t="n">
        <f aca="false">IF(R46="E2.4",1,0)</f>
        <v>0</v>
      </c>
      <c r="AH46" s="68" t="n">
        <f aca="false">IF(R46="E3.1",1,0)</f>
        <v>0</v>
      </c>
      <c r="AI46" s="68" t="n">
        <f aca="false">IF(R46="E3.2",1,0)</f>
        <v>0</v>
      </c>
      <c r="AJ46" s="68" t="n">
        <f aca="false">IF(R46="E3.3",1,0)</f>
        <v>0</v>
      </c>
    </row>
    <row r="47" customFormat="false" ht="15.75" hidden="false" customHeight="false" outlineLevel="0" collapsed="false">
      <c r="O47" s="62"/>
      <c r="P47" s="7"/>
      <c r="Q47" s="54" t="str">
        <f aca="false">HLOOKUP($AL$41,'Daten-Zusammensetzung Bauteil'!$B$4:$BC$14,Database!$B5,FALSE())</f>
        <v>Aluminiumunterkonstruktion [kg]</v>
      </c>
      <c r="R47" s="55" t="str">
        <f aca="false">HLOOKUP($AL$41,'Daten-Funktion'!$B$4:$BC$14,Database!$B5,FALSE())</f>
        <v>E2.4</v>
      </c>
      <c r="S47" s="54" t="n">
        <f aca="false">HLOOKUP($AL$41,'Daten-THGE'!$B$4:$BC$14,Database!$B5,FALSE())</f>
        <v>0.14275</v>
      </c>
      <c r="T47" s="54" t="n">
        <f aca="false">HLOOKUP($AL$41,'Daten-Dichte'!$B$4:$BC$14,Database!$B5,FALSE())</f>
        <v>2690</v>
      </c>
      <c r="U47" s="54" t="n">
        <f aca="false">HLOOKUP($AL$41,'Daten-Dicke'!$B$4:$BC$14,Database!$B5,FALSE())</f>
        <v>0.124845105328377</v>
      </c>
      <c r="V47" s="57"/>
      <c r="W47" s="20" t="n">
        <f aca="false">IF(V47=0,T47*U47/100*S47,S47*T47*V47/1000)</f>
        <v>0.479402083333333</v>
      </c>
      <c r="X47" s="7"/>
      <c r="Y47" s="7"/>
      <c r="Z47" s="68" t="n">
        <v>0</v>
      </c>
      <c r="AA47" s="68" t="n">
        <v>0</v>
      </c>
      <c r="AB47" s="68" t="n">
        <f aca="false">IF(R47="G3.1",1,0)</f>
        <v>0</v>
      </c>
      <c r="AC47" s="68" t="n">
        <f aca="false">IF(R47="G3.2",1,0)</f>
        <v>0</v>
      </c>
      <c r="AD47" s="68" t="n">
        <f aca="false">IF(R47="E2.1",1,0)</f>
        <v>0</v>
      </c>
      <c r="AE47" s="68" t="n">
        <f aca="false">IF(R47="E2.2",1,0)</f>
        <v>0</v>
      </c>
      <c r="AF47" s="68" t="n">
        <f aca="false">IF(R47="E2.3",1,0)</f>
        <v>0</v>
      </c>
      <c r="AG47" s="68" t="n">
        <f aca="false">IF(R47="E2.4",1,0)</f>
        <v>1</v>
      </c>
      <c r="AH47" s="68" t="n">
        <f aca="false">IF(R47="E3.1",1,0)</f>
        <v>0</v>
      </c>
      <c r="AI47" s="68" t="n">
        <f aca="false">IF(R47="E3.2",1,0)</f>
        <v>0</v>
      </c>
      <c r="AJ47" s="68" t="n">
        <f aca="false">IF(R47="E3.3",1,0)</f>
        <v>0</v>
      </c>
    </row>
    <row r="48" customFormat="false" ht="15.75" hidden="false" customHeight="false" outlineLevel="0" collapsed="false">
      <c r="Q48" s="54" t="str">
        <f aca="false">HLOOKUP($AL$41,'Daten-Zusammensetzung Bauteil'!$B$4:$BC$14,Database!$B6,FALSE())</f>
        <v>Dämmstoffdübel [kg]</v>
      </c>
      <c r="R48" s="55" t="str">
        <f aca="false">HLOOKUP($AL$41,'Daten-Funktion'!$B$4:$BC$14,Database!$B6,FALSE())</f>
        <v>E2.2</v>
      </c>
      <c r="S48" s="54" t="n">
        <f aca="false">HLOOKUP($AL$41,'Daten-THGE'!$B$4:$BC$14,Database!$B6,FALSE())</f>
        <v>0.24</v>
      </c>
      <c r="T48" s="54" t="n">
        <f aca="false">HLOOKUP($AL$41,'Daten-Dichte'!$B$4:$BC$14,Database!$B6,FALSE())</f>
        <v>1450</v>
      </c>
      <c r="U48" s="54" t="n">
        <f aca="false">HLOOKUP($AL$41,'Daten-Dicke'!$B$4:$BC$14,Database!$B6,FALSE())</f>
        <v>0.00827586206896552</v>
      </c>
      <c r="V48" s="57"/>
      <c r="W48" s="20" t="n">
        <f aca="false">IF(V48=0,T48*U48/100*S48,S48*T48*V48/1000)</f>
        <v>0.0288</v>
      </c>
      <c r="Z48" s="68" t="n">
        <v>0</v>
      </c>
      <c r="AA48" s="68" t="n">
        <v>0</v>
      </c>
      <c r="AB48" s="68" t="n">
        <f aca="false">IF(R48="G3.1",1,0)</f>
        <v>0</v>
      </c>
      <c r="AC48" s="68" t="n">
        <f aca="false">IF(R48="G3.2",1,0)</f>
        <v>0</v>
      </c>
      <c r="AD48" s="68" t="n">
        <f aca="false">IF(R48="E2.1",1,0)</f>
        <v>0</v>
      </c>
      <c r="AE48" s="68" t="n">
        <f aca="false">IF(R48="E2.2",1,0)</f>
        <v>1</v>
      </c>
      <c r="AF48" s="68" t="n">
        <f aca="false">IF(R48="E2.3",1,0)</f>
        <v>0</v>
      </c>
      <c r="AG48" s="68" t="n">
        <f aca="false">IF(R48="E2.4",1,0)</f>
        <v>0</v>
      </c>
      <c r="AH48" s="68" t="n">
        <f aca="false">IF(R48="E3.1",1,0)</f>
        <v>0</v>
      </c>
      <c r="AI48" s="68" t="n">
        <f aca="false">IF(R48="E3.2",1,0)</f>
        <v>0</v>
      </c>
      <c r="AJ48" s="68" t="n">
        <f aca="false">IF(R48="E3.3",1,0)</f>
        <v>0</v>
      </c>
    </row>
    <row r="49" customFormat="false" ht="15.75" hidden="false" customHeight="false" outlineLevel="0" collapsed="false">
      <c r="Q49" s="54" t="str">
        <f aca="false">HLOOKUP($AL$41,'Daten-Zusammensetzung Bauteil'!$B$4:$BC$14,Database!$B7,FALSE())</f>
        <v>22 cm Steinwolle (48 kg/m3, 0.034 W/mK) [kg]</v>
      </c>
      <c r="R49" s="55" t="str">
        <f aca="false">HLOOKUP($AL$41,'Daten-Funktion'!$B$4:$BC$14,Database!$B7,FALSE())</f>
        <v>E2.2</v>
      </c>
      <c r="S49" s="54" t="n">
        <f aca="false">HLOOKUP($AL$41,'Daten-THGE'!$B$4:$BC$14,Database!$B7,FALSE())</f>
        <v>0.02825</v>
      </c>
      <c r="T49" s="54" t="n">
        <f aca="false">HLOOKUP($AL$41,'Daten-Dichte'!$B$4:$BC$14,Database!$B7,FALSE())</f>
        <v>48</v>
      </c>
      <c r="U49" s="54" t="n">
        <f aca="false">HLOOKUP($AL$41,'Daten-Dicke'!$B$4:$BC$14,Database!$B7,FALSE())</f>
        <v>22</v>
      </c>
      <c r="V49" s="57"/>
      <c r="W49" s="20" t="n">
        <f aca="false">IF(V49=0,T49*U49/100*S49,S49*T49*V49/1000)</f>
        <v>0.29832</v>
      </c>
      <c r="Z49" s="68" t="n">
        <v>0</v>
      </c>
      <c r="AA49" s="68" t="n">
        <v>0</v>
      </c>
      <c r="AB49" s="68" t="n">
        <f aca="false">IF(R49="G3.1",1,0)</f>
        <v>0</v>
      </c>
      <c r="AC49" s="68" t="n">
        <f aca="false">IF(R49="G3.2",1,0)</f>
        <v>0</v>
      </c>
      <c r="AD49" s="68" t="n">
        <f aca="false">IF(R49="E2.1",1,0)</f>
        <v>0</v>
      </c>
      <c r="AE49" s="68" t="n">
        <f aca="false">IF(R49="E2.2",1,0)</f>
        <v>1</v>
      </c>
      <c r="AF49" s="68" t="n">
        <f aca="false">IF(R49="E2.3",1,0)</f>
        <v>0</v>
      </c>
      <c r="AG49" s="68" t="n">
        <f aca="false">IF(R49="E2.4",1,0)</f>
        <v>0</v>
      </c>
      <c r="AH49" s="68" t="n">
        <f aca="false">IF(R49="E3.1",1,0)</f>
        <v>0</v>
      </c>
      <c r="AI49" s="68" t="n">
        <f aca="false">IF(R49="E3.2",1,0)</f>
        <v>0</v>
      </c>
      <c r="AJ49" s="68" t="n">
        <f aca="false">IF(R49="E3.3",1,0)</f>
        <v>0</v>
      </c>
    </row>
    <row r="50" customFormat="false" ht="15.75" hidden="false" customHeight="false" outlineLevel="0" collapsed="false">
      <c r="Q50" s="54" t="str">
        <f aca="false">HLOOKUP($AL$41,'Daten-Zusammensetzung Bauteil'!$B$4:$BC$14,Database!$B8,FALSE())</f>
        <v>Winpapier (PE Spinnvlies) [kg]</v>
      </c>
      <c r="R50" s="55" t="str">
        <f aca="false">HLOOKUP($AL$41,'Daten-Funktion'!$B$4:$BC$14,Database!$B8,FALSE())</f>
        <v>E2.1</v>
      </c>
      <c r="S50" s="54" t="n">
        <f aca="false">HLOOKUP($AL$41,'Daten-THGE'!$B$4:$BC$14,Database!$B8,FALSE())</f>
        <v>0.13825</v>
      </c>
      <c r="T50" s="54" t="n">
        <f aca="false">HLOOKUP($AL$41,'Daten-Dichte'!$B$4:$BC$14,Database!$B8,FALSE())</f>
        <v>920</v>
      </c>
      <c r="U50" s="54" t="n">
        <f aca="false">HLOOKUP($AL$41,'Daten-Dicke'!$B$4:$BC$14,Database!$B8,FALSE())</f>
        <v>0.0239130434782609</v>
      </c>
      <c r="V50" s="57"/>
      <c r="W50" s="20" t="n">
        <f aca="false">IF(V50=0,T50*U50/100*S50,S50*T50*V50/1000)</f>
        <v>0.030415</v>
      </c>
      <c r="Z50" s="68" t="n">
        <v>0</v>
      </c>
      <c r="AA50" s="68" t="n">
        <v>0</v>
      </c>
      <c r="AB50" s="68" t="n">
        <f aca="false">IF(R50="G3.1",1,0)</f>
        <v>0</v>
      </c>
      <c r="AC50" s="68" t="n">
        <f aca="false">IF(R50="G3.2",1,0)</f>
        <v>0</v>
      </c>
      <c r="AD50" s="68" t="n">
        <f aca="false">IF(R50="E2.1",1,0)</f>
        <v>1</v>
      </c>
      <c r="AE50" s="68" t="n">
        <f aca="false">IF(R50="E2.2",1,0)</f>
        <v>0</v>
      </c>
      <c r="AF50" s="68" t="n">
        <f aca="false">IF(R50="E2.3",1,0)</f>
        <v>0</v>
      </c>
      <c r="AG50" s="68" t="n">
        <f aca="false">IF(R50="E2.4",1,0)</f>
        <v>0</v>
      </c>
      <c r="AH50" s="68" t="n">
        <f aca="false">IF(R50="E3.1",1,0)</f>
        <v>0</v>
      </c>
      <c r="AI50" s="68" t="n">
        <f aca="false">IF(R50="E3.2",1,0)</f>
        <v>0</v>
      </c>
      <c r="AJ50" s="68" t="n">
        <f aca="false">IF(R50="E3.3",1,0)</f>
        <v>0</v>
      </c>
    </row>
    <row r="51" customFormat="false" ht="15.75" hidden="false" customHeight="false" outlineLevel="0" collapsed="false">
      <c r="Q51" s="54" t="n">
        <f aca="false">HLOOKUP($AL$41,'Daten-Zusammensetzung Bauteil'!$B$4:$BC$14,Database!$B9,FALSE())</f>
        <v>0</v>
      </c>
      <c r="R51" s="55" t="n">
        <f aca="false">HLOOKUP($AL$41,'Daten-Funktion'!$B$4:$BC$14,Database!$B9,FALSE())</f>
        <v>0</v>
      </c>
      <c r="S51" s="54" t="n">
        <f aca="false">HLOOKUP($AL$41,'Daten-THGE'!$B$4:$BC$14,Database!$B9,FALSE())</f>
        <v>0</v>
      </c>
      <c r="T51" s="54" t="n">
        <f aca="false">HLOOKUP($AL$41,'Daten-Dichte'!$B$4:$BC$14,Database!$B9,FALSE())</f>
        <v>0</v>
      </c>
      <c r="U51" s="54" t="n">
        <f aca="false">HLOOKUP($AL$41,'Daten-Dicke'!$B$4:$BC$14,Database!$B9,FALSE())</f>
        <v>0</v>
      </c>
      <c r="V51" s="57"/>
      <c r="W51" s="20" t="n">
        <f aca="false">IF(V51=0,T51*U51/100*S51,S51*T51*V51/1000)</f>
        <v>0</v>
      </c>
      <c r="Z51" s="68" t="n">
        <v>0</v>
      </c>
      <c r="AA51" s="68" t="n">
        <v>0</v>
      </c>
      <c r="AB51" s="68" t="n">
        <f aca="false">IF(R51="G3.1",1,0)</f>
        <v>0</v>
      </c>
      <c r="AC51" s="68" t="n">
        <f aca="false">IF(R51="G3.2",1,0)</f>
        <v>0</v>
      </c>
      <c r="AD51" s="68" t="n">
        <f aca="false">IF(R51="E2.1",1,0)</f>
        <v>0</v>
      </c>
      <c r="AE51" s="68" t="n">
        <f aca="false">IF(R51="E2.2",1,0)</f>
        <v>0</v>
      </c>
      <c r="AF51" s="68" t="n">
        <f aca="false">IF(R51="E2.3",1,0)</f>
        <v>0</v>
      </c>
      <c r="AG51" s="68" t="n">
        <f aca="false">IF(R51="E2.4",1,0)</f>
        <v>0</v>
      </c>
      <c r="AH51" s="68" t="n">
        <f aca="false">IF(R51="E3.1",1,0)</f>
        <v>0</v>
      </c>
      <c r="AI51" s="68" t="n">
        <f aca="false">IF(R51="E3.2",1,0)</f>
        <v>0</v>
      </c>
      <c r="AJ51" s="68" t="n">
        <f aca="false">IF(R51="E3.3",1,0)</f>
        <v>0</v>
      </c>
    </row>
    <row r="52" customFormat="false" ht="15.75" hidden="false" customHeight="false" outlineLevel="0" collapsed="false">
      <c r="Q52" s="54" t="n">
        <f aca="false">HLOOKUP($AL$41,'Daten-Zusammensetzung Bauteil'!$B$4:$BC$14,Database!$B10,FALSE())</f>
        <v>0</v>
      </c>
      <c r="R52" s="55" t="n">
        <f aca="false">HLOOKUP($AL$41,'Daten-Funktion'!$B$4:$BC$14,Database!$B10,FALSE())</f>
        <v>0</v>
      </c>
      <c r="S52" s="54" t="n">
        <f aca="false">HLOOKUP($AL$41,'Daten-THGE'!$B$4:$BC$14,Database!$B10,FALSE())</f>
        <v>0</v>
      </c>
      <c r="T52" s="54" t="n">
        <f aca="false">HLOOKUP($AL$41,'Daten-Dichte'!$B$4:$BC$14,Database!$B10,FALSE())</f>
        <v>0</v>
      </c>
      <c r="U52" s="54" t="n">
        <f aca="false">HLOOKUP($AL$41,'Daten-Dicke'!$B$4:$BC$14,Database!$B10,FALSE())</f>
        <v>0</v>
      </c>
      <c r="V52" s="57"/>
      <c r="W52" s="20" t="n">
        <f aca="false">IF(V52=0,T52*U52/100*S52,S52*T52*V52/1000)</f>
        <v>0</v>
      </c>
      <c r="Z52" s="68" t="n">
        <v>0</v>
      </c>
      <c r="AA52" s="68" t="n">
        <v>0</v>
      </c>
      <c r="AB52" s="68" t="n">
        <f aca="false">IF(R52="G3.1",1,0)</f>
        <v>0</v>
      </c>
      <c r="AC52" s="68" t="n">
        <f aca="false">IF(R52="G3.2",1,0)</f>
        <v>0</v>
      </c>
      <c r="AD52" s="68" t="n">
        <f aca="false">IF(R52="E2.1",1,0)</f>
        <v>0</v>
      </c>
      <c r="AE52" s="68" t="n">
        <f aca="false">IF(R52="E2.2",1,0)</f>
        <v>0</v>
      </c>
      <c r="AF52" s="68" t="n">
        <f aca="false">IF(R52="E2.3",1,0)</f>
        <v>0</v>
      </c>
      <c r="AG52" s="68" t="n">
        <f aca="false">IF(R52="E2.4",1,0)</f>
        <v>0</v>
      </c>
      <c r="AH52" s="68" t="n">
        <f aca="false">IF(R52="E3.1",1,0)</f>
        <v>0</v>
      </c>
      <c r="AI52" s="68" t="n">
        <f aca="false">IF(R52="E3.2",1,0)</f>
        <v>0</v>
      </c>
      <c r="AJ52" s="68" t="n">
        <f aca="false">IF(R52="E3.3",1,0)</f>
        <v>0</v>
      </c>
    </row>
    <row r="53" customFormat="false" ht="15.75" hidden="false" customHeight="false" outlineLevel="0" collapsed="false">
      <c r="Q53" s="54" t="n">
        <f aca="false">HLOOKUP($AL$41,'Daten-Zusammensetzung Bauteil'!$B$4:$BC$14,Database!$B11,FALSE())</f>
        <v>0</v>
      </c>
      <c r="R53" s="55" t="n">
        <f aca="false">HLOOKUP($AL$41,'Daten-Funktion'!$B$4:$BC$14,Database!$B11,FALSE())</f>
        <v>0</v>
      </c>
      <c r="S53" s="54" t="n">
        <f aca="false">HLOOKUP($AL$41,'Daten-THGE'!$B$4:$BC$14,Database!$B11,FALSE())</f>
        <v>0</v>
      </c>
      <c r="T53" s="54" t="n">
        <f aca="false">HLOOKUP($AL$41,'Daten-Dichte'!$B$4:$BC$14,Database!$B11,FALSE())</f>
        <v>0</v>
      </c>
      <c r="U53" s="54" t="n">
        <f aca="false">HLOOKUP($AL$41,'Daten-Dicke'!$B$4:$BC$14,Database!$B11,FALSE())</f>
        <v>0</v>
      </c>
      <c r="V53" s="57"/>
      <c r="W53" s="20" t="n">
        <f aca="false">IF(V53=0,T53*U53/100*S53,S53*T53*V53/1000)</f>
        <v>0</v>
      </c>
      <c r="Z53" s="68" t="n">
        <v>0</v>
      </c>
      <c r="AA53" s="68" t="n">
        <v>0</v>
      </c>
      <c r="AB53" s="68" t="n">
        <f aca="false">IF(R53="G3.1",1,0)</f>
        <v>0</v>
      </c>
      <c r="AC53" s="68" t="n">
        <f aca="false">IF(R53="G3.2",1,0)</f>
        <v>0</v>
      </c>
      <c r="AD53" s="68" t="n">
        <f aca="false">IF(R53="E2.1",1,0)</f>
        <v>0</v>
      </c>
      <c r="AE53" s="68" t="n">
        <f aca="false">IF(R53="E2.2",1,0)</f>
        <v>0</v>
      </c>
      <c r="AF53" s="68" t="n">
        <f aca="false">IF(R53="E2.3",1,0)</f>
        <v>0</v>
      </c>
      <c r="AG53" s="68" t="n">
        <f aca="false">IF(R53="E2.4",1,0)</f>
        <v>0</v>
      </c>
      <c r="AH53" s="68" t="n">
        <f aca="false">IF(R53="E3.1",1,0)</f>
        <v>0</v>
      </c>
      <c r="AI53" s="68" t="n">
        <f aca="false">IF(R53="E3.2",1,0)</f>
        <v>0</v>
      </c>
      <c r="AJ53" s="68" t="n">
        <f aca="false">IF(R53="E3.3",1,0)</f>
        <v>0</v>
      </c>
    </row>
    <row r="54" customFormat="false" ht="15" hidden="false" customHeight="false" outlineLevel="0" collapsed="false">
      <c r="Z54" s="68" t="n">
        <f aca="false">SUMPRODUCT(W39:W53*Z39:Z53)/SUM(W39:W53)</f>
        <v>0.296565235100957</v>
      </c>
      <c r="AA54" s="68" t="n">
        <f aca="false">SUMPRODUCT(W39:W53*AA39:AA53)/SUM(W39:W53)</f>
        <v>0</v>
      </c>
      <c r="AB54" s="68" t="n">
        <f aca="false">SUMPRODUCT(W39:W53*AB39:AB53)/SUM(W39:W53)</f>
        <v>0.0483727179937725</v>
      </c>
      <c r="AC54" s="68" t="n">
        <f aca="false">SUMPRODUCT(W39:W53*AC39:AC53)/SUM(W39:W53)</f>
        <v>0.0203946603417289</v>
      </c>
      <c r="AD54" s="68" t="n">
        <f aca="false">SUMPRODUCT(W39:W53*AD39:AD53)/SUM(W39:W53)</f>
        <v>0.00992750484332383</v>
      </c>
      <c r="AE54" s="68" t="n">
        <f aca="false">SUMPRODUCT(W39:W53*AE39:AE53)/SUM(W39:W53)</f>
        <v>0.106772493320667</v>
      </c>
      <c r="AF54" s="68" t="n">
        <f aca="false">SUMPRODUCT(W39:W53*AF39:AF53)/SUM(W39:W53)</f>
        <v>0.36148977852971</v>
      </c>
      <c r="AG54" s="68" t="n">
        <f aca="false">SUMPRODUCT(W39:W53*AG39:AG53)/SUM(W39:W53)</f>
        <v>0.15647760986984</v>
      </c>
      <c r="AH54" s="68" t="n">
        <f aca="false">SUMPRODUCT(W39:W53*AH39:AH53)/SUM(W39:W53)</f>
        <v>0</v>
      </c>
      <c r="AI54" s="68" t="n">
        <f aca="false">SUMPRODUCT(W39:W53*AI39:AI53)/SUM(W39:W53)</f>
        <v>0</v>
      </c>
      <c r="AJ54" s="68" t="n">
        <f aca="false">SUMPRODUCT(W39:W53*AJ39:AJ53)/SUM(W39:W53)</f>
        <v>0</v>
      </c>
      <c r="AL54" s="68" t="n">
        <f aca="false">SUM(Z54:AJ54)</f>
        <v>1</v>
      </c>
    </row>
    <row r="55" customFormat="false" ht="15" hidden="false" customHeight="false" outlineLevel="0" collapsed="false">
      <c r="O55" s="71" t="s">
        <v>265</v>
      </c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</row>
    <row r="56" customFormat="false" ht="20.25" hidden="false" customHeight="false" outlineLevel="0" collapsed="false">
      <c r="O56" s="65" t="s">
        <v>266</v>
      </c>
      <c r="P56" s="6"/>
      <c r="Q56" s="37" t="s">
        <v>257</v>
      </c>
      <c r="R56" s="52"/>
      <c r="S56" s="37" t="s">
        <v>259</v>
      </c>
      <c r="T56" s="37" t="s">
        <v>260</v>
      </c>
      <c r="U56" s="37" t="s">
        <v>261</v>
      </c>
      <c r="V56" s="53" t="s">
        <v>262</v>
      </c>
      <c r="W56" s="37" t="s">
        <v>263</v>
      </c>
      <c r="X56" s="8" t="s">
        <v>102</v>
      </c>
      <c r="Y56" s="7"/>
    </row>
    <row r="57" customFormat="false" ht="15.75" hidden="false" customHeight="false" outlineLevel="0" collapsed="false">
      <c r="O57" s="66" t="s">
        <v>80</v>
      </c>
      <c r="P57" s="37" t="s">
        <v>280</v>
      </c>
      <c r="Q57" s="54" t="str">
        <f aca="false">HLOOKUP($AL$57,'Daten-Zusammensetzung Bauteil'!$B$4:$BC$14,Database!$B4,FALSE())</f>
        <v>Backstein [kg]</v>
      </c>
      <c r="R57" s="55" t="str">
        <f aca="false">MID(HLOOKUP($AL$57,'Daten-Funktion'!$B$4:$BC$14,Database!$B4,FALSE()),1,2)</f>
        <v>C2</v>
      </c>
      <c r="S57" s="54" t="n">
        <f aca="false">HLOOKUP($AL$57,'Daten-THGE'!$B$4:$BC$14,Database!$B4,FALSE())</f>
        <v>0.0043</v>
      </c>
      <c r="T57" s="54" t="n">
        <f aca="false">HLOOKUP($AL$57,'Daten-Dichte'!$B$4:$BC$14,Database!$B4,FALSE())</f>
        <v>900</v>
      </c>
      <c r="U57" s="54" t="n">
        <f aca="false">HLOOKUP($AL$57,'Daten-Dicke'!$B$4:$BC$14,Database!$B4,FALSE())</f>
        <v>17.5</v>
      </c>
      <c r="V57" s="9"/>
      <c r="W57" s="20" t="n">
        <f aca="false">IF(V57=0,T57*U57/100*S57,S57*T57*V57/1000)</f>
        <v>0.67725</v>
      </c>
      <c r="X57" s="56" t="n">
        <f aca="false">SUM(W57:W71)*Gebäude!$C$40</f>
        <v>1151.95511666667</v>
      </c>
      <c r="Y57" s="37" t="s">
        <v>31</v>
      </c>
      <c r="AK57" s="0" t="str">
        <f aca="false">VLOOKUP($B$34,Database!$Y$29:$AD$31,3,FALSE())</f>
        <v>7c</v>
      </c>
      <c r="AL57" s="0" t="str">
        <f aca="false">IF($O$58=Database!$Y$29,HLOOKUP($O$59,Database!$T$51:$U$52,2,FALSE()),IF($O$58=Database!$S$67,VLOOKUP($O$60,Database!$S$72:$T$76,2,FALSE()),VLOOKUP($O$60,Database!$S$87:$T$94,2,FALSE())))</f>
        <v>1b</v>
      </c>
    </row>
    <row r="58" customFormat="false" ht="15.75" hidden="false" customHeight="false" outlineLevel="0" collapsed="false">
      <c r="O58" s="72" t="s">
        <v>113</v>
      </c>
      <c r="P58" s="37"/>
      <c r="Q58" s="54" t="str">
        <f aca="false">HLOOKUP($AL$57,'Daten-Zusammensetzung Bauteil'!$B$4:$BC$14,Database!$B5,FALSE())</f>
        <v>Mörtel [kg]</v>
      </c>
      <c r="R58" s="55" t="str">
        <f aca="false">MID(HLOOKUP($AL$57,'Daten-Funktion'!$B$4:$BC$14,Database!$B5,FALSE()),1,2)</f>
        <v>C2</v>
      </c>
      <c r="S58" s="54" t="n">
        <f aca="false">HLOOKUP($AL$57,'Daten-THGE'!$B$4:$BC$14,Database!$B5,FALSE())</f>
        <v>0.00448333333333333</v>
      </c>
      <c r="T58" s="54" t="n">
        <f aca="false">HLOOKUP($AL$57,'Daten-Dichte'!$B$4:$BC$14,Database!$B5,FALSE())</f>
        <v>1550</v>
      </c>
      <c r="U58" s="54" t="n">
        <f aca="false">HLOOKUP($AL$57,'Daten-Dicke'!$B$4:$BC$14,Database!$B5,FALSE())</f>
        <v>3.32903225806452</v>
      </c>
      <c r="V58" s="9"/>
      <c r="W58" s="20" t="n">
        <f aca="false">IF(V58=0,T58*U58/100*S58,S58*T58*V58/1000)</f>
        <v>0.23134</v>
      </c>
      <c r="X58" s="54"/>
      <c r="Y58" s="7"/>
      <c r="AL58" s="0" t="str">
        <f aca="false">IF($O$58=Database!$Y$29,VLOOKUP($O$61,Database!$S$51:$T$60,2,FALSE()),IF($O$58=Database!$S$67,VLOOKUP($O$61,Database!$S$72:$T$76,2,FALSE()),VLOOKUP($O$61,Database!$S$87:$T$94,2,FALSE())))</f>
        <v>2g</v>
      </c>
    </row>
    <row r="59" customFormat="false" ht="15.75" hidden="false" customHeight="false" outlineLevel="0" collapsed="false">
      <c r="O59" s="72" t="s">
        <v>90</v>
      </c>
      <c r="P59" s="37"/>
      <c r="Q59" s="54" t="str">
        <f aca="false">HLOOKUP($AL$57,'Daten-Zusammensetzung Bauteil'!$B$4:$BC$14,Database!$B6,FALSE())</f>
        <v>Kalk-Zementgrundputz [kg]</v>
      </c>
      <c r="R59" s="55" t="str">
        <f aca="false">MID(HLOOKUP($AL$57,'Daten-Funktion'!$B$4:$BC$14,Database!$B6,FALSE()),1,2)</f>
        <v>G3</v>
      </c>
      <c r="S59" s="54" t="n">
        <f aca="false">HLOOKUP($AL$57,'Daten-THGE'!$B$4:$BC$14,Database!$B6,FALSE())</f>
        <v>0.00823333333333333</v>
      </c>
      <c r="T59" s="54" t="n">
        <f aca="false">HLOOKUP($AL$57,'Daten-Dichte'!$B$4:$BC$14,Database!$B6,FALSE())</f>
        <v>1550</v>
      </c>
      <c r="U59" s="54" t="n">
        <f aca="false">HLOOKUP($AL$57,'Daten-Dicke'!$B$4:$BC$14,Database!$B6,FALSE())</f>
        <v>1.16129032258065</v>
      </c>
      <c r="V59" s="57"/>
      <c r="W59" s="20" t="n">
        <f aca="false">IF(V59=0,T59*U59/100*S59,S59*T59*V59/1000)</f>
        <v>0.1482</v>
      </c>
      <c r="X59" s="7"/>
      <c r="Y59" s="7"/>
    </row>
    <row r="60" customFormat="false" ht="15.75" hidden="false" customHeight="false" outlineLevel="0" collapsed="false">
      <c r="O60" s="72" t="s">
        <v>122</v>
      </c>
      <c r="P60" s="7"/>
      <c r="Q60" s="54" t="str">
        <f aca="false">HLOOKUP($AL$57,'Daten-Zusammensetzung Bauteil'!$B$4:$BC$14,Database!$B7,FALSE())</f>
        <v>Deckputz (Weissputz) [kg]</v>
      </c>
      <c r="R60" s="55" t="str">
        <f aca="false">MID(HLOOKUP($AL$57,'Daten-Funktion'!$B$4:$BC$14,Database!$B7,FALSE()),1,2)</f>
        <v>G3</v>
      </c>
      <c r="S60" s="54" t="n">
        <f aca="false">HLOOKUP($AL$57,'Daten-THGE'!$B$4:$BC$14,Database!$B7,FALSE())</f>
        <v>0.0049</v>
      </c>
      <c r="T60" s="54" t="n">
        <f aca="false">HLOOKUP($AL$57,'Daten-Dichte'!$B$4:$BC$14,Database!$B7,FALSE())</f>
        <v>1100</v>
      </c>
      <c r="U60" s="54" t="n">
        <f aca="false">HLOOKUP($AL$57,'Daten-Dicke'!$B$4:$BC$14,Database!$B7,FALSE())</f>
        <v>0.318181818181818</v>
      </c>
      <c r="V60" s="57"/>
      <c r="W60" s="20" t="n">
        <f aca="false">IF(V60=0,T60*U60/100*S60,S60*T60*V60/1000)</f>
        <v>0.01715</v>
      </c>
      <c r="X60" s="7"/>
      <c r="Y60" s="7"/>
    </row>
    <row r="61" customFormat="false" ht="15.75" hidden="false" customHeight="false" outlineLevel="0" collapsed="false">
      <c r="O61" s="72" t="s">
        <v>124</v>
      </c>
      <c r="P61" s="7"/>
      <c r="Q61" s="54" t="str">
        <f aca="false">HLOOKUP($AL$57,'Daten-Zusammensetzung Bauteil'!$B$4:$BC$14,Database!$B8,FALSE())</f>
        <v>Wanddispersion [m2]</v>
      </c>
      <c r="R61" s="55" t="str">
        <f aca="false">MID(HLOOKUP($AL$57,'Daten-Funktion'!$B$4:$BC$14,Database!$B8,FALSE()),1,2)</f>
        <v>G3</v>
      </c>
      <c r="S61" s="54" t="n">
        <f aca="false">HLOOKUP($AL$57,'Daten-THGE'!$B$4:$BC$14,Database!$B8,FALSE())</f>
        <v>0.151111111111111</v>
      </c>
      <c r="T61" s="54" t="n">
        <f aca="false">HLOOKUP($AL$57,'Daten-Dichte'!$B$4:$BC$14,Database!$B8,FALSE())</f>
        <v>150</v>
      </c>
      <c r="U61" s="54" t="n">
        <f aca="false">HLOOKUP($AL$57,'Daten-Dicke'!$B$4:$BC$14,Database!$B8,FALSE())</f>
        <v>0.2</v>
      </c>
      <c r="V61" s="57"/>
      <c r="W61" s="20" t="n">
        <f aca="false">IF(V61=0,T61*U61/100*S61,S61*T61*V61/1000)</f>
        <v>0.0453333333333333</v>
      </c>
      <c r="X61" s="7"/>
      <c r="Y61" s="7"/>
    </row>
    <row r="62" customFormat="false" ht="15.75" hidden="false" customHeight="false" outlineLevel="0" collapsed="false">
      <c r="O62" s="62"/>
      <c r="P62" s="7"/>
      <c r="Q62" s="54" t="n">
        <f aca="false">HLOOKUP($AL$57,'Daten-Zusammensetzung Bauteil'!$B$4:$BC$14,Database!$B9,FALSE())</f>
        <v>0</v>
      </c>
      <c r="R62" s="55" t="str">
        <f aca="false">MID(HLOOKUP($AL$57,'Daten-Funktion'!$B$4:$BC$14,Database!$B9,FALSE()),1,2)</f>
        <v/>
      </c>
      <c r="S62" s="54" t="n">
        <f aca="false">HLOOKUP($AL$57,'Daten-THGE'!$B$4:$BC$14,Database!$B9,FALSE())</f>
        <v>0</v>
      </c>
      <c r="T62" s="54" t="n">
        <f aca="false">HLOOKUP($AL$57,'Daten-Dichte'!$B$4:$BC$14,Database!$B9,FALSE())</f>
        <v>0</v>
      </c>
      <c r="U62" s="54" t="n">
        <f aca="false">HLOOKUP($AL$57,'Daten-Dicke'!$B$4:$BC$14,Database!$B9,FALSE())</f>
        <v>0</v>
      </c>
      <c r="V62" s="57"/>
      <c r="W62" s="20" t="n">
        <f aca="false">IF(V62=0,T62*U62/100*S62,S62*T62*V62/1000)</f>
        <v>0</v>
      </c>
      <c r="X62" s="7"/>
      <c r="Y62" s="7"/>
    </row>
    <row r="63" customFormat="false" ht="15.75" hidden="false" customHeight="false" outlineLevel="0" collapsed="false">
      <c r="O63" s="62"/>
      <c r="P63" s="7"/>
      <c r="Q63" s="54"/>
      <c r="R63" s="55"/>
      <c r="S63" s="54"/>
      <c r="T63" s="54"/>
      <c r="U63" s="54"/>
      <c r="W63" s="20"/>
      <c r="X63" s="7"/>
      <c r="Y63" s="7"/>
    </row>
    <row r="64" customFormat="false" ht="15.75" hidden="false" customHeight="false" outlineLevel="0" collapsed="false">
      <c r="O64" s="62"/>
      <c r="P64" s="37" t="s">
        <v>281</v>
      </c>
      <c r="Q64" s="54" t="str">
        <f aca="false">HLOOKUP($AL$58,'Daten-Zusammensetzung Bauteil'!$B$4:$BC$14,Database!$B4,FALSE())</f>
        <v>Fassadenplatte, Aluverbund, 4 mm</v>
      </c>
      <c r="R64" s="55" t="str">
        <f aca="false">HLOOKUP($AL$58,'Daten-Funktion'!$B$4:$BC$14,Database!$B4,FALSE())</f>
        <v>E2.3</v>
      </c>
      <c r="S64" s="54" t="n">
        <f aca="false">HLOOKUP($AL$58,'Daten-THGE'!$B$4:$BC$14,Database!$B4,FALSE())</f>
        <v>0.155985915492958</v>
      </c>
      <c r="T64" s="54" t="n">
        <f aca="false">HLOOKUP($AL$58,'Daten-Dichte'!$B$4:$BC$14,Database!$B4,FALSE())</f>
        <v>1775</v>
      </c>
      <c r="U64" s="54" t="n">
        <f aca="false">HLOOKUP($AL$58,'Daten-Dicke'!$B$4:$BC$14,Database!$B4,FALSE())</f>
        <v>0.4</v>
      </c>
      <c r="V64" s="57"/>
      <c r="W64" s="20" t="n">
        <f aca="false">IF(V64=0,T64*U64/100*S64,S64*T64*V64/1000)</f>
        <v>1.1075</v>
      </c>
      <c r="X64" s="7"/>
      <c r="Y64" s="7"/>
    </row>
    <row r="65" customFormat="false" ht="15.75" hidden="false" customHeight="false" outlineLevel="0" collapsed="false">
      <c r="O65" s="62"/>
      <c r="P65" s="7"/>
      <c r="Q65" s="54" t="str">
        <f aca="false">HLOOKUP($AL$58,'Daten-Zusammensetzung Bauteil'!$B$4:$BC$14,Database!$B5,FALSE())</f>
        <v>Aluminiumunterkonstruktion [kg]</v>
      </c>
      <c r="R65" s="55" t="str">
        <f aca="false">HLOOKUP($AL$58,'Daten-Funktion'!$B$4:$BC$14,Database!$B5,FALSE())</f>
        <v>E2.4</v>
      </c>
      <c r="S65" s="54" t="n">
        <f aca="false">HLOOKUP($AL$58,'Daten-THGE'!$B$4:$BC$14,Database!$B5,FALSE())</f>
        <v>0.14275</v>
      </c>
      <c r="T65" s="54" t="n">
        <f aca="false">HLOOKUP($AL$58,'Daten-Dichte'!$B$4:$BC$14,Database!$B5,FALSE())</f>
        <v>2690</v>
      </c>
      <c r="U65" s="54" t="n">
        <f aca="false">HLOOKUP($AL$58,'Daten-Dicke'!$B$4:$BC$14,Database!$B5,FALSE())</f>
        <v>0.124845105328377</v>
      </c>
      <c r="V65" s="57"/>
      <c r="W65" s="20" t="n">
        <f aca="false">IF(V65=0,T65*U65/100*S65,S65*T65*V65/1000)</f>
        <v>0.479402083333333</v>
      </c>
      <c r="X65" s="7"/>
      <c r="Y65" s="7"/>
    </row>
    <row r="66" customFormat="false" ht="15.75" hidden="false" customHeight="false" outlineLevel="0" collapsed="false">
      <c r="Q66" s="54" t="str">
        <f aca="false">HLOOKUP($AL$58,'Daten-Zusammensetzung Bauteil'!$B$4:$BC$14,Database!$B6,FALSE())</f>
        <v>Dämmstoffdübel [kg]</v>
      </c>
      <c r="R66" s="55" t="str">
        <f aca="false">HLOOKUP($AL$58,'Daten-Funktion'!$B$4:$BC$14,Database!$B6,FALSE())</f>
        <v>E2.2</v>
      </c>
      <c r="S66" s="54" t="n">
        <f aca="false">HLOOKUP($AL$58,'Daten-THGE'!$B$4:$BC$14,Database!$B6,FALSE())</f>
        <v>0.24</v>
      </c>
      <c r="T66" s="54" t="n">
        <f aca="false">HLOOKUP($AL$58,'Daten-Dichte'!$B$4:$BC$14,Database!$B6,FALSE())</f>
        <v>1450</v>
      </c>
      <c r="U66" s="54" t="n">
        <f aca="false">HLOOKUP($AL$58,'Daten-Dicke'!$B$4:$BC$14,Database!$B6,FALSE())</f>
        <v>0.00827586206896552</v>
      </c>
      <c r="V66" s="57"/>
      <c r="W66" s="20" t="n">
        <f aca="false">IF(V66=0,T66*U66/100*S66,S66*T66*V66/1000)</f>
        <v>0.0288</v>
      </c>
    </row>
    <row r="67" customFormat="false" ht="15.75" hidden="false" customHeight="false" outlineLevel="0" collapsed="false">
      <c r="Q67" s="54" t="str">
        <f aca="false">HLOOKUP($AL$58,'Daten-Zusammensetzung Bauteil'!$B$4:$BC$14,Database!$B7,FALSE())</f>
        <v>22 cm Steinwolle (48 kg/m3, 0.034 W/mK) [kg]</v>
      </c>
      <c r="R67" s="55" t="str">
        <f aca="false">HLOOKUP($AL$58,'Daten-Funktion'!$B$4:$BC$14,Database!$B7,FALSE())</f>
        <v>E2.2</v>
      </c>
      <c r="S67" s="54" t="n">
        <f aca="false">HLOOKUP($AL$58,'Daten-THGE'!$B$4:$BC$14,Database!$B7,FALSE())</f>
        <v>0.02825</v>
      </c>
      <c r="T67" s="54" t="n">
        <f aca="false">HLOOKUP($AL$58,'Daten-Dichte'!$B$4:$BC$14,Database!$B7,FALSE())</f>
        <v>48</v>
      </c>
      <c r="U67" s="54" t="n">
        <f aca="false">HLOOKUP($AL$58,'Daten-Dicke'!$B$4:$BC$14,Database!$B7,FALSE())</f>
        <v>22</v>
      </c>
      <c r="V67" s="57"/>
      <c r="W67" s="20" t="n">
        <f aca="false">IF(V67=0,T67*U67/100*S67,S67*T67*V67/1000)</f>
        <v>0.29832</v>
      </c>
    </row>
    <row r="68" customFormat="false" ht="15.75" hidden="false" customHeight="false" outlineLevel="0" collapsed="false">
      <c r="Q68" s="54" t="str">
        <f aca="false">HLOOKUP($AL$58,'Daten-Zusammensetzung Bauteil'!$B$4:$BC$14,Database!$B8,FALSE())</f>
        <v>Winpapier (PE Spinnvlies) [kg]</v>
      </c>
      <c r="R68" s="55" t="str">
        <f aca="false">HLOOKUP($AL$58,'Daten-Funktion'!$B$4:$BC$14,Database!$B8,FALSE())</f>
        <v>E2.1</v>
      </c>
      <c r="S68" s="54" t="n">
        <f aca="false">HLOOKUP($AL$58,'Daten-THGE'!$B$4:$BC$14,Database!$B8,FALSE())</f>
        <v>0.13825</v>
      </c>
      <c r="T68" s="54" t="n">
        <f aca="false">HLOOKUP($AL$58,'Daten-Dichte'!$B$4:$BC$14,Database!$B8,FALSE())</f>
        <v>920</v>
      </c>
      <c r="U68" s="54" t="n">
        <f aca="false">HLOOKUP($AL$58,'Daten-Dicke'!$B$4:$BC$14,Database!$B8,FALSE())</f>
        <v>0.0239130434782609</v>
      </c>
      <c r="V68" s="57"/>
      <c r="W68" s="20" t="n">
        <f aca="false">IF(V68=0,T68*U68/100*S68,S68*T68*V68/1000)</f>
        <v>0.030415</v>
      </c>
    </row>
    <row r="69" customFormat="false" ht="15.75" hidden="false" customHeight="false" outlineLevel="0" collapsed="false">
      <c r="Q69" s="54" t="n">
        <f aca="false">HLOOKUP($AL$58,'Daten-Zusammensetzung Bauteil'!$B$4:$BC$14,Database!$B9,FALSE())</f>
        <v>0</v>
      </c>
      <c r="R69" s="55" t="n">
        <f aca="false">HLOOKUP($AL$58,'Daten-Funktion'!$B$4:$BC$14,Database!$B9,FALSE())</f>
        <v>0</v>
      </c>
      <c r="S69" s="54" t="n">
        <f aca="false">HLOOKUP($AL$58,'Daten-THGE'!$B$4:$BC$14,Database!$B9,FALSE())</f>
        <v>0</v>
      </c>
      <c r="T69" s="54" t="n">
        <f aca="false">HLOOKUP($AL$58,'Daten-Dichte'!$B$4:$BC$14,Database!$B9,FALSE())</f>
        <v>0</v>
      </c>
      <c r="U69" s="54" t="n">
        <f aca="false">HLOOKUP($AL$58,'Daten-Dicke'!$B$4:$BC$14,Database!$B9,FALSE())</f>
        <v>0</v>
      </c>
      <c r="V69" s="57"/>
      <c r="W69" s="20" t="n">
        <f aca="false">IF(V69=0,T69*U69/100*S69,S69*T69*V69/1000)</f>
        <v>0</v>
      </c>
    </row>
    <row r="70" customFormat="false" ht="15.75" hidden="false" customHeight="false" outlineLevel="0" collapsed="false">
      <c r="Q70" s="54" t="n">
        <f aca="false">HLOOKUP($AL$58,'Daten-Zusammensetzung Bauteil'!$B$4:$BC$14,Database!$B10,FALSE())</f>
        <v>0</v>
      </c>
      <c r="R70" s="55" t="n">
        <f aca="false">HLOOKUP($AL$58,'Daten-Funktion'!$B$4:$BC$14,Database!$B10,FALSE())</f>
        <v>0</v>
      </c>
      <c r="S70" s="54" t="n">
        <f aca="false">HLOOKUP($AL$58,'Daten-THGE'!$B$4:$BC$14,Database!$B10,FALSE())</f>
        <v>0</v>
      </c>
      <c r="T70" s="54" t="n">
        <f aca="false">HLOOKUP($AL$58,'Daten-Dichte'!$B$4:$BC$14,Database!$B10,FALSE())</f>
        <v>0</v>
      </c>
      <c r="U70" s="54" t="n">
        <f aca="false">HLOOKUP($AL$58,'Daten-Dicke'!$B$4:$BC$14,Database!$B10,FALSE())</f>
        <v>0</v>
      </c>
      <c r="V70" s="57"/>
      <c r="W70" s="20" t="n">
        <f aca="false">IF(V70=0,T70*U70/100*S70,S70*T70*V70/1000)</f>
        <v>0</v>
      </c>
    </row>
    <row r="71" customFormat="false" ht="15.75" hidden="false" customHeight="false" outlineLevel="0" collapsed="false">
      <c r="Q71" s="54" t="n">
        <f aca="false">HLOOKUP($AL$58,'Daten-Zusammensetzung Bauteil'!$B$4:$BC$14,Database!$B11,FALSE())</f>
        <v>0</v>
      </c>
      <c r="R71" s="55" t="n">
        <f aca="false">HLOOKUP($AL$58,'Daten-Funktion'!$B$4:$BC$14,Database!$B11,FALSE())</f>
        <v>0</v>
      </c>
      <c r="S71" s="54" t="n">
        <f aca="false">HLOOKUP($AL$58,'Daten-THGE'!$B$4:$BC$14,Database!$B11,FALSE())</f>
        <v>0</v>
      </c>
      <c r="T71" s="54" t="n">
        <f aca="false">HLOOKUP($AL$58,'Daten-Dichte'!$B$4:$BC$14,Database!$B11,FALSE())</f>
        <v>0</v>
      </c>
      <c r="U71" s="54" t="n">
        <f aca="false">HLOOKUP($AL$58,'Daten-Dicke'!$B$4:$BC$14,Database!$B11,FALSE())</f>
        <v>0</v>
      </c>
      <c r="V71" s="57"/>
      <c r="W71" s="20" t="n">
        <f aca="false">IF(V71=0,T71*U71/100*S71,S71*T71*V71/1000)</f>
        <v>0</v>
      </c>
    </row>
    <row r="73" customFormat="false" ht="15" hidden="false" customHeight="false" outlineLevel="0" collapsed="false"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</row>
  </sheetData>
  <dataValidations count="6">
    <dataValidation allowBlank="true" errorStyle="stop" operator="between" showDropDown="false" showErrorMessage="true" showInputMessage="true" sqref="B15 O23 B34 O58" type="list">
      <formula1>Database!$H$4:$H$6</formula1>
      <formula2>0</formula2>
    </dataValidation>
    <dataValidation allowBlank="true" errorStyle="stop" operator="between" showDropDown="false" showErrorMessage="true" showInputMessage="true" sqref="B16" type="list">
      <formula1>Database!$D$4:$D$5</formula1>
      <formula2>0</formula2>
    </dataValidation>
    <dataValidation allowBlank="true" errorStyle="stop" operator="between" showDropDown="false" showErrorMessage="true" showInputMessage="true" sqref="O61" type="list">
      <formula1>IF($O$58=Database!$S$28,Database!$S$53:$S$60,IF($O$58=Database!$S$67,Database!$S$73:$S$76,Database!$S$90:$S$94))</formula1>
      <formula2>0</formula2>
    </dataValidation>
    <dataValidation allowBlank="true" errorStyle="stop" operator="between" showDropDown="false" showErrorMessage="true" showInputMessage="true" sqref="O24 O59" type="list">
      <formula1>Database!$D$16:$D$17</formula1>
      <formula2>0</formula2>
    </dataValidation>
    <dataValidation allowBlank="true" errorStyle="stop" operator="between" showDropDown="false" showErrorMessage="true" showInputMessage="true" sqref="B17 B35" type="list">
      <formula1>Database!$D$14:$D$15</formula1>
      <formula2>0</formula2>
    </dataValidation>
    <dataValidation allowBlank="true" errorStyle="stop" operator="between" showDropDown="false" showErrorMessage="true" showInputMessage="true" sqref="O60" type="list">
      <formula1>IF($C$27=Database!$S$81,Database!$S$87:$S$89,Database!$S$87)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2:AK91"/>
  <sheetViews>
    <sheetView showFormulas="false" showGridLines="true" showRowColHeaders="true" showZeros="true" rightToLeft="false" tabSelected="false" showOutlineSymbols="true" defaultGridColor="true" view="normal" topLeftCell="A28" colorId="64" zoomScale="70" zoomScaleNormal="70" zoomScalePageLayoutView="100" workbookViewId="0">
      <selection pane="topLeft" activeCell="O36" activeCellId="0" sqref="O36"/>
    </sheetView>
  </sheetViews>
  <sheetFormatPr defaultColWidth="9.1914062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18.42"/>
    <col collapsed="false" customWidth="true" hidden="false" outlineLevel="0" max="4" min="4" style="0" width="45.14"/>
    <col collapsed="false" customWidth="true" hidden="false" outlineLevel="0" max="5" min="5" style="51" width="9.42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8" min="8" style="0" width="10.42"/>
    <col collapsed="false" customWidth="true" hidden="false" outlineLevel="0" max="9" min="9" style="0" width="19.85"/>
    <col collapsed="false" customWidth="true" hidden="false" outlineLevel="0" max="10" min="10" style="0" width="17.4"/>
    <col collapsed="false" customWidth="true" hidden="false" outlineLevel="0" max="11" min="11" style="0" width="18.85"/>
    <col collapsed="false" customWidth="true" hidden="false" outlineLevel="0" max="12" min="12" style="0" width="11.86"/>
    <col collapsed="false" customWidth="true" hidden="false" outlineLevel="0" max="13" min="13" style="51" width="28.3"/>
    <col collapsed="false" customWidth="true" hidden="false" outlineLevel="0" max="14" min="14" style="51" width="27.85"/>
    <col collapsed="false" customWidth="true" hidden="false" outlineLevel="0" max="15" min="15" style="51" width="27.12"/>
    <col collapsed="false" customWidth="true" hidden="false" outlineLevel="0" max="16" min="16" style="51" width="30.14"/>
    <col collapsed="false" customWidth="true" hidden="false" outlineLevel="0" max="17" min="17" style="51" width="18.85"/>
    <col collapsed="false" customWidth="true" hidden="false" outlineLevel="0" max="18" min="18" style="0" width="20.71"/>
    <col collapsed="false" customWidth="true" hidden="false" outlineLevel="0" max="19" min="19" style="0" width="34.42"/>
    <col collapsed="false" customWidth="true" hidden="false" outlineLevel="0" max="20" min="20" style="0" width="18.42"/>
    <col collapsed="false" customWidth="true" hidden="false" outlineLevel="0" max="21" min="21" style="0" width="45.14"/>
    <col collapsed="false" customWidth="true" hidden="false" outlineLevel="0" max="22" min="22" style="51" width="9.42"/>
    <col collapsed="false" customWidth="true" hidden="false" outlineLevel="0" max="23" min="23" style="0" width="15.42"/>
    <col collapsed="false" customWidth="true" hidden="false" outlineLevel="0" max="24" min="24" style="0" width="13.43"/>
    <col collapsed="false" customWidth="true" hidden="false" outlineLevel="0" max="25" min="25" style="0" width="10.42"/>
    <col collapsed="false" customWidth="true" hidden="false" outlineLevel="0" max="26" min="26" style="0" width="19.85"/>
    <col collapsed="false" customWidth="true" hidden="false" outlineLevel="0" max="27" min="27" style="0" width="17.4"/>
    <col collapsed="false" customWidth="true" hidden="false" outlineLevel="0" max="28" min="28" style="0" width="18.85"/>
    <col collapsed="false" customWidth="true" hidden="false" outlineLevel="0" max="29" min="29" style="0" width="11.86"/>
    <col collapsed="false" customWidth="true" hidden="false" outlineLevel="0" max="31" min="30" style="0" width="30.02"/>
    <col collapsed="false" customWidth="true" hidden="false" outlineLevel="0" max="32" min="32" style="0" width="28.42"/>
    <col collapsed="false" customWidth="true" hidden="false" outlineLevel="0" max="33" min="33" style="0" width="32.42"/>
    <col collapsed="false" customWidth="true" hidden="false" outlineLevel="0" max="34" min="34" style="0" width="18.85"/>
    <col collapsed="false" customWidth="false" hidden="false" outlineLevel="0" max="35" min="35" style="51" width="9.13"/>
    <col collapsed="false" customWidth="true" hidden="false" outlineLevel="0" max="37" min="36" style="0" width="5.86"/>
  </cols>
  <sheetData>
    <row r="2" customFormat="false" ht="15" hidden="false" customHeight="false" outlineLevel="0" collapsed="false">
      <c r="M2" s="64" t="s">
        <v>284</v>
      </c>
      <c r="N2" s="64" t="s">
        <v>285</v>
      </c>
      <c r="O2" s="64" t="s">
        <v>286</v>
      </c>
      <c r="P2" s="64" t="s">
        <v>287</v>
      </c>
      <c r="Q2" s="64" t="s">
        <v>288</v>
      </c>
      <c r="R2" s="64"/>
      <c r="AD2" s="64" t="s">
        <v>284</v>
      </c>
      <c r="AE2" s="64" t="s">
        <v>285</v>
      </c>
      <c r="AF2" s="64" t="s">
        <v>289</v>
      </c>
      <c r="AG2" s="64" t="s">
        <v>287</v>
      </c>
      <c r="AH2" s="64" t="s">
        <v>288</v>
      </c>
    </row>
    <row r="3" customFormat="false" ht="20.25" hidden="false" customHeight="false" outlineLevel="0" collapsed="false">
      <c r="B3" s="6" t="s">
        <v>256</v>
      </c>
      <c r="C3" s="6"/>
      <c r="D3" s="37" t="s">
        <v>257</v>
      </c>
      <c r="E3" s="52" t="s">
        <v>258</v>
      </c>
      <c r="F3" s="37" t="s">
        <v>259</v>
      </c>
      <c r="G3" s="37" t="s">
        <v>260</v>
      </c>
      <c r="H3" s="37" t="s">
        <v>261</v>
      </c>
      <c r="I3" s="53" t="s">
        <v>262</v>
      </c>
      <c r="J3" s="37" t="s">
        <v>263</v>
      </c>
      <c r="K3" s="8" t="s">
        <v>102</v>
      </c>
      <c r="L3" s="7"/>
      <c r="M3" s="75"/>
      <c r="N3" s="75"/>
      <c r="O3" s="75"/>
      <c r="P3" s="75"/>
      <c r="Q3" s="75"/>
      <c r="R3" s="7"/>
      <c r="S3" s="6" t="s">
        <v>256</v>
      </c>
      <c r="U3" s="37" t="s">
        <v>257</v>
      </c>
      <c r="V3" s="52" t="s">
        <v>258</v>
      </c>
      <c r="W3" s="37" t="s">
        <v>259</v>
      </c>
      <c r="X3" s="37" t="s">
        <v>260</v>
      </c>
      <c r="Y3" s="37" t="s">
        <v>261</v>
      </c>
      <c r="Z3" s="53" t="s">
        <v>262</v>
      </c>
      <c r="AA3" s="37" t="s">
        <v>263</v>
      </c>
      <c r="AB3" s="8" t="s">
        <v>102</v>
      </c>
      <c r="AC3" s="7"/>
      <c r="AD3" s="75"/>
      <c r="AE3" s="75"/>
      <c r="AF3" s="75"/>
      <c r="AG3" s="75"/>
      <c r="AH3" s="75"/>
      <c r="AJ3" s="76" t="str">
        <f aca="false">VLOOKUP($B$5,Database!$H$4:$K$6,4,FALSE())</f>
        <v>10c</v>
      </c>
      <c r="AK3" s="76" t="str">
        <f aca="false">VLOOKUP($S$5,Database!$H$4:$K$6,4,FALSE())</f>
        <v>10c</v>
      </c>
    </row>
    <row r="4" customFormat="false" ht="15.75" hidden="false" customHeight="false" outlineLevel="0" collapsed="false">
      <c r="B4" s="37" t="s">
        <v>140</v>
      </c>
      <c r="C4" s="37" t="s">
        <v>290</v>
      </c>
      <c r="D4" s="54" t="str">
        <f aca="false">HLOOKUP($AJ$3,'Daten-Zusammensetzung Bauteil'!$B$4:$BC$11,Database!$B4,FALSE())</f>
        <v>Hochbaubeton 9cm [kg]</v>
      </c>
      <c r="E4" s="55" t="str">
        <f aca="false">MID(HLOOKUP($AJ$3,'Daten-Funktion'!$B$4:$BC$11,Database!$B4,FALSE()),1,2)</f>
        <v>C4</v>
      </c>
      <c r="F4" s="54" t="n">
        <f aca="false">HLOOKUP($AJ$3,'Daten-THGE'!$B$4:$BC$11,Database!$B4,FALSE())</f>
        <v>0.00165333333333333</v>
      </c>
      <c r="G4" s="54" t="n">
        <f aca="false">HLOOKUP($AJ$3,'Daten-Dichte'!$B$4:$BC$11,Database!$B4,FALSE())</f>
        <v>2300</v>
      </c>
      <c r="H4" s="54" t="n">
        <f aca="false">HLOOKUP($AJ$3,'Daten-Dicke'!$B$4:$BC$11,Database!$B4,FALSE())</f>
        <v>8.9656050955414</v>
      </c>
      <c r="I4" s="9"/>
      <c r="J4" s="20" t="n">
        <f aca="false">IF(I4=0,G4*H4/100*F4,F4*G4*I4/1000)</f>
        <v>0.340932076433121</v>
      </c>
      <c r="K4" s="56" t="n">
        <f aca="false">SUM(J4:J21)*Gebäude!$C$14*(Gebäude!$C$10-1)</f>
        <v>1770.18404968153</v>
      </c>
      <c r="L4" s="37" t="s">
        <v>31</v>
      </c>
      <c r="M4" s="68" t="n">
        <f aca="false">IF(E4="C4",1,0)</f>
        <v>1</v>
      </c>
      <c r="N4" s="68" t="n">
        <f aca="false">IF(E4="G4.1",1,0)</f>
        <v>0</v>
      </c>
      <c r="O4" s="68" t="n">
        <f aca="false">IF(E4="G4.2",1,0)</f>
        <v>0</v>
      </c>
      <c r="P4" s="68" t="n">
        <f aca="false">IF(E4="G2.1",1,0)</f>
        <v>0</v>
      </c>
      <c r="Q4" s="68" t="n">
        <f aca="false">IF(E4="G2.2",1,0)</f>
        <v>0</v>
      </c>
      <c r="S4" s="37" t="s">
        <v>291</v>
      </c>
      <c r="T4" s="37" t="s">
        <v>290</v>
      </c>
      <c r="U4" s="54" t="str">
        <f aca="false">HLOOKUP($AK$3,'Daten-Zusammensetzung Bauteil'!$B$4:$BC$11,Database!$B4,FALSE())</f>
        <v>Hochbaubeton 9cm [kg]</v>
      </c>
      <c r="V4" s="55" t="str">
        <f aca="false">MID(HLOOKUP($AK$3,'Daten-Funktion'!$B$4:$BC$11,Database!$B4,FALSE()),1,2)</f>
        <v>C4</v>
      </c>
      <c r="W4" s="54" t="n">
        <f aca="false">HLOOKUP($AK$3,'Daten-THGE'!$B$4:$BC$11,Database!$B4,FALSE())</f>
        <v>0.00165333333333333</v>
      </c>
      <c r="X4" s="54" t="n">
        <f aca="false">HLOOKUP($AK$3,'Daten-Dichte'!$B$4:$BC$11,Database!$B4,FALSE())</f>
        <v>2300</v>
      </c>
      <c r="Y4" s="54" t="n">
        <f aca="false">HLOOKUP($AK$3,'Daten-Dicke'!$B$4:$BC$11,Database!$B4,FALSE())</f>
        <v>8.9656050955414</v>
      </c>
      <c r="Z4" s="9"/>
      <c r="AA4" s="20" t="n">
        <f aca="false">IF(Z4=0,X4*Y4/100*W4,W4*X4*Z4/1000)</f>
        <v>0.340932076433121</v>
      </c>
      <c r="AB4" s="56" t="n">
        <f aca="false">IF($AK$7=0,0,SUM(AA4:AA10)*Gebäude!$C$13*Gebäude!$C$9+SUM('Decke unter &amp; über Terrain'!AA12:AA15)*Gebäude!$C$13+SUM('Decke unter &amp; über Terrain'!AA17:AA21)*Gebäude!$C$13*Gebäude!$C$9)</f>
        <v>0</v>
      </c>
      <c r="AC4" s="37" t="s">
        <v>31</v>
      </c>
      <c r="AD4" s="68" t="n">
        <f aca="false">IF(V4="C4",1,0)</f>
        <v>1</v>
      </c>
      <c r="AE4" s="68" t="n">
        <f aca="false">IF(V4="G4.1",1,0)</f>
        <v>0</v>
      </c>
      <c r="AF4" s="68" t="n">
        <f aca="false">IF(V4="G4.2",1,0)</f>
        <v>0</v>
      </c>
      <c r="AG4" s="68" t="n">
        <f aca="false">IF(V4="G2.1",1,0)</f>
        <v>0</v>
      </c>
      <c r="AH4" s="68" t="n">
        <v>0</v>
      </c>
      <c r="AJ4" s="77" t="str">
        <f aca="false">IF(AND($B$5=Database!$H$6,B6="Mit abgehängte Installationsdecke-Mischbau"),"11c",IF($B$6=Database!$D$8,0,VLOOKUP($B$6,Database!D6:E8,2,FALSE())))</f>
        <v>11c</v>
      </c>
      <c r="AK4" s="76" t="str">
        <f aca="false">IF(AND($S$5=Database!$H$6,$S$6=Database!$D$7),"11c",IF(AND($S$6=Database!$D$8,'Decke unter &amp; über Terrain'!$S$8=Database!$D$10,$S$5&lt;&gt;Database!$H$6),"11a",VLOOKUP($S$6,Database!$D$6:$E$15,2,FALSE())))</f>
        <v>11c</v>
      </c>
    </row>
    <row r="5" customFormat="false" ht="15.75" hidden="false" customHeight="false" outlineLevel="0" collapsed="false">
      <c r="B5" s="37" t="str">
        <f aca="false">Gebäude!$G$4</f>
        <v>Mischbauweise</v>
      </c>
      <c r="C5" s="37"/>
      <c r="D5" s="54" t="str">
        <f aca="false">HLOOKUP($AJ$3,'Daten-Zusammensetzung Bauteil'!$B$4:$BC$11,Database!$B5,FALSE())</f>
        <v>Armierungsstahl [kg]</v>
      </c>
      <c r="E5" s="55" t="str">
        <f aca="false">MID(HLOOKUP($AJ$3,'Daten-Funktion'!$B$4:$BC$11,Database!$B5,FALSE()),1,2)</f>
        <v>C4</v>
      </c>
      <c r="F5" s="54" t="n">
        <f aca="false">HLOOKUP($AJ$3,'Daten-THGE'!$B$4:$BC$11,Database!$B5,FALSE())</f>
        <v>0.0113666666666667</v>
      </c>
      <c r="G5" s="54" t="n">
        <f aca="false">HLOOKUP($AJ$3,'Daten-Dichte'!$B$4:$BC$11,Database!$B5,FALSE())</f>
        <v>7850</v>
      </c>
      <c r="H5" s="54" t="n">
        <f aca="false">HLOOKUP($AJ$3,'Daten-Dicke'!$B$4:$BC$11,Database!$B5,FALSE())</f>
        <v>0.0343949044585987</v>
      </c>
      <c r="I5" s="9"/>
      <c r="J5" s="20" t="n">
        <f aca="false">IF(I5=0,G5*H5/100*F5,F5*G5*I5/1000)</f>
        <v>0.03069</v>
      </c>
      <c r="K5" s="54"/>
      <c r="L5" s="7"/>
      <c r="M5" s="68" t="n">
        <f aca="false">IF(E5="C4",1,0)</f>
        <v>1</v>
      </c>
      <c r="N5" s="68" t="n">
        <f aca="false">IF(E5="G4.1",1,0)</f>
        <v>0</v>
      </c>
      <c r="O5" s="68" t="n">
        <f aca="false">IF(E5="G4.2",1,0)</f>
        <v>0</v>
      </c>
      <c r="P5" s="68" t="n">
        <f aca="false">IF(E5="G2.1",1,0)</f>
        <v>0</v>
      </c>
      <c r="Q5" s="68" t="n">
        <f aca="false">IF(E5="G2.2",1,0)</f>
        <v>0</v>
      </c>
      <c r="S5" s="37" t="str">
        <f aca="false">Gebäude!$G$4</f>
        <v>Mischbauweise</v>
      </c>
      <c r="T5" s="37"/>
      <c r="U5" s="54" t="str">
        <f aca="false">HLOOKUP($AK$3,'Daten-Zusammensetzung Bauteil'!$B$4:$BC$11,Database!$B5,FALSE())</f>
        <v>Armierungsstahl [kg]</v>
      </c>
      <c r="V5" s="55" t="str">
        <f aca="false">MID(HLOOKUP($AK$3,'Daten-Funktion'!$B$4:$BC$11,Database!$B5,FALSE()),1,2)</f>
        <v>C4</v>
      </c>
      <c r="W5" s="54" t="n">
        <f aca="false">HLOOKUP($AK$3,'Daten-THGE'!$B$4:$BC$11,Database!$B5,FALSE())</f>
        <v>0.0113666666666667</v>
      </c>
      <c r="X5" s="54" t="n">
        <f aca="false">HLOOKUP($AK$3,'Daten-Dichte'!$B$4:$BC$11,Database!$B5,FALSE())</f>
        <v>7850</v>
      </c>
      <c r="Y5" s="54" t="n">
        <f aca="false">HLOOKUP($AK$3,'Daten-Dicke'!$B$4:$BC$11,Database!$B5,FALSE())</f>
        <v>0.0343949044585987</v>
      </c>
      <c r="Z5" s="9"/>
      <c r="AA5" s="20" t="n">
        <f aca="false">IF(Z5=0,X5*Y5/100*W5,W5*X5*Z5/1000)</f>
        <v>0.03069</v>
      </c>
      <c r="AB5" s="54"/>
      <c r="AC5" s="7"/>
      <c r="AD5" s="68" t="n">
        <f aca="false">IF(V5="C4",1,0)</f>
        <v>1</v>
      </c>
      <c r="AE5" s="68" t="n">
        <f aca="false">IF(V5="G4.1",1,0)</f>
        <v>0</v>
      </c>
      <c r="AF5" s="68" t="n">
        <f aca="false">IF(V5="G4.2",1,0)</f>
        <v>0</v>
      </c>
      <c r="AG5" s="68" t="n">
        <f aca="false">IF(V5="G2.1",1,0)</f>
        <v>0</v>
      </c>
      <c r="AH5" s="68" t="n">
        <v>0</v>
      </c>
      <c r="AJ5" s="76" t="str">
        <f aca="false">VLOOKUP($B$7,Database!$D$6:$E$15,2,FALSE())</f>
        <v>12d</v>
      </c>
      <c r="AK5" s="76" t="str">
        <f aca="false">VLOOKUP($S$7,Database!$D$6:$E$15,2,FALSE())</f>
        <v>12d</v>
      </c>
    </row>
    <row r="6" customFormat="false" ht="15.75" hidden="false" customHeight="false" outlineLevel="0" collapsed="false">
      <c r="B6" s="7" t="str">
        <f aca="false">Gebäude!G7</f>
        <v>Mit abgehängte Installationsdecke-Mischbau</v>
      </c>
      <c r="C6" s="7"/>
      <c r="D6" s="54" t="str">
        <f aca="false">HLOOKUP($AJ$3,'Daten-Zusammensetzung Bauteil'!$B$4:$BC$11,Database!$B6,FALSE())</f>
        <v>Nadelschnittholz [kg]</v>
      </c>
      <c r="E6" s="55" t="str">
        <f aca="false">MID(HLOOKUP($AJ$3,'Daten-Funktion'!$B$4:$BC$11,Database!$B6,FALSE()),1,2)</f>
        <v>C4</v>
      </c>
      <c r="F6" s="54" t="n">
        <f aca="false">HLOOKUP($AJ$3,'Daten-THGE'!$B$4:$BC$11,Database!$B6,FALSE())</f>
        <v>0.00168333333333333</v>
      </c>
      <c r="G6" s="54" t="n">
        <f aca="false">HLOOKUP($AJ$3,'Daten-Dichte'!$B$4:$BC$11,Database!$B6,FALSE())</f>
        <v>485</v>
      </c>
      <c r="H6" s="54" t="n">
        <f aca="false">HLOOKUP($AJ$3,'Daten-Dicke'!$B$4:$BC$11,Database!$B6,FALSE())</f>
        <v>13</v>
      </c>
      <c r="I6" s="57"/>
      <c r="J6" s="20" t="n">
        <f aca="false">IF(I6=0,G6*H6/100*F6,F6*G6*I6/1000)</f>
        <v>0.106134166666667</v>
      </c>
      <c r="K6" s="7"/>
      <c r="L6" s="7"/>
      <c r="M6" s="68" t="n">
        <f aca="false">IF(E6="C4",1,0)</f>
        <v>1</v>
      </c>
      <c r="N6" s="68" t="n">
        <f aca="false">IF(E6="G4.1",1,0)</f>
        <v>0</v>
      </c>
      <c r="O6" s="68" t="n">
        <f aca="false">IF(E6="G4.2",1,0)</f>
        <v>0</v>
      </c>
      <c r="P6" s="68" t="n">
        <f aca="false">IF(E6="G2.1",1,0)</f>
        <v>0</v>
      </c>
      <c r="Q6" s="68" t="n">
        <f aca="false">IF(E6="G2.2",1,0)</f>
        <v>0</v>
      </c>
      <c r="S6" s="7" t="str">
        <f aca="false">Gebäude!G8</f>
        <v>Mit abgehängte Installationsdecke-Mischbau</v>
      </c>
      <c r="T6" s="7"/>
      <c r="U6" s="54" t="str">
        <f aca="false">HLOOKUP($AK$3,'Daten-Zusammensetzung Bauteil'!$B$4:$BC$11,Database!$B6,FALSE())</f>
        <v>Nadelschnittholz [kg]</v>
      </c>
      <c r="V6" s="55" t="str">
        <f aca="false">MID(HLOOKUP($AK$3,'Daten-Funktion'!$B$4:$BC$11,Database!$B6,FALSE()),1,2)</f>
        <v>C4</v>
      </c>
      <c r="W6" s="54" t="n">
        <f aca="false">HLOOKUP($AK$3,'Daten-THGE'!$B$4:$BC$11,Database!$B6,FALSE())</f>
        <v>0.00168333333333333</v>
      </c>
      <c r="X6" s="54" t="n">
        <f aca="false">HLOOKUP($AK$3,'Daten-Dichte'!$B$4:$BC$11,Database!$B6,FALSE())</f>
        <v>485</v>
      </c>
      <c r="Y6" s="54" t="n">
        <f aca="false">HLOOKUP($AK$3,'Daten-Dicke'!$B$4:$BC$11,Database!$B6,FALSE())</f>
        <v>13</v>
      </c>
      <c r="Z6" s="57"/>
      <c r="AA6" s="20" t="n">
        <f aca="false">IF(Z6=0,X6*Y6/100*W6,W6*X6*Z6/1000)</f>
        <v>0.106134166666667</v>
      </c>
      <c r="AB6" s="7"/>
      <c r="AC6" s="7"/>
      <c r="AD6" s="68" t="n">
        <f aca="false">IF(V6="C4",1,0)</f>
        <v>1</v>
      </c>
      <c r="AE6" s="68" t="n">
        <f aca="false">IF(V6="G4.1",1,0)</f>
        <v>0</v>
      </c>
      <c r="AF6" s="68" t="n">
        <f aca="false">IF(V6="G4.2",1,0)</f>
        <v>0</v>
      </c>
      <c r="AG6" s="68" t="n">
        <f aca="false">IF(V6="G2.1",1,0)</f>
        <v>0</v>
      </c>
      <c r="AH6" s="68" t="n">
        <v>0</v>
      </c>
      <c r="AJ6" s="76"/>
      <c r="AK6" s="76"/>
    </row>
    <row r="7" customFormat="false" ht="15.75" hidden="false" customHeight="false" outlineLevel="0" collapsed="false">
      <c r="B7" s="7" t="str">
        <f aca="false">Gebäude!G9</f>
        <v>Bodenbelag mit Keramik</v>
      </c>
      <c r="C7" s="7"/>
      <c r="D7" s="54" t="str">
        <f aca="false">HLOOKUP($AJ$3,'Daten-Zusammensetzung Bauteil'!$B$4:$BC$11,Database!$B7,FALSE())</f>
        <v>Nadelschnittholz [kg]</v>
      </c>
      <c r="E7" s="55" t="str">
        <f aca="false">HLOOKUP($AJ$3,'Daten-Funktion'!$B$4:$BC$11,Database!$B7,FALSE())</f>
        <v>G4.1</v>
      </c>
      <c r="F7" s="54" t="n">
        <f aca="false">HLOOKUP($AJ$3,'Daten-THGE'!$B$4:$BC$11,Database!$B7,FALSE())</f>
        <v>0.00336666666666667</v>
      </c>
      <c r="G7" s="54" t="n">
        <f aca="false">HLOOKUP($AJ$3,'Daten-Dichte'!$B$4:$BC$11,Database!$B7,FALSE())</f>
        <v>485</v>
      </c>
      <c r="H7" s="54" t="n">
        <f aca="false">HLOOKUP($AJ$3,'Daten-Dicke'!$B$4:$BC$11,Database!$B7,FALSE())</f>
        <v>0.4</v>
      </c>
      <c r="I7" s="57"/>
      <c r="J7" s="20" t="n">
        <f aca="false">IF(I7=0,G7*H7/100*F7,F7*G7*I7/1000)</f>
        <v>0.00653133333333333</v>
      </c>
      <c r="K7" s="7"/>
      <c r="L7" s="7"/>
      <c r="M7" s="68" t="n">
        <f aca="false">IF(E7="C4",1,0)</f>
        <v>0</v>
      </c>
      <c r="N7" s="68" t="n">
        <f aca="false">IF(E7="G4.1",1,0)</f>
        <v>1</v>
      </c>
      <c r="O7" s="68" t="n">
        <f aca="false">IF(E7="G4.2",1,0)</f>
        <v>0</v>
      </c>
      <c r="P7" s="68" t="n">
        <f aca="false">IF(E7="G2.1",1,0)</f>
        <v>0</v>
      </c>
      <c r="Q7" s="68" t="n">
        <f aca="false">IF(E7="G2.2",1,0)</f>
        <v>0</v>
      </c>
      <c r="S7" s="7" t="str">
        <f aca="false">Gebäude!G10</f>
        <v>Bodenbelag mit Keramik</v>
      </c>
      <c r="T7" s="7"/>
      <c r="U7" s="54" t="str">
        <f aca="false">HLOOKUP($AK$3,'Daten-Zusammensetzung Bauteil'!$B$4:$BC$11,Database!$B7,FALSE())</f>
        <v>Nadelschnittholz [kg]</v>
      </c>
      <c r="V7" s="55" t="str">
        <f aca="false">HLOOKUP($AK$3,'Daten-Funktion'!$B$4:$BC$11,Database!$B7,FALSE())</f>
        <v>G4.1</v>
      </c>
      <c r="W7" s="54" t="n">
        <f aca="false">HLOOKUP($AK$3,'Daten-THGE'!$B$4:$BC$11,Database!$B7,FALSE())</f>
        <v>0.00336666666666667</v>
      </c>
      <c r="X7" s="54" t="n">
        <f aca="false">HLOOKUP($AK$3,'Daten-Dichte'!$B$4:$BC$11,Database!$B7,FALSE())</f>
        <v>485</v>
      </c>
      <c r="Y7" s="54" t="n">
        <f aca="false">HLOOKUP($AK$3,'Daten-Dicke'!$B$4:$BC$11,Database!$B7,FALSE())</f>
        <v>0.4</v>
      </c>
      <c r="Z7" s="57"/>
      <c r="AA7" s="20" t="n">
        <f aca="false">IF(Z7=0,X7*Y7/100*W7,W7*X7*Z7/1000)</f>
        <v>0.00653133333333333</v>
      </c>
      <c r="AB7" s="7"/>
      <c r="AC7" s="7"/>
      <c r="AD7" s="68" t="n">
        <f aca="false">IF(V7="C4",1,0)</f>
        <v>0</v>
      </c>
      <c r="AE7" s="68" t="n">
        <f aca="false">IF(V7="G4.1",1,0)</f>
        <v>1</v>
      </c>
      <c r="AF7" s="68" t="n">
        <f aca="false">IF(V7="G4.2",1,0)</f>
        <v>0</v>
      </c>
      <c r="AG7" s="68" t="n">
        <f aca="false">IF(V7="G2.1",1,0)</f>
        <v>0</v>
      </c>
      <c r="AH7" s="68" t="n">
        <v>0</v>
      </c>
      <c r="AJ7" s="76" t="n">
        <f aca="false">IF($B$8=Database!$D$14,1,0)</f>
        <v>0</v>
      </c>
      <c r="AK7" s="76" t="n">
        <f aca="false">IF($S$9=Database!$D$14,1,0)</f>
        <v>0</v>
      </c>
    </row>
    <row r="8" customFormat="false" ht="15.75" hidden="false" customHeight="false" outlineLevel="0" collapsed="false">
      <c r="B8" s="7" t="str">
        <f aca="false">Gebäude!G5</f>
        <v>Ohne UG</v>
      </c>
      <c r="C8" s="7"/>
      <c r="D8" s="54" t="str">
        <f aca="false">HLOOKUP($AJ$3,'Daten-Zusammensetzung Bauteil'!$B$4:$BC$11,Database!$B8,FALSE())</f>
        <v>Gipskartonplatte [kg]</v>
      </c>
      <c r="E8" s="55" t="str">
        <f aca="false">HLOOKUP($AJ$3,'Daten-Funktion'!$B$4:$BC$11,Database!$B8,FALSE())</f>
        <v>G4.1</v>
      </c>
      <c r="F8" s="54" t="n">
        <f aca="false">HLOOKUP($AJ$3,'Daten-THGE'!$B$4:$BC$11,Database!$B8,FALSE())</f>
        <v>0.00976666666666667</v>
      </c>
      <c r="G8" s="54" t="n">
        <f aca="false">HLOOKUP($AJ$3,'Daten-Dichte'!$B$4:$BC$11,Database!$B8,FALSE())</f>
        <v>850</v>
      </c>
      <c r="H8" s="54" t="n">
        <f aca="false">HLOOKUP($AJ$3,'Daten-Dicke'!$B$4:$BC$11,Database!$B8,FALSE())</f>
        <v>1.25</v>
      </c>
      <c r="I8" s="57"/>
      <c r="J8" s="20" t="n">
        <f aca="false">IF(I8=0,G8*H8/100*F8,F8*G8*I8/1000)</f>
        <v>0.103770833333333</v>
      </c>
      <c r="K8" s="7"/>
      <c r="L8" s="7"/>
      <c r="M8" s="68" t="n">
        <f aca="false">IF(E8="C4",1,0)</f>
        <v>0</v>
      </c>
      <c r="N8" s="68" t="n">
        <f aca="false">IF(E8="G4.1",1,0)</f>
        <v>1</v>
      </c>
      <c r="O8" s="68" t="n">
        <f aca="false">IF(E8="G4.2",1,0)</f>
        <v>0</v>
      </c>
      <c r="P8" s="68" t="n">
        <f aca="false">IF(E8="G2.1",1,0)</f>
        <v>0</v>
      </c>
      <c r="Q8" s="68" t="n">
        <f aca="false">IF(E8="G2.2",1,0)</f>
        <v>0</v>
      </c>
      <c r="S8" s="7" t="str">
        <f aca="false">Gebäude!G11</f>
        <v>Mit Dämmung</v>
      </c>
      <c r="T8" s="7"/>
      <c r="U8" s="54" t="str">
        <f aca="false">HLOOKUP($AK$3,'Daten-Zusammensetzung Bauteil'!$B$4:$BC$11,Database!$B8,FALSE())</f>
        <v>Gipskartonplatte [kg]</v>
      </c>
      <c r="V8" s="55" t="str">
        <f aca="false">HLOOKUP($AK$3,'Daten-Funktion'!$B$4:$BC$11,Database!$B8,FALSE())</f>
        <v>G4.1</v>
      </c>
      <c r="W8" s="54" t="n">
        <f aca="false">HLOOKUP($AK$3,'Daten-THGE'!$B$4:$BC$11,Database!$B8,FALSE())</f>
        <v>0.00976666666666667</v>
      </c>
      <c r="X8" s="54" t="n">
        <f aca="false">HLOOKUP($AK$3,'Daten-Dichte'!$B$4:$BC$11,Database!$B8,FALSE())</f>
        <v>850</v>
      </c>
      <c r="Y8" s="54" t="n">
        <f aca="false">HLOOKUP($AK$3,'Daten-Dicke'!$B$4:$BC$11,Database!$B8,FALSE())</f>
        <v>1.25</v>
      </c>
      <c r="Z8" s="57"/>
      <c r="AA8" s="20" t="n">
        <f aca="false">IF(Z8=0,X8*Y8/100*W8,W8*X8*Z8/1000)</f>
        <v>0.103770833333333</v>
      </c>
      <c r="AB8" s="7"/>
      <c r="AC8" s="7"/>
      <c r="AD8" s="68" t="n">
        <f aca="false">IF(V8="C4",1,0)</f>
        <v>0</v>
      </c>
      <c r="AE8" s="68" t="n">
        <f aca="false">IF(V8="G4.1",1,0)</f>
        <v>1</v>
      </c>
      <c r="AF8" s="68" t="n">
        <f aca="false">IF(V8="G4.2",1,0)</f>
        <v>0</v>
      </c>
      <c r="AG8" s="68" t="n">
        <f aca="false">IF(V8="G2.1",1,0)</f>
        <v>0</v>
      </c>
      <c r="AH8" s="68" t="n">
        <v>0</v>
      </c>
      <c r="AJ8" s="76"/>
      <c r="AK8" s="76"/>
    </row>
    <row r="9" customFormat="false" ht="15.75" hidden="false" customHeight="false" outlineLevel="0" collapsed="false">
      <c r="C9" s="7"/>
      <c r="D9" s="54" t="str">
        <f aca="false">HLOOKUP($AJ$3,'Daten-Zusammensetzung Bauteil'!$B$4:$BC$11,Database!$B9,FALSE())</f>
        <v>Spachtel [kg]</v>
      </c>
      <c r="E9" s="55" t="str">
        <f aca="false">HLOOKUP($AJ$3,'Daten-Funktion'!$B$4:$BC$11,Database!$B9,FALSE())</f>
        <v>G4.2</v>
      </c>
      <c r="F9" s="54" t="n">
        <f aca="false">HLOOKUP($AJ$3,'Daten-THGE'!$B$4:$BC$11,Database!$B9,FALSE())</f>
        <v>0.00516666666666667</v>
      </c>
      <c r="G9" s="54" t="n">
        <f aca="false">HLOOKUP($AJ$3,'Daten-Dichte'!$B$4:$BC$11,Database!$B9,FALSE())</f>
        <v>925</v>
      </c>
      <c r="H9" s="54" t="n">
        <f aca="false">HLOOKUP($AJ$3,'Daten-Dicke'!$B$4:$BC$11,Database!$B9,FALSE())</f>
        <v>0.605405405405405</v>
      </c>
      <c r="I9" s="57"/>
      <c r="J9" s="20" t="n">
        <f aca="false">IF(I9=0,G9*H9/100*F9,F9*G9*I9/1000)</f>
        <v>0.0289333333333333</v>
      </c>
      <c r="K9" s="7"/>
      <c r="L9" s="7"/>
      <c r="M9" s="68" t="n">
        <f aca="false">IF(E9="C4",1,0)</f>
        <v>0</v>
      </c>
      <c r="N9" s="68" t="n">
        <f aca="false">IF(E9="G4.1",1,0)</f>
        <v>0</v>
      </c>
      <c r="O9" s="68" t="n">
        <f aca="false">IF(E9="G4.2",1,0)</f>
        <v>1</v>
      </c>
      <c r="P9" s="68" t="n">
        <f aca="false">IF(E9="G2.1",1,0)</f>
        <v>0</v>
      </c>
      <c r="Q9" s="68" t="n">
        <f aca="false">IF(E9="G2.2",1,0)</f>
        <v>0</v>
      </c>
      <c r="S9" s="7" t="str">
        <f aca="false">Gebäude!G5</f>
        <v>Ohne UG</v>
      </c>
      <c r="T9" s="7"/>
      <c r="U9" s="54" t="str">
        <f aca="false">HLOOKUP($AK$3,'Daten-Zusammensetzung Bauteil'!$B$4:$BC$11,Database!$B9,FALSE())</f>
        <v>Spachtel [kg]</v>
      </c>
      <c r="V9" s="55" t="str">
        <f aca="false">HLOOKUP($AK$3,'Daten-Funktion'!$B$4:$BC$11,Database!$B9,FALSE())</f>
        <v>G4.2</v>
      </c>
      <c r="W9" s="54" t="n">
        <f aca="false">HLOOKUP($AK$3,'Daten-THGE'!$B$4:$BC$11,Database!$B9,FALSE())</f>
        <v>0.00516666666666667</v>
      </c>
      <c r="X9" s="54" t="n">
        <f aca="false">HLOOKUP($AK$3,'Daten-Dichte'!$B$4:$BC$11,Database!$B9,FALSE())</f>
        <v>925</v>
      </c>
      <c r="Y9" s="54" t="n">
        <f aca="false">HLOOKUP($AK$3,'Daten-Dicke'!$B$4:$BC$11,Database!$B9,FALSE())</f>
        <v>0.605405405405405</v>
      </c>
      <c r="Z9" s="57"/>
      <c r="AA9" s="20" t="n">
        <f aca="false">IF(Z9=0,X9*Y9/100*W9,W9*X9*Z9/1000)</f>
        <v>0.0289333333333333</v>
      </c>
      <c r="AB9" s="7"/>
      <c r="AC9" s="7"/>
      <c r="AD9" s="68" t="n">
        <f aca="false">IF(V9="C4",1,0)</f>
        <v>0</v>
      </c>
      <c r="AE9" s="68" t="n">
        <f aca="false">IF(V9="G4.1",1,0)</f>
        <v>0</v>
      </c>
      <c r="AF9" s="68" t="n">
        <f aca="false">IF(V9="G4.2",1,0)</f>
        <v>1</v>
      </c>
      <c r="AG9" s="68" t="n">
        <f aca="false">IF(V9="G2.1",1,0)</f>
        <v>0</v>
      </c>
      <c r="AH9" s="68" t="n">
        <v>0</v>
      </c>
      <c r="AJ9" s="76"/>
      <c r="AK9" s="76"/>
    </row>
    <row r="10" customFormat="false" ht="15.75" hidden="false" customHeight="false" outlineLevel="0" collapsed="false">
      <c r="B10" s="7"/>
      <c r="C10" s="7"/>
      <c r="D10" s="54" t="str">
        <f aca="false">HLOOKUP($AJ$3,'Daten-Zusammensetzung Bauteil'!$B$4:$BC$11,Database!$B10,FALSE())</f>
        <v>Wanddispersion [m2]</v>
      </c>
      <c r="E10" s="55" t="str">
        <f aca="false">HLOOKUP($AJ$3,'Daten-Funktion'!$B$4:$BC$11,Database!$B10,FALSE())</f>
        <v>G4.2</v>
      </c>
      <c r="F10" s="54" t="n">
        <f aca="false">HLOOKUP($AJ$3,'Daten-THGE'!$B$4:$BC$11,Database!$B10,FALSE())</f>
        <v>0.151111111111111</v>
      </c>
      <c r="G10" s="54" t="n">
        <f aca="false">HLOOKUP($AJ$3,'Daten-Dichte'!$B$4:$BC$11,Database!$B10,FALSE())</f>
        <v>150</v>
      </c>
      <c r="H10" s="54" t="n">
        <f aca="false">HLOOKUP($AJ$3,'Daten-Dicke'!$B$4:$BC$11,Database!$B10,FALSE())</f>
        <v>0.2</v>
      </c>
      <c r="I10" s="57"/>
      <c r="J10" s="20" t="n">
        <f aca="false">IF(I10=0,G10*H10/100*F10,F10*G10*I10/1000)</f>
        <v>0.0453333333333333</v>
      </c>
      <c r="K10" s="7"/>
      <c r="L10" s="7"/>
      <c r="M10" s="68" t="n">
        <f aca="false">IF(E10="C4",1,0)</f>
        <v>0</v>
      </c>
      <c r="N10" s="68" t="n">
        <f aca="false">IF(E10="G4.1",1,0)</f>
        <v>0</v>
      </c>
      <c r="O10" s="68" t="n">
        <f aca="false">IF(E10="G4.2",1,0)</f>
        <v>1</v>
      </c>
      <c r="P10" s="68" t="n">
        <f aca="false">IF(E10="G2.1",1,0)</f>
        <v>0</v>
      </c>
      <c r="Q10" s="68" t="n">
        <f aca="false">IF(E10="G2.2",1,0)</f>
        <v>0</v>
      </c>
      <c r="S10" s="7"/>
      <c r="T10" s="7"/>
      <c r="U10" s="54" t="str">
        <f aca="false">HLOOKUP($AK$3,'Daten-Zusammensetzung Bauteil'!$B$4:$BC$11,Database!$B10,FALSE())</f>
        <v>Wanddispersion [m2]</v>
      </c>
      <c r="V10" s="55" t="str">
        <f aca="false">HLOOKUP($AK$3,'Daten-Funktion'!$B$4:$BC$11,Database!$B10,FALSE())</f>
        <v>G4.2</v>
      </c>
      <c r="W10" s="54" t="n">
        <f aca="false">HLOOKUP($AK$3,'Daten-THGE'!$B$4:$BC$11,Database!$B10,FALSE())</f>
        <v>0.151111111111111</v>
      </c>
      <c r="X10" s="54" t="n">
        <f aca="false">HLOOKUP($AK$3,'Daten-Dichte'!$B$4:$BC$11,Database!$B10,FALSE())</f>
        <v>150</v>
      </c>
      <c r="Y10" s="54" t="n">
        <f aca="false">HLOOKUP($AK$3,'Daten-Dicke'!$B$4:$BC$11,Database!$B10,FALSE())</f>
        <v>0.2</v>
      </c>
      <c r="Z10" s="57"/>
      <c r="AA10" s="20" t="n">
        <f aca="false">IF(Z10=0,X10*Y10/100*W10,W10*X10*Z10/1000)</f>
        <v>0.0453333333333333</v>
      </c>
      <c r="AB10" s="7"/>
      <c r="AC10" s="7"/>
      <c r="AD10" s="68" t="n">
        <f aca="false">IF(V10="C4",1,0)</f>
        <v>0</v>
      </c>
      <c r="AE10" s="68" t="n">
        <f aca="false">IF(V10="G4.1",1,0)</f>
        <v>0</v>
      </c>
      <c r="AF10" s="68" t="n">
        <f aca="false">IF(V10="G4.2",1,0)</f>
        <v>1</v>
      </c>
      <c r="AG10" s="68" t="n">
        <f aca="false">IF(V10="G2.1",1,0)</f>
        <v>0</v>
      </c>
      <c r="AH10" s="68" t="n">
        <v>0</v>
      </c>
      <c r="AJ10" s="76"/>
      <c r="AK10" s="76"/>
    </row>
    <row r="11" customFormat="false" ht="15.75" hidden="false" customHeight="false" outlineLevel="0" collapsed="false">
      <c r="B11" s="7"/>
      <c r="F11" s="54"/>
      <c r="G11" s="54"/>
      <c r="H11" s="54"/>
      <c r="I11" s="54"/>
      <c r="J11" s="20"/>
      <c r="K11" s="7"/>
      <c r="L11" s="7"/>
      <c r="M11" s="75"/>
      <c r="R11" s="7"/>
      <c r="S11" s="7"/>
      <c r="U11" s="54"/>
      <c r="V11" s="55"/>
      <c r="W11" s="54"/>
      <c r="X11" s="54"/>
      <c r="Y11" s="54"/>
      <c r="Z11" s="54"/>
      <c r="AA11" s="20"/>
      <c r="AB11" s="7"/>
      <c r="AC11" s="7"/>
      <c r="AD11" s="75"/>
      <c r="AE11" s="51"/>
      <c r="AF11" s="51"/>
      <c r="AG11" s="51"/>
      <c r="AH11" s="51"/>
      <c r="AI11" s="7"/>
      <c r="AJ11" s="76"/>
      <c r="AK11" s="76"/>
    </row>
    <row r="12" customFormat="false" ht="15.75" hidden="false" customHeight="false" outlineLevel="0" collapsed="false">
      <c r="B12" s="7"/>
      <c r="C12" s="37" t="s">
        <v>292</v>
      </c>
      <c r="D12" s="54" t="str">
        <f aca="false">IF($AJ$4=0,0,HLOOKUP($AJ$4,'Daten-Zusammensetzung Bauteil'!$B$4:$BC$8,Database!$B4,FALSE()))</f>
        <v>Stahlblech verzinkt [kg]</v>
      </c>
      <c r="E12" s="55" t="str">
        <f aca="false">IF($AJ$4=0,0,HLOOKUP($AJ$4,'Daten-Funktion'!$B$4:$BC$8,Database!$B4,FALSE()))</f>
        <v>G4.2</v>
      </c>
      <c r="F12" s="54" t="n">
        <f aca="false">IF($AJ$4=0,0,HLOOKUP($AJ$4,'Daten-THGE'!$B$4:$BC$8,Database!$B4,FALSE()))</f>
        <v>0.117</v>
      </c>
      <c r="G12" s="54" t="n">
        <f aca="false">IF($AJ$4=0,0,HLOOKUP($AJ$4,'Daten-Dichte'!$B$4:$BC$8,Database!$B4,FALSE()))</f>
        <v>7850</v>
      </c>
      <c r="H12" s="54" t="n">
        <f aca="false">IF($AJ$4=0,0,HLOOKUP($AJ$4,'Daten-Dicke'!$B$4:$BC$8,Database!$B4,FALSE()))</f>
        <v>0.06</v>
      </c>
      <c r="I12" s="57"/>
      <c r="J12" s="20" t="n">
        <f aca="false">IF(I12=0,G12*H12/100*F12,F12*G12*I12/1000)</f>
        <v>0.55107</v>
      </c>
      <c r="K12" s="7"/>
      <c r="L12" s="7"/>
      <c r="M12" s="68" t="n">
        <f aca="false">IF(E12="Rohbau",1,0)</f>
        <v>0</v>
      </c>
      <c r="N12" s="68" t="n">
        <f aca="false">IF(E12="G4.1",1,0)</f>
        <v>0</v>
      </c>
      <c r="O12" s="68" t="n">
        <f aca="false">IF(E12="G4.2",1,0)</f>
        <v>1</v>
      </c>
      <c r="P12" s="68" t="n">
        <f aca="false">IF(E12="G2.1",1,0)</f>
        <v>0</v>
      </c>
      <c r="Q12" s="68" t="n">
        <f aca="false">IF(E12="G2.2",1,0)</f>
        <v>0</v>
      </c>
      <c r="S12" s="7"/>
      <c r="T12" s="37" t="s">
        <v>292</v>
      </c>
      <c r="U12" s="54" t="str">
        <f aca="false">IF($AK$4=0,0,HLOOKUP($AK$4,'Daten-Zusammensetzung Bauteil'!$B$4:$BC$8,Database!$B4,FALSE()))</f>
        <v>Stahlblech verzinkt [kg]</v>
      </c>
      <c r="V12" s="55" t="str">
        <f aca="false">IF($AK$4=0,0,HLOOKUP($AK$4,'Daten-Funktion'!$B$4:$BC$8,Database!$B4,FALSE()))</f>
        <v>G4.2</v>
      </c>
      <c r="W12" s="54" t="n">
        <f aca="false">IF($AK$4=0,0,HLOOKUP($AK$4,'Daten-THGE'!$B$4:$BC$8,Database!$B4,FALSE()))</f>
        <v>0.117</v>
      </c>
      <c r="X12" s="54" t="n">
        <f aca="false">IF($AK$4=0,0,HLOOKUP($AK$4,'Daten-Dichte'!$B$4:$BC$8,Database!$B4,FALSE()))</f>
        <v>7850</v>
      </c>
      <c r="Y12" s="54" t="n">
        <f aca="false">IF($AK$4=0,0,HLOOKUP($AK$4,'Daten-Dicke'!$B$4:$BC$8,Database!$B4,FALSE()))</f>
        <v>0.06</v>
      </c>
      <c r="Z12" s="57"/>
      <c r="AA12" s="20" t="n">
        <f aca="false">IF(Z12=0,X12*Y12/100*W12,W12*X12*Z12/1000)</f>
        <v>0.55107</v>
      </c>
      <c r="AB12" s="7"/>
      <c r="AC12" s="7"/>
      <c r="AD12" s="68" t="n">
        <f aca="false">IF(V12="Rohbau",1,0)</f>
        <v>0</v>
      </c>
      <c r="AE12" s="68" t="n">
        <f aca="false">IF(V12="G4.1",1,0)</f>
        <v>0</v>
      </c>
      <c r="AF12" s="68" t="n">
        <f aca="false">IF(V12="G4.2",1,0)</f>
        <v>1</v>
      </c>
      <c r="AG12" s="68" t="n">
        <f aca="false">IF(V12="G2.1",1,0)</f>
        <v>0</v>
      </c>
      <c r="AH12" s="68" t="n">
        <v>0</v>
      </c>
      <c r="AJ12" s="76"/>
      <c r="AK12" s="76"/>
    </row>
    <row r="13" customFormat="false" ht="15.75" hidden="false" customHeight="false" outlineLevel="0" collapsed="false">
      <c r="B13" s="7"/>
      <c r="D13" s="54" t="str">
        <f aca="false">IF($AJ$4=0,0,HLOOKUP($AJ$4,'Daten-Zusammensetzung Bauteil'!$B$4:$BC$8,Database!$B5,FALSE()))</f>
        <v>Pulverbeschichten Stahl [m2]</v>
      </c>
      <c r="E13" s="55" t="str">
        <f aca="false">IF($AJ$4=0,0,HLOOKUP($AJ$4,'Daten-Funktion'!$B$4:$BC$8,Database!$B5,FALSE()))</f>
        <v>G4.2</v>
      </c>
      <c r="F13" s="54" t="n">
        <f aca="false">IF($AJ$4=0,0,HLOOKUP($AJ$4,'Daten-THGE'!$B$4:$BC$8,Database!$B5,FALSE()))</f>
        <v>1.5</v>
      </c>
      <c r="G13" s="54" t="n">
        <f aca="false">IF($AJ$4=0,0,HLOOKUP($AJ$4,'Daten-Dichte'!$B$4:$BC$8,Database!$B5,FALSE()))</f>
        <v>1000</v>
      </c>
      <c r="H13" s="54" t="n">
        <f aca="false">IF($AJ$4=0,0,HLOOKUP($AJ$4,'Daten-Dicke'!$B$4:$BC$8,Database!$B5,FALSE()))</f>
        <v>0.01</v>
      </c>
      <c r="I13" s="57"/>
      <c r="J13" s="20" t="n">
        <f aca="false">IF(I13=0,G13*H13/100*F13,F13*G13*I13/1000)</f>
        <v>0.15</v>
      </c>
      <c r="K13" s="7"/>
      <c r="L13" s="7"/>
      <c r="M13" s="68" t="n">
        <f aca="false">IF(E13="Rohbau",1,0)</f>
        <v>0</v>
      </c>
      <c r="N13" s="68" t="n">
        <f aca="false">IF(E13="G4.1",1,0)</f>
        <v>0</v>
      </c>
      <c r="O13" s="68" t="n">
        <f aca="false">IF(E13="G4.2",1,0)</f>
        <v>1</v>
      </c>
      <c r="P13" s="68" t="n">
        <f aca="false">IF(E13="G2.1",1,0)</f>
        <v>0</v>
      </c>
      <c r="Q13" s="68" t="n">
        <f aca="false">IF(E13="G2.2",1,0)</f>
        <v>0</v>
      </c>
      <c r="S13" s="7"/>
      <c r="U13" s="54" t="str">
        <f aca="false">IF($AK$4=0,0,HLOOKUP($AK$4,'Daten-Zusammensetzung Bauteil'!$B$4:$BC$8,Database!$B5,FALSE()))</f>
        <v>Pulverbeschichten Stahl [m2]</v>
      </c>
      <c r="V13" s="55" t="str">
        <f aca="false">IF($AK$4=0,0,HLOOKUP($AK$4,'Daten-Funktion'!$B$4:$BC$8,Database!$B5,FALSE()))</f>
        <v>G4.2</v>
      </c>
      <c r="W13" s="54" t="n">
        <f aca="false">IF($AK$4=0,0,HLOOKUP($AK$4,'Daten-THGE'!$B$4:$BC$8,Database!$B5,FALSE()))</f>
        <v>1.5</v>
      </c>
      <c r="X13" s="54" t="n">
        <f aca="false">IF($AK$4=0,0,HLOOKUP($AK$4,'Daten-Dichte'!$B$4:$BC$8,Database!$B5,FALSE()))</f>
        <v>1000</v>
      </c>
      <c r="Y13" s="54" t="n">
        <f aca="false">IF($AK$4=0,0,HLOOKUP($AK$4,'Daten-Dicke'!$B$4:$BC$8,Database!$B5,FALSE()))</f>
        <v>0.01</v>
      </c>
      <c r="Z13" s="57"/>
      <c r="AA13" s="20" t="n">
        <f aca="false">IF(Z13=0,X13*Y13/100*W13,W13*X13*Z13/1000)</f>
        <v>0.15</v>
      </c>
      <c r="AB13" s="7"/>
      <c r="AC13" s="7"/>
      <c r="AD13" s="68" t="n">
        <f aca="false">IF(V13="Rohbau",1,0)</f>
        <v>0</v>
      </c>
      <c r="AE13" s="68" t="n">
        <f aca="false">IF(V13="G4.1",1,0)</f>
        <v>0</v>
      </c>
      <c r="AF13" s="68" t="n">
        <f aca="false">IF(V13="G4.2",1,0)</f>
        <v>1</v>
      </c>
      <c r="AG13" s="68" t="n">
        <f aca="false">IF(V13="G2.1",1,0)</f>
        <v>0</v>
      </c>
      <c r="AH13" s="68" t="n">
        <v>0</v>
      </c>
      <c r="AJ13" s="76"/>
      <c r="AK13" s="76"/>
    </row>
    <row r="14" customFormat="false" ht="15.75" hidden="false" customHeight="false" outlineLevel="0" collapsed="false">
      <c r="B14" s="7"/>
      <c r="C14" s="7"/>
      <c r="D14" s="54" t="str">
        <f aca="false">IF($AJ$4=0,0,HLOOKUP($AJ$4,'Daten-Zusammensetzung Bauteil'!$B$4:$BC$8,Database!$B6,FALSE()))</f>
        <v>Akustikvlies [kg]</v>
      </c>
      <c r="E14" s="55" t="str">
        <f aca="false">IF($AJ$4=0,0,HLOOKUP($AJ$4,'Daten-Funktion'!$B$4:$BC$8,Database!$B6,FALSE()))</f>
        <v>G4.2</v>
      </c>
      <c r="F14" s="54" t="n">
        <f aca="false">IF($AJ$4=0,0,HLOOKUP($AJ$4,'Daten-THGE'!$B$4:$BC$8,Database!$B6,FALSE()))</f>
        <v>0.184333333333333</v>
      </c>
      <c r="G14" s="54" t="n">
        <f aca="false">IF($AJ$4=0,0,HLOOKUP($AJ$4,'Daten-Dichte'!$B$4:$BC$8,Database!$B6,FALSE()))</f>
        <v>920</v>
      </c>
      <c r="H14" s="54" t="n">
        <f aca="false">IF($AJ$4=0,0,HLOOKUP($AJ$4,'Daten-Dicke'!$B$4:$BC$8,Database!$B6,FALSE()))</f>
        <v>0.00815217391304348</v>
      </c>
      <c r="I14" s="57"/>
      <c r="J14" s="20" t="n">
        <f aca="false">IF(I14=0,G14*H14/100*F14,F14*G14*I14/1000)</f>
        <v>0.013825</v>
      </c>
      <c r="K14" s="7"/>
      <c r="L14" s="7"/>
      <c r="M14" s="68" t="n">
        <f aca="false">IF(E14="Rohbau",1,0)</f>
        <v>0</v>
      </c>
      <c r="N14" s="68" t="n">
        <f aca="false">IF(E14="G4.1",1,0)</f>
        <v>0</v>
      </c>
      <c r="O14" s="68" t="n">
        <f aca="false">IF(E14="G4.2",1,0)</f>
        <v>1</v>
      </c>
      <c r="P14" s="68" t="n">
        <f aca="false">IF(E14="G2.1",1,0)</f>
        <v>0</v>
      </c>
      <c r="Q14" s="68" t="n">
        <f aca="false">IF(E14="G2.2",1,0)</f>
        <v>0</v>
      </c>
      <c r="S14" s="7"/>
      <c r="T14" s="7"/>
      <c r="U14" s="54" t="str">
        <f aca="false">IF($AK$4=0,0,HLOOKUP($AK$4,'Daten-Zusammensetzung Bauteil'!$B$4:$BC$8,Database!$B6,FALSE()))</f>
        <v>Akustikvlies [kg]</v>
      </c>
      <c r="V14" s="55" t="str">
        <f aca="false">IF($AK$4=0,0,HLOOKUP($AK$4,'Daten-Funktion'!$B$4:$BC$8,Database!$B6,FALSE()))</f>
        <v>G4.2</v>
      </c>
      <c r="W14" s="54" t="n">
        <f aca="false">IF($AK$4=0,0,HLOOKUP($AK$4,'Daten-THGE'!$B$4:$BC$8,Database!$B6,FALSE()))</f>
        <v>0.184333333333333</v>
      </c>
      <c r="X14" s="54" t="n">
        <f aca="false">IF($AK$4=0,0,HLOOKUP($AK$4,'Daten-Dichte'!$B$4:$BC$8,Database!$B6,FALSE()))</f>
        <v>920</v>
      </c>
      <c r="Y14" s="54" t="n">
        <f aca="false">IF($AK$4=0,0,HLOOKUP($AK$4,'Daten-Dicke'!$B$4:$BC$8,Database!$B6,FALSE()))</f>
        <v>0.00815217391304348</v>
      </c>
      <c r="Z14" s="57"/>
      <c r="AA14" s="20" t="n">
        <f aca="false">IF(Z14=0,X14*Y14/100*W14,W14*X14*Z14/1000)</f>
        <v>0.013825</v>
      </c>
      <c r="AB14" s="7"/>
      <c r="AC14" s="7"/>
      <c r="AD14" s="68" t="n">
        <f aca="false">IF(V14="Rohbau",1,0)</f>
        <v>0</v>
      </c>
      <c r="AE14" s="68" t="n">
        <f aca="false">IF(V14="G4.1",1,0)</f>
        <v>0</v>
      </c>
      <c r="AF14" s="68" t="n">
        <f aca="false">IF(V14="G4.2",1,0)</f>
        <v>1</v>
      </c>
      <c r="AG14" s="68" t="n">
        <f aca="false">IF(V14="G2.1",1,0)</f>
        <v>0</v>
      </c>
      <c r="AH14" s="68" t="n">
        <v>0</v>
      </c>
      <c r="AJ14" s="76"/>
      <c r="AK14" s="76"/>
    </row>
    <row r="15" customFormat="false" ht="15.75" hidden="false" customHeight="false" outlineLevel="0" collapsed="false">
      <c r="C15" s="7"/>
      <c r="D15" s="54" t="str">
        <f aca="false">IF($AJ$4=0,0,HLOOKUP($AJ$4,'Daten-Zusammensetzung Bauteil'!$B$4:$BC$8,Database!$B7,FALSE()))</f>
        <v>Stahlprofile verzinkt [kg]</v>
      </c>
      <c r="E15" s="55" t="str">
        <f aca="false">IF($AJ$4=0,0,HLOOKUP($AJ$4,'Daten-Funktion'!$B$4:$BC$8,Database!$B7,FALSE()))</f>
        <v>G4.1</v>
      </c>
      <c r="F15" s="54" t="n">
        <f aca="false">IF($AJ$4=0,0,HLOOKUP($AJ$4,'Daten-THGE'!$B$4:$BC$8,Database!$B7,FALSE()))</f>
        <v>0.0244666666666667</v>
      </c>
      <c r="G15" s="54" t="n">
        <f aca="false">IF($AJ$4=0,0,HLOOKUP($AJ$4,'Daten-Dichte'!$B$4:$BC$8,Database!$B7,FALSE()))</f>
        <v>7850</v>
      </c>
      <c r="H15" s="54" t="n">
        <f aca="false">IF($AJ$4=0,0,HLOOKUP($AJ$4,'Daten-Dicke'!$B$4:$BC$8,Database!$B7,FALSE()))</f>
        <v>0.0280254777070064</v>
      </c>
      <c r="I15" s="57"/>
      <c r="J15" s="20" t="n">
        <f aca="false">IF(I15=0,G15*H15/100*F15,F15*G15*I15/1000)</f>
        <v>0.0538266666666667</v>
      </c>
      <c r="M15" s="68" t="n">
        <f aca="false">IF(E15="Rohbau",1,0)</f>
        <v>0</v>
      </c>
      <c r="N15" s="68" t="n">
        <f aca="false">IF(E15="G4.1",1,0)</f>
        <v>1</v>
      </c>
      <c r="O15" s="68" t="n">
        <f aca="false">IF(E15="G4.2",1,0)</f>
        <v>0</v>
      </c>
      <c r="P15" s="68" t="n">
        <f aca="false">IF(E15="G2.1",1,0)</f>
        <v>0</v>
      </c>
      <c r="Q15" s="68" t="n">
        <f aca="false">IF(E15="G2.2",1,0)</f>
        <v>0</v>
      </c>
      <c r="T15" s="7"/>
      <c r="U15" s="54" t="str">
        <f aca="false">IF($AK$4=0,0,HLOOKUP($AK$4,'Daten-Zusammensetzung Bauteil'!$B$4:$BC$8,Database!$B7,FALSE()))</f>
        <v>Stahlprofile verzinkt [kg]</v>
      </c>
      <c r="V15" s="55" t="str">
        <f aca="false">IF($AK$4=0,0,HLOOKUP($AK$4,'Daten-Funktion'!$B$4:$BC$8,Database!$B7,FALSE()))</f>
        <v>G4.1</v>
      </c>
      <c r="W15" s="54" t="n">
        <f aca="false">IF($AK$4=0,0,HLOOKUP($AK$4,'Daten-THGE'!$B$4:$BC$8,Database!$B7,FALSE()))</f>
        <v>0.0244666666666667</v>
      </c>
      <c r="X15" s="54" t="n">
        <f aca="false">IF($AK$4=0,0,HLOOKUP($AK$4,'Daten-Dichte'!$B$4:$BC$8,Database!$B7,FALSE()))</f>
        <v>7850</v>
      </c>
      <c r="Y15" s="54" t="n">
        <f aca="false">IF($AK$4=0,0,HLOOKUP($AK$4,'Daten-Dicke'!$B$4:$BC$8,Database!$B7,FALSE()))</f>
        <v>0.0280254777070064</v>
      </c>
      <c r="Z15" s="57"/>
      <c r="AA15" s="20" t="n">
        <f aca="false">IF(Z15=0,X15*Y15/100*W15,W15*X15*Z15/1000)</f>
        <v>0.0538266666666667</v>
      </c>
      <c r="AD15" s="68" t="n">
        <f aca="false">IF(V15="Rohbau",1,0)</f>
        <v>0</v>
      </c>
      <c r="AE15" s="68" t="n">
        <f aca="false">IF(V15="G4.1",1,0)</f>
        <v>1</v>
      </c>
      <c r="AF15" s="68" t="n">
        <f aca="false">IF(V15="G4.2",1,0)</f>
        <v>0</v>
      </c>
      <c r="AG15" s="68" t="n">
        <f aca="false">IF(V15="G2.1",1,0)</f>
        <v>0</v>
      </c>
      <c r="AH15" s="68" t="n">
        <v>0</v>
      </c>
    </row>
    <row r="16" customFormat="false" ht="15.75" hidden="false" customHeight="false" outlineLevel="0" collapsed="false">
      <c r="D16" s="54"/>
      <c r="E16" s="55"/>
      <c r="J16" s="20"/>
      <c r="AA16" s="20"/>
      <c r="AD16" s="51"/>
      <c r="AE16" s="51"/>
      <c r="AF16" s="51"/>
      <c r="AG16" s="51"/>
      <c r="AH16" s="51"/>
    </row>
    <row r="17" customFormat="false" ht="15.75" hidden="false" customHeight="false" outlineLevel="0" collapsed="false">
      <c r="C17" s="37" t="s">
        <v>293</v>
      </c>
      <c r="D17" s="54" t="str">
        <f aca="false">IF($AJ$5=0,0,HLOOKUP($AJ$5,'Daten-Zusammensetzung Bauteil'!$B$4:$BC$9,Database!$B4,FALSE()))</f>
        <v>Keramikplatten 9mm [m2]</v>
      </c>
      <c r="E17" s="55" t="str">
        <f aca="false">IF($AJ$5=0,0,HLOOKUP($AJ$5,'Daten-Funktion'!$B$4:$BC$9,Database!$B4,FALSE()))</f>
        <v>G2.2</v>
      </c>
      <c r="F17" s="54" t="n">
        <f aca="false">IF($AJ$5=0,0,HLOOKUP($AJ$5,'Daten-THGE'!$B$4:$BC$9,Database!$B4,FALSE()))</f>
        <v>0.0259259259259259</v>
      </c>
      <c r="G17" s="54" t="n">
        <f aca="false">IF($AJ$5=0,0,HLOOKUP($AJ$5,'Daten-Dichte'!$B$4:$BC$9,Database!$B4,FALSE()))</f>
        <v>2000</v>
      </c>
      <c r="H17" s="54" t="n">
        <f aca="false">IF($AJ$5=0,0,HLOOKUP($AJ$5,'Daten-Dicke'!$B$4:$BC$9,Database!$B4,FALSE()))</f>
        <v>0.9</v>
      </c>
      <c r="I17" s="57"/>
      <c r="J17" s="20" t="n">
        <f aca="false">IF(I17=0,G17*H17/100*F17,F17*G17*I17/1000)</f>
        <v>0.466666666666667</v>
      </c>
      <c r="M17" s="68" t="n">
        <f aca="false">IF(E17="Rohbau",1,0)</f>
        <v>0</v>
      </c>
      <c r="N17" s="68" t="n">
        <f aca="false">IF(E17="G4.1",1,0)</f>
        <v>0</v>
      </c>
      <c r="O17" s="68" t="n">
        <f aca="false">IF(E17="G4.2",1,0)</f>
        <v>0</v>
      </c>
      <c r="P17" s="68" t="n">
        <f aca="false">IF(E17="G2.1",1,0)</f>
        <v>0</v>
      </c>
      <c r="Q17" s="68" t="n">
        <f aca="false">IF(E17="G2.2",1,0)</f>
        <v>1</v>
      </c>
      <c r="T17" s="37" t="s">
        <v>293</v>
      </c>
      <c r="U17" s="54" t="str">
        <f aca="false">IF($AK$5=0,0,HLOOKUP($AK$5,'Daten-Zusammensetzung Bauteil'!$B$4:$BC$9,Database!$B4,FALSE()))</f>
        <v>Keramikplatten 9mm [m2]</v>
      </c>
      <c r="V17" s="55" t="str">
        <f aca="false">IF($AK$5=0,0,HLOOKUP($AK$5,'Daten-Funktion'!$B$4:$BC$9,Database!$B4,FALSE()))</f>
        <v>G2.2</v>
      </c>
      <c r="W17" s="54" t="n">
        <f aca="false">IF($AK$5=0,0,HLOOKUP($AK$5,'Daten-THGE'!$B$4:$BC$9,Database!$B4,FALSE()))</f>
        <v>0.0259259259259259</v>
      </c>
      <c r="X17" s="54" t="n">
        <f aca="false">IF($AK$5=0,0,HLOOKUP($AK$5,'Daten-Dichte'!$B$4:$BC$9,Database!$B4,FALSE()))</f>
        <v>2000</v>
      </c>
      <c r="Y17" s="54" t="n">
        <f aca="false">IF($AK$5=0,0,HLOOKUP($AK$5,'Daten-Dicke'!$B$4:$BC$9,Database!$B4,FALSE()))</f>
        <v>0.9</v>
      </c>
      <c r="Z17" s="57"/>
      <c r="AA17" s="20" t="n">
        <f aca="false">IF(Z17=0,X17*Y17/100*W17,W17*X17*Z17/1000)</f>
        <v>0.466666666666667</v>
      </c>
      <c r="AD17" s="68" t="n">
        <f aca="false">IF(V17="Rohbau",1,0)</f>
        <v>0</v>
      </c>
      <c r="AE17" s="68" t="n">
        <f aca="false">IF(V17="G4.1",1,0)</f>
        <v>0</v>
      </c>
      <c r="AF17" s="68" t="n">
        <f aca="false">IF(V17="G4.2",1,0)</f>
        <v>0</v>
      </c>
      <c r="AG17" s="68" t="n">
        <f aca="false">IF(V17="G2.1",1,0)</f>
        <v>0</v>
      </c>
      <c r="AH17" s="68" t="n">
        <f aca="false">IF(V17="G2.2",1,0)</f>
        <v>1</v>
      </c>
    </row>
    <row r="18" customFormat="false" ht="15.75" hidden="false" customHeight="false" outlineLevel="0" collapsed="false">
      <c r="D18" s="54" t="str">
        <f aca="false">IF($AJ$5=0,0,HLOOKUP($AJ$5,'Daten-Zusammensetzung Bauteil'!$B$4:$BC$9,Database!$B5,FALSE()))</f>
        <v>Klebemörtel [kg]</v>
      </c>
      <c r="E18" s="55" t="str">
        <f aca="false">IF($AJ$5=0,0,HLOOKUP($AJ$5,'Daten-Funktion'!$B$4:$BC$9,Database!$B5,FALSE()))</f>
        <v>G2.2</v>
      </c>
      <c r="F18" s="54" t="n">
        <f aca="false">IF($AJ$5=0,0,HLOOKUP($AJ$5,'Daten-THGE'!$B$4:$BC$9,Database!$B5,FALSE()))</f>
        <v>0.0135333333333333</v>
      </c>
      <c r="G18" s="54" t="n">
        <f aca="false">IF($AJ$5=0,0,HLOOKUP($AJ$5,'Daten-Dichte'!$B$4:$BC$9,Database!$B5,FALSE()))</f>
        <v>1400</v>
      </c>
      <c r="H18" s="54" t="n">
        <f aca="false">IF($AJ$5=0,0,HLOOKUP($AJ$5,'Daten-Dicke'!$B$4:$BC$9,Database!$B5,FALSE()))</f>
        <v>0.928571428571429</v>
      </c>
      <c r="I18" s="57"/>
      <c r="J18" s="20" t="n">
        <f aca="false">IF(I18=0,G18*H18/100*F18,F18*G18*I18/1000)</f>
        <v>0.175933333333333</v>
      </c>
      <c r="M18" s="68" t="n">
        <f aca="false">IF(E18="Rohbau",1,0)</f>
        <v>0</v>
      </c>
      <c r="N18" s="68" t="n">
        <f aca="false">IF(E18="G4.1",1,0)</f>
        <v>0</v>
      </c>
      <c r="O18" s="68" t="n">
        <f aca="false">IF(E18="G4.2",1,0)</f>
        <v>0</v>
      </c>
      <c r="P18" s="68" t="n">
        <f aca="false">IF(E18="G2.1",1,0)</f>
        <v>0</v>
      </c>
      <c r="Q18" s="68" t="n">
        <f aca="false">IF(E18="G2.2",1,0)</f>
        <v>1</v>
      </c>
      <c r="U18" s="54" t="str">
        <f aca="false">IF($AK$5=0,0,HLOOKUP($AK$5,'Daten-Zusammensetzung Bauteil'!$B$4:$BC$9,Database!$B5,FALSE()))</f>
        <v>Klebemörtel [kg]</v>
      </c>
      <c r="V18" s="55" t="str">
        <f aca="false">IF($AK$5=0,0,HLOOKUP($AK$5,'Daten-Funktion'!$B$4:$BC$9,Database!$B5,FALSE()))</f>
        <v>G2.2</v>
      </c>
      <c r="W18" s="54" t="n">
        <f aca="false">IF($AK$5=0,0,HLOOKUP($AK$5,'Daten-THGE'!$B$4:$BC$9,Database!$B5,FALSE()))</f>
        <v>0.0135333333333333</v>
      </c>
      <c r="X18" s="54" t="n">
        <f aca="false">IF($AK$5=0,0,HLOOKUP($AK$5,'Daten-Dichte'!$B$4:$BC$9,Database!$B5,FALSE()))</f>
        <v>1400</v>
      </c>
      <c r="Y18" s="54" t="n">
        <f aca="false">IF($AK$5=0,0,HLOOKUP($AK$5,'Daten-Dicke'!$B$4:$BC$9,Database!$B5,FALSE()))</f>
        <v>0.928571428571429</v>
      </c>
      <c r="Z18" s="57"/>
      <c r="AA18" s="20" t="n">
        <f aca="false">IF(Z18=0,X18*Y18/100*W18,W18*X18*Z18/1000)</f>
        <v>0.175933333333333</v>
      </c>
      <c r="AD18" s="68" t="n">
        <f aca="false">IF(V18="Rohbau",1,0)</f>
        <v>0</v>
      </c>
      <c r="AE18" s="68" t="n">
        <f aca="false">IF(V18="G4.1",1,0)</f>
        <v>0</v>
      </c>
      <c r="AF18" s="68" t="n">
        <f aca="false">IF(V18="G4.2",1,0)</f>
        <v>0</v>
      </c>
      <c r="AG18" s="68" t="n">
        <f aca="false">IF(V18="G2.1",1,0)</f>
        <v>0</v>
      </c>
      <c r="AH18" s="68" t="n">
        <f aca="false">IF(V18="G2.2",1,0)</f>
        <v>1</v>
      </c>
    </row>
    <row r="19" customFormat="false" ht="15.75" hidden="false" customHeight="false" outlineLevel="0" collapsed="false">
      <c r="D19" s="54" t="str">
        <f aca="false">IF($AJ$5=0,0,HLOOKUP($AJ$5,'Daten-Zusammensetzung Bauteil'!$B$4:$BC$9,Database!$B6,FALSE()))</f>
        <v>Zementunterlagsboden 7cm [kg]</v>
      </c>
      <c r="E19" s="55" t="str">
        <f aca="false">IF($AJ$5=0,0,HLOOKUP($AJ$5,'Daten-Funktion'!$B$4:$BC$9,Database!$B6,FALSE()))</f>
        <v>G2.1</v>
      </c>
      <c r="F19" s="54" t="n">
        <f aca="false">IF($AJ$5=0,0,HLOOKUP($AJ$5,'Daten-THGE'!$B$4:$BC$9,Database!$B6,FALSE()))</f>
        <v>0.0043</v>
      </c>
      <c r="G19" s="54" t="n">
        <f aca="false">IF($AJ$5=0,0,HLOOKUP($AJ$5,'Daten-Dichte'!$B$4:$BC$9,Database!$B6,FALSE()))</f>
        <v>1700</v>
      </c>
      <c r="H19" s="54" t="n">
        <f aca="false">IF($AJ$5=0,0,HLOOKUP($AJ$5,'Daten-Dicke'!$B$4:$BC$9,Database!$B6,FALSE()))</f>
        <v>7.61764705882353</v>
      </c>
      <c r="I19" s="57"/>
      <c r="J19" s="20" t="n">
        <f aca="false">IF(I19=0,G19*H19/100*F19,F19*G19*I19/1000)</f>
        <v>0.55685</v>
      </c>
      <c r="M19" s="68" t="n">
        <f aca="false">IF(E19="Rohbau",1,0)</f>
        <v>0</v>
      </c>
      <c r="N19" s="68" t="n">
        <f aca="false">IF(E19="G4.1",1,0)</f>
        <v>0</v>
      </c>
      <c r="O19" s="68" t="n">
        <f aca="false">IF(E19="G4.2",1,0)</f>
        <v>0</v>
      </c>
      <c r="P19" s="68" t="n">
        <f aca="false">IF(E19="G2.1",1,0)</f>
        <v>1</v>
      </c>
      <c r="Q19" s="68" t="n">
        <f aca="false">IF(E19="G2.2",1,0)</f>
        <v>0</v>
      </c>
      <c r="U19" s="54" t="str">
        <f aca="false">IF($AK$5=0,0,HLOOKUP($AK$5,'Daten-Zusammensetzung Bauteil'!$B$4:$BC$9,Database!$B6,FALSE()))</f>
        <v>Zementunterlagsboden 7cm [kg]</v>
      </c>
      <c r="V19" s="55" t="str">
        <f aca="false">IF($AK$5=0,0,HLOOKUP($AK$5,'Daten-Funktion'!$B$4:$BC$9,Database!$B6,FALSE()))</f>
        <v>G2.1</v>
      </c>
      <c r="W19" s="54" t="n">
        <f aca="false">IF($AK$5=0,0,HLOOKUP($AK$5,'Daten-THGE'!$B$4:$BC$9,Database!$B6,FALSE()))</f>
        <v>0.0043</v>
      </c>
      <c r="X19" s="54" t="n">
        <f aca="false">IF($AK$5=0,0,HLOOKUP($AK$5,'Daten-Dichte'!$B$4:$BC$9,Database!$B6,FALSE()))</f>
        <v>1700</v>
      </c>
      <c r="Y19" s="54" t="n">
        <f aca="false">IF($AK$5=0,0,HLOOKUP($AK$5,'Daten-Dicke'!$B$4:$BC$9,Database!$B6,FALSE()))</f>
        <v>7.61764705882353</v>
      </c>
      <c r="Z19" s="57"/>
      <c r="AA19" s="20" t="n">
        <f aca="false">IF(Z19=0,X19*Y19/100*W19,W19*X19*Z19/1000)</f>
        <v>0.55685</v>
      </c>
      <c r="AD19" s="68" t="n">
        <f aca="false">IF(V19="Rohbau",1,0)</f>
        <v>0</v>
      </c>
      <c r="AE19" s="68" t="n">
        <f aca="false">IF(V19="G4.1",1,0)</f>
        <v>0</v>
      </c>
      <c r="AF19" s="68" t="n">
        <f aca="false">IF(V19="G4.2",1,0)</f>
        <v>0</v>
      </c>
      <c r="AG19" s="68" t="n">
        <f aca="false">IF(V19="G2.1",1,0)</f>
        <v>1</v>
      </c>
      <c r="AH19" s="68" t="n">
        <f aca="false">IF(V19="G2.2",1,0)</f>
        <v>0</v>
      </c>
    </row>
    <row r="20" customFormat="false" ht="15.75" hidden="false" customHeight="false" outlineLevel="0" collapsed="false">
      <c r="D20" s="54" t="str">
        <f aca="false">IF($AJ$5=0,0,HLOOKUP($AJ$5,'Daten-Zusammensetzung Bauteil'!$B$4:$BC$9,Database!$B7,FALSE()))</f>
        <v>PE-Folie</v>
      </c>
      <c r="E20" s="55" t="str">
        <f aca="false">IF($AJ$5=0,0,HLOOKUP($AJ$5,'Daten-Funktion'!$B$4:$BC$9,Database!$B7,FALSE()))</f>
        <v>G2.1</v>
      </c>
      <c r="F20" s="54" t="n">
        <f aca="false">IF($AJ$5=0,0,HLOOKUP($AJ$5,'Daten-THGE'!$B$4:$BC$9,Database!$B7,FALSE()))</f>
        <v>0.177666666666667</v>
      </c>
      <c r="G20" s="54" t="n">
        <f aca="false">IF($AJ$5=0,0,HLOOKUP($AJ$5,'Daten-Dichte'!$B$4:$BC$9,Database!$B7,FALSE()))</f>
        <v>920</v>
      </c>
      <c r="H20" s="54" t="n">
        <f aca="false">IF($AJ$5=0,0,HLOOKUP($AJ$5,'Daten-Dicke'!$B$4:$BC$9,Database!$B7,FALSE()))</f>
        <v>0.016304347826087</v>
      </c>
      <c r="I20" s="57"/>
      <c r="J20" s="20" t="n">
        <f aca="false">IF(I20=0,G20*H20/100*F20,F20*G20*I20/1000)</f>
        <v>0.02665</v>
      </c>
      <c r="M20" s="68" t="n">
        <f aca="false">IF(E20="Rohbau",1,0)</f>
        <v>0</v>
      </c>
      <c r="N20" s="68" t="n">
        <f aca="false">IF(E20="G4.1",1,0)</f>
        <v>0</v>
      </c>
      <c r="O20" s="68" t="n">
        <f aca="false">IF(E20="G4.2",1,0)</f>
        <v>0</v>
      </c>
      <c r="P20" s="68" t="n">
        <f aca="false">IF(E20="G2.1",1,0)</f>
        <v>1</v>
      </c>
      <c r="Q20" s="68" t="n">
        <f aca="false">IF(E20="G2.2",1,0)</f>
        <v>0</v>
      </c>
      <c r="U20" s="54" t="str">
        <f aca="false">IF($AK$5=0,0,HLOOKUP($AK$5,'Daten-Zusammensetzung Bauteil'!$B$4:$BC$9,Database!$B7,FALSE()))</f>
        <v>PE-Folie</v>
      </c>
      <c r="V20" s="55" t="str">
        <f aca="false">IF($AK$5=0,0,HLOOKUP($AK$5,'Daten-Funktion'!$B$4:$BC$9,Database!$B7,FALSE()))</f>
        <v>G2.1</v>
      </c>
      <c r="W20" s="54" t="n">
        <f aca="false">IF($AK$5=0,0,HLOOKUP($AK$5,'Daten-THGE'!$B$4:$BC$9,Database!$B7,FALSE()))</f>
        <v>0.177666666666667</v>
      </c>
      <c r="X20" s="54" t="n">
        <f aca="false">IF($AK$5=0,0,HLOOKUP($AK$5,'Daten-Dichte'!$B$4:$BC$9,Database!$B7,FALSE()))</f>
        <v>920</v>
      </c>
      <c r="Y20" s="54" t="n">
        <f aca="false">IF($AK$5=0,0,HLOOKUP($AK$5,'Daten-Dicke'!$B$4:$BC$9,Database!$B7,FALSE()))</f>
        <v>0.016304347826087</v>
      </c>
      <c r="Z20" s="57"/>
      <c r="AA20" s="20" t="n">
        <f aca="false">IF(Z20=0,X20*Y20/100*W20,W20*X20*Z20/1000)</f>
        <v>0.02665</v>
      </c>
      <c r="AD20" s="68" t="n">
        <f aca="false">IF(V20="Rohbau",1,0)</f>
        <v>0</v>
      </c>
      <c r="AE20" s="68" t="n">
        <f aca="false">IF(V20="G4.1",1,0)</f>
        <v>0</v>
      </c>
      <c r="AF20" s="68" t="n">
        <f aca="false">IF(V20="G4.2",1,0)</f>
        <v>0</v>
      </c>
      <c r="AG20" s="68" t="n">
        <f aca="false">IF(V20="G2.1",1,0)</f>
        <v>1</v>
      </c>
      <c r="AH20" s="68" t="n">
        <f aca="false">IF(V20="G2.2",1,0)</f>
        <v>0</v>
      </c>
    </row>
    <row r="21" customFormat="false" ht="15.75" hidden="false" customHeight="false" outlineLevel="0" collapsed="false">
      <c r="D21" s="54" t="str">
        <f aca="false">IF($AJ$5=0,0,HLOOKUP($AJ$5,'Daten-Zusammensetzung Bauteil'!$B$4:$BC$9,Database!$B8,FALSE()))</f>
        <v>Trittschall 2cm EPS</v>
      </c>
      <c r="E21" s="55" t="str">
        <f aca="false">IF($AJ$5=0,0,HLOOKUP($AJ$5,'Daten-Funktion'!$B$4:$BC$9,Database!$B8,FALSE()))</f>
        <v>G2.1</v>
      </c>
      <c r="F21" s="54" t="n">
        <f aca="false">IF($AJ$5=0,0,HLOOKUP($AJ$5,'Daten-THGE'!$B$4:$BC$9,Database!$B8,FALSE()))</f>
        <v>0.254666666666667</v>
      </c>
      <c r="G21" s="54" t="n">
        <f aca="false">IF($AJ$5=0,0,HLOOKUP($AJ$5,'Daten-Dichte'!$B$4:$BC$9,Database!$B8,FALSE()))</f>
        <v>13</v>
      </c>
      <c r="H21" s="54" t="n">
        <f aca="false">IF($AJ$5=0,0,HLOOKUP($AJ$5,'Daten-Dicke'!$B$4:$BC$9,Database!$B8,FALSE()))</f>
        <v>2</v>
      </c>
      <c r="I21" s="57"/>
      <c r="J21" s="20" t="n">
        <f aca="false">IF(I21=0,G21*H21/100*F21,F21*G21*I21/1000)</f>
        <v>0.0662133333333333</v>
      </c>
      <c r="M21" s="68" t="n">
        <f aca="false">IF(E21="Rohbau",1,0)</f>
        <v>0</v>
      </c>
      <c r="N21" s="68" t="n">
        <f aca="false">IF(E21="G4.1",1,0)</f>
        <v>0</v>
      </c>
      <c r="O21" s="68" t="n">
        <f aca="false">IF(E21="G4.2",1,0)</f>
        <v>0</v>
      </c>
      <c r="P21" s="68" t="n">
        <f aca="false">IF(E21="G2.1",1,0)</f>
        <v>1</v>
      </c>
      <c r="Q21" s="68" t="n">
        <f aca="false">IF(E21="G2.2",1,0)</f>
        <v>0</v>
      </c>
      <c r="U21" s="54" t="str">
        <f aca="false">IF($AK$5=0,0,HLOOKUP($AK$5,'Daten-Zusammensetzung Bauteil'!$B$4:$BC$9,Database!$B8,FALSE()))</f>
        <v>Trittschall 2cm EPS</v>
      </c>
      <c r="V21" s="55" t="str">
        <f aca="false">IF($AK$5=0,0,HLOOKUP($AK$5,'Daten-Funktion'!$B$4:$BC$9,Database!$B8,FALSE()))</f>
        <v>G2.1</v>
      </c>
      <c r="W21" s="54" t="n">
        <f aca="false">IF($AK$5=0,0,HLOOKUP($AK$5,'Daten-THGE'!$B$4:$BC$9,Database!$B8,FALSE()))</f>
        <v>0.254666666666667</v>
      </c>
      <c r="X21" s="54" t="n">
        <f aca="false">IF($AK$5=0,0,HLOOKUP($AK$5,'Daten-Dichte'!$B$4:$BC$9,Database!$B8,FALSE()))</f>
        <v>13</v>
      </c>
      <c r="Y21" s="54" t="n">
        <f aca="false">IF($AK$5=0,0,HLOOKUP($AK$5,'Daten-Dicke'!$B$4:$BC$9,Database!$B8,FALSE()))</f>
        <v>2</v>
      </c>
      <c r="Z21" s="57"/>
      <c r="AA21" s="20" t="n">
        <f aca="false">IF(Z21=0,X21*Y21/100*W21,W21*X21*Z21/1000)</f>
        <v>0.0662133333333333</v>
      </c>
      <c r="AD21" s="68" t="n">
        <f aca="false">IF(V21="Rohbau",1,0)</f>
        <v>0</v>
      </c>
      <c r="AE21" s="68" t="n">
        <f aca="false">IF(V21="G4.1",1,0)</f>
        <v>0</v>
      </c>
      <c r="AF21" s="68" t="n">
        <f aca="false">IF(V21="G4.2",1,0)</f>
        <v>0</v>
      </c>
      <c r="AG21" s="68" t="n">
        <f aca="false">IF(V21="G2.1",1,0)</f>
        <v>1</v>
      </c>
      <c r="AH21" s="68" t="n">
        <f aca="false">IF(V21="G2.2",1,0)</f>
        <v>0</v>
      </c>
    </row>
    <row r="22" customFormat="false" ht="15.75" hidden="false" customHeight="false" outlineLevel="0" collapsed="false">
      <c r="D22" s="54"/>
      <c r="E22" s="55"/>
      <c r="M22" s="68" t="n">
        <f aca="false">IF(K4=0,0,SUMPRODUCT(J4:J21*M4:M21)/SUM(J4:J21))</f>
        <v>0.175428966310442</v>
      </c>
      <c r="N22" s="68" t="n">
        <f aca="false">IF(K4=0,0,SUMPRODUCT(J4:J21*N4:N21)/SUM(J4:J21))</f>
        <v>0.0602670336374684</v>
      </c>
      <c r="O22" s="68" t="n">
        <f aca="false">IF(K4=0,0,SUMPRODUCT(J4:J21*O4:O21)/SUM(J4:J21))</f>
        <v>0.289775000190301</v>
      </c>
      <c r="P22" s="68" t="n">
        <f aca="false">IF(K4=0,0,SUMPRODUCT(J4:J21*P4:P21)/SUM(J4:J21))</f>
        <v>0.23857048465816</v>
      </c>
      <c r="Q22" s="68" t="n">
        <f aca="false">IF(K4=0,0,SUMPRODUCT(J4:J21*Q4:Q21)/SUM(J4:J21))</f>
        <v>0.235958515203629</v>
      </c>
      <c r="R22" s="78" t="n">
        <f aca="false">SUM(M22:Q22)</f>
        <v>1</v>
      </c>
      <c r="AD22" s="68" t="n">
        <f aca="false">IF(AB4=0,0,SUMPRODUCT(AA4:AA21*AD4:AD21)/SUM(AA4:AA21))</f>
        <v>0</v>
      </c>
      <c r="AE22" s="68" t="n">
        <f aca="false">IF(AB4=0,0,SUMPRODUCT(AA4:AA21*AE4:AE21)/SUM(AA4:AA21))</f>
        <v>0</v>
      </c>
      <c r="AF22" s="68" t="n">
        <f aca="false">IF(AB4=0,0,SUMPRODUCT(AA4:AA21*AF4:AF21)/SUM(AA4:AA21))</f>
        <v>0</v>
      </c>
      <c r="AG22" s="68" t="n">
        <f aca="false">IF(AB4=0,0,SUMPRODUCT(AA4:AA21*AG4:AG21)/SUM(AA4:AA21))</f>
        <v>0</v>
      </c>
      <c r="AH22" s="68" t="n">
        <f aca="false">IF(AB4=0,0,SUMPRODUCT(AA4:AA21*AH4:AH21)/SUM(AA4:AA21))</f>
        <v>0</v>
      </c>
      <c r="AI22" s="78" t="n">
        <f aca="false">SUM(AD22:AH22)</f>
        <v>0</v>
      </c>
    </row>
    <row r="23" customFormat="false" ht="15" hidden="false" customHeight="false" outlineLevel="0" collapsed="false">
      <c r="B23" s="59" t="s">
        <v>265</v>
      </c>
      <c r="C23" s="59"/>
      <c r="S23" s="59" t="s">
        <v>265</v>
      </c>
      <c r="T23" s="59"/>
    </row>
    <row r="24" customFormat="false" ht="20.25" hidden="false" customHeight="false" outlineLevel="0" collapsed="false">
      <c r="B24" s="6" t="s">
        <v>256</v>
      </c>
      <c r="C24" s="6"/>
      <c r="D24" s="37" t="s">
        <v>257</v>
      </c>
      <c r="E24" s="52"/>
      <c r="F24" s="37" t="s">
        <v>259</v>
      </c>
      <c r="G24" s="37" t="s">
        <v>260</v>
      </c>
      <c r="H24" s="37" t="s">
        <v>261</v>
      </c>
      <c r="I24" s="53" t="s">
        <v>262</v>
      </c>
      <c r="J24" s="37" t="s">
        <v>263</v>
      </c>
      <c r="K24" s="8" t="s">
        <v>102</v>
      </c>
      <c r="L24" s="7"/>
      <c r="S24" s="6" t="s">
        <v>256</v>
      </c>
      <c r="T24" s="6"/>
      <c r="U24" s="37" t="s">
        <v>257</v>
      </c>
      <c r="V24" s="52"/>
      <c r="W24" s="37" t="s">
        <v>259</v>
      </c>
      <c r="X24" s="37" t="s">
        <v>260</v>
      </c>
      <c r="Y24" s="37" t="s">
        <v>261</v>
      </c>
      <c r="Z24" s="53" t="s">
        <v>262</v>
      </c>
      <c r="AA24" s="37" t="s">
        <v>263</v>
      </c>
      <c r="AB24" s="8" t="s">
        <v>102</v>
      </c>
      <c r="AC24" s="7"/>
    </row>
    <row r="25" customFormat="false" ht="15.75" hidden="false" customHeight="false" outlineLevel="0" collapsed="false">
      <c r="B25" s="37" t="s">
        <v>140</v>
      </c>
      <c r="C25" s="37" t="s">
        <v>290</v>
      </c>
      <c r="D25" s="54" t="str">
        <f aca="false">HLOOKUP($AJ$31,'Daten-Zusammensetzung Bauteil'!$B$4:$BC$11,Database!$B4,FALSE())</f>
        <v>Hochbaubeton 9cm [kg]</v>
      </c>
      <c r="E25" s="55" t="str">
        <f aca="false">MID(HLOOKUP($AJ$31,'Daten-Funktion'!$B$4:$BC$11,Database!$B4,FALSE()),1,2)</f>
        <v>C4</v>
      </c>
      <c r="F25" s="54" t="n">
        <f aca="false">HLOOKUP($AJ$31,'Daten-THGE'!$B$4:$BC$11,Database!$B4,FALSE())</f>
        <v>0.00165333333333333</v>
      </c>
      <c r="G25" s="54" t="n">
        <f aca="false">HLOOKUP($AJ$31,'Daten-Dichte'!$B$4:$BC$11,Database!$B4,FALSE())</f>
        <v>2300</v>
      </c>
      <c r="H25" s="54" t="n">
        <f aca="false">HLOOKUP($AJ$31,'Daten-Dicke'!$B$4:$BC$11,Database!$B4,FALSE())</f>
        <v>8.9656050955414</v>
      </c>
      <c r="I25" s="9"/>
      <c r="J25" s="20" t="n">
        <f aca="false">IF(I25=0,G25*H25/100*F25,F25*G25*I25/1000)</f>
        <v>0.340932076433121</v>
      </c>
      <c r="K25" s="29" t="n">
        <f aca="false">SUM(J25:J42)*Gebäude!$C$14*(Gebäude!$C$10-1)</f>
        <v>930.180383014862</v>
      </c>
      <c r="L25" s="37" t="s">
        <v>31</v>
      </c>
      <c r="S25" s="37" t="s">
        <v>291</v>
      </c>
      <c r="T25" s="37" t="s">
        <v>290</v>
      </c>
      <c r="U25" s="54" t="str">
        <f aca="false">HLOOKUP($AK$31,'Daten-Zusammensetzung Bauteil'!$B$4:$BC$11,Database!$B4,FALSE())</f>
        <v>Hochbaubeton 25 cm [kg]</v>
      </c>
      <c r="V25" s="55" t="str">
        <f aca="false">MID(HLOOKUP($AK$31,'Daten-Funktion'!$B$4:$BC$11,Database!$B4,FALSE()),1,2)</f>
        <v>C4</v>
      </c>
      <c r="W25" s="54" t="n">
        <f aca="false">HLOOKUP($AK$31,'Daten-THGE'!$B$4:$BC$11,Database!$B4,FALSE())</f>
        <v>0.00165333333333333</v>
      </c>
      <c r="X25" s="54" t="n">
        <f aca="false">HLOOKUP($AK$31,'Daten-Dichte'!$B$4:$BC$11,Database!$B4,FALSE())</f>
        <v>2300</v>
      </c>
      <c r="Y25" s="54" t="n">
        <f aca="false">HLOOKUP($AK$31,'Daten-Dicke'!$B$4:$BC$11,Database!$B4,FALSE())</f>
        <v>24.6496815286624</v>
      </c>
      <c r="Z25" s="9"/>
      <c r="AA25" s="20" t="n">
        <f aca="false">IF(Z25=0,X25*Y25/100*W25,W25*X25*Z4/1000)</f>
        <v>0.937345222929936</v>
      </c>
      <c r="AB25" s="56" t="n">
        <f aca="false">IF(AK35=0,0,IF(S30=Database!D9,SUM(AA25:AA31)*S32*S34+SUM('Decke unter &amp; über Terrain'!AA33:AA36)*S32*S34+SUM('Decke unter &amp; über Terrain'!AA38:AA42)*S32*S34,SUM(AA25:AA31)*S32*S34+SUM('Decke unter &amp; über Terrain'!AA33:AA36)*S32+SUM('Decke unter &amp; über Terrain'!AA38:AA42)*S32*S34))</f>
        <v>0</v>
      </c>
      <c r="AC25" s="37" t="s">
        <v>31</v>
      </c>
    </row>
    <row r="26" customFormat="false" ht="15.75" hidden="false" customHeight="false" outlineLevel="0" collapsed="false">
      <c r="B26" s="53" t="s">
        <v>26</v>
      </c>
      <c r="C26" s="37"/>
      <c r="D26" s="54" t="str">
        <f aca="false">HLOOKUP($AJ$31,'Daten-Zusammensetzung Bauteil'!$B$4:$BC$11,Database!$B5,FALSE())</f>
        <v>Armierungsstahl [kg]</v>
      </c>
      <c r="E26" s="55" t="str">
        <f aca="false">MID(HLOOKUP($AJ$31,'Daten-Funktion'!$B$4:$BC$11,Database!$B5,FALSE()),1,2)</f>
        <v>C4</v>
      </c>
      <c r="F26" s="54" t="n">
        <f aca="false">HLOOKUP($AJ$31,'Daten-THGE'!$B$4:$BC$11,Database!$B5,FALSE())</f>
        <v>0.0113666666666667</v>
      </c>
      <c r="G26" s="54" t="n">
        <f aca="false">HLOOKUP($AJ$31,'Daten-Dichte'!$B$4:$BC$11,Database!$B5,FALSE())</f>
        <v>7850</v>
      </c>
      <c r="H26" s="54" t="n">
        <f aca="false">HLOOKUP($AJ$31,'Daten-Dicke'!$B$4:$BC$11,Database!$B5,FALSE())</f>
        <v>0.0343949044585987</v>
      </c>
      <c r="I26" s="9"/>
      <c r="J26" s="20" t="n">
        <f aca="false">IF(I26=0,G26*H26/100*F26,F26*G26*I26/1000)</f>
        <v>0.03069</v>
      </c>
      <c r="K26" s="54"/>
      <c r="L26" s="7"/>
      <c r="S26" s="53" t="s">
        <v>113</v>
      </c>
      <c r="T26" s="37"/>
      <c r="U26" s="54" t="str">
        <f aca="false">HLOOKUP($AK$31,'Daten-Zusammensetzung Bauteil'!$B$4:$BC$11,Database!$B5,FALSE())</f>
        <v>Armierungsstahl (Bewehrungsgehalt 90 kg/m3) [kg]</v>
      </c>
      <c r="V26" s="55" t="str">
        <f aca="false">MID(HLOOKUP($AK$31,'Daten-Funktion'!$B$4:$BC$11,Database!$B5,FALSE()),1,2)</f>
        <v>C4</v>
      </c>
      <c r="W26" s="54" t="n">
        <f aca="false">HLOOKUP($AK$31,'Daten-THGE'!$B$4:$BC$11,Database!$B5,FALSE())</f>
        <v>0.0113666666666667</v>
      </c>
      <c r="X26" s="54" t="n">
        <f aca="false">HLOOKUP($AK$31,'Daten-Dichte'!$B$4:$BC$11,Database!$B5,FALSE())</f>
        <v>7850</v>
      </c>
      <c r="Y26" s="54" t="n">
        <f aca="false">HLOOKUP($AK$31,'Daten-Dicke'!$B$4:$BC$11,Database!$B5,FALSE())</f>
        <v>0.35031847133758</v>
      </c>
      <c r="Z26" s="9"/>
      <c r="AA26" s="20" t="n">
        <f aca="false">IF(Z26=0,X26*Y26/100*W26,W26*X26*Z5/1000)</f>
        <v>0.312583333333333</v>
      </c>
      <c r="AB26" s="54"/>
      <c r="AC26" s="7"/>
    </row>
    <row r="27" customFormat="false" ht="15.75" hidden="false" customHeight="false" outlineLevel="0" collapsed="false">
      <c r="B27" s="53" t="s">
        <v>119</v>
      </c>
      <c r="C27" s="7"/>
      <c r="D27" s="54" t="str">
        <f aca="false">HLOOKUP($AJ$31,'Daten-Zusammensetzung Bauteil'!$B$4:$BC$11,Database!$B6,FALSE())</f>
        <v>Nadelschnittholz [kg]</v>
      </c>
      <c r="E27" s="55" t="str">
        <f aca="false">MID(HLOOKUP($AJ$31,'Daten-Funktion'!$B$4:$BC$11,Database!$B6,FALSE()),1,2)</f>
        <v>C4</v>
      </c>
      <c r="F27" s="54" t="n">
        <f aca="false">HLOOKUP($AJ$31,'Daten-THGE'!$B$4:$BC$11,Database!$B6,FALSE())</f>
        <v>0.00168333333333333</v>
      </c>
      <c r="G27" s="54" t="n">
        <f aca="false">HLOOKUP($AJ$31,'Daten-Dichte'!$B$4:$BC$11,Database!$B6,FALSE())</f>
        <v>485</v>
      </c>
      <c r="H27" s="54" t="n">
        <f aca="false">HLOOKUP($AJ$31,'Daten-Dicke'!$B$4:$BC$11,Database!$B6,FALSE())</f>
        <v>13</v>
      </c>
      <c r="I27" s="57"/>
      <c r="J27" s="20" t="n">
        <f aca="false">IF(I27=0,G27*H27/100*F27,F27*G27*I27/1000)</f>
        <v>0.106134166666667</v>
      </c>
      <c r="K27" s="7"/>
      <c r="L27" s="7"/>
      <c r="S27" s="53" t="s">
        <v>119</v>
      </c>
      <c r="T27" s="7"/>
      <c r="U27" s="54" t="str">
        <f aca="false">HLOOKUP($AK$31,'Daten-Zusammensetzung Bauteil'!$B$4:$BC$11,Database!$B6,FALSE())</f>
        <v>3-SP Schalung 2.5cm (Annahme 5xverwendet) [kg]</v>
      </c>
      <c r="V27" s="55" t="str">
        <f aca="false">MID(HLOOKUP($AK$31,'Daten-Funktion'!$B$4:$BC$11,Database!$B6,FALSE()),1,2)</f>
        <v>C4</v>
      </c>
      <c r="W27" s="54" t="n">
        <f aca="false">HLOOKUP($AK$31,'Daten-THGE'!$B$4:$BC$11,Database!$B6,FALSE())</f>
        <v>0.00871666666666667</v>
      </c>
      <c r="X27" s="54" t="n">
        <f aca="false">HLOOKUP($AK$31,'Daten-Dichte'!$B$4:$BC$11,Database!$B6,FALSE())</f>
        <v>470</v>
      </c>
      <c r="Y27" s="54" t="n">
        <f aca="false">HLOOKUP($AK$31,'Daten-Dicke'!$B$4:$BC$11,Database!$B6,FALSE())</f>
        <v>1</v>
      </c>
      <c r="Z27" s="57"/>
      <c r="AA27" s="20" t="n">
        <f aca="false">IF(Z27=0,X27*Y27/100*W27,W27*X27*Z6/1000)</f>
        <v>0.0409683333333333</v>
      </c>
      <c r="AB27" s="7"/>
      <c r="AC27" s="7"/>
    </row>
    <row r="28" customFormat="false" ht="15.75" hidden="false" customHeight="false" outlineLevel="0" collapsed="false">
      <c r="B28" s="53" t="s">
        <v>161</v>
      </c>
      <c r="C28" s="7"/>
      <c r="D28" s="54" t="str">
        <f aca="false">HLOOKUP($AJ$31,'Daten-Zusammensetzung Bauteil'!$B$4:$BC$11,Database!$B7,FALSE())</f>
        <v>Nadelschnittholz [kg]</v>
      </c>
      <c r="E28" s="55" t="str">
        <f aca="false">HLOOKUP($AJ$31,'Daten-Funktion'!$B$4:$BC$11,Database!$B7,FALSE())</f>
        <v>G4.1</v>
      </c>
      <c r="F28" s="54" t="n">
        <f aca="false">HLOOKUP($AJ$31,'Daten-THGE'!$B$4:$BC$11,Database!$B7,FALSE())</f>
        <v>0.00336666666666667</v>
      </c>
      <c r="G28" s="54" t="n">
        <f aca="false">HLOOKUP($AJ$31,'Daten-Dichte'!$B$4:$BC$11,Database!$B7,FALSE())</f>
        <v>485</v>
      </c>
      <c r="H28" s="54" t="n">
        <f aca="false">HLOOKUP($AJ$31,'Daten-Dicke'!$B$4:$BC$11,Database!$B7,FALSE())</f>
        <v>0.4</v>
      </c>
      <c r="I28" s="57"/>
      <c r="J28" s="20" t="n">
        <f aca="false">IF(I28=0,G28*H28/100*F28,F28*G28*I28/1000)</f>
        <v>0.00653133333333333</v>
      </c>
      <c r="K28" s="7"/>
      <c r="L28" s="7"/>
      <c r="S28" s="53" t="s">
        <v>161</v>
      </c>
      <c r="T28" s="7"/>
      <c r="U28" s="54" t="str">
        <f aca="false">HLOOKUP($AK$31,'Daten-Zusammensetzung Bauteil'!$B$4:$BC$11,Database!$B7,FALSE())</f>
        <v>Kalk-Zementgrundputz [kg]</v>
      </c>
      <c r="V28" s="55" t="str">
        <f aca="false">HLOOKUP($AK$31,'Daten-Funktion'!$B$4:$BC$11,Database!$B7,FALSE())</f>
        <v>G4.1</v>
      </c>
      <c r="W28" s="54" t="n">
        <f aca="false">HLOOKUP($AK$31,'Daten-THGE'!$B$4:$BC$11,Database!$B7,FALSE())</f>
        <v>0.00823333333333333</v>
      </c>
      <c r="X28" s="54" t="n">
        <f aca="false">HLOOKUP($AK$31,'Daten-Dichte'!$B$4:$BC$11,Database!$B7,FALSE())</f>
        <v>1550</v>
      </c>
      <c r="Y28" s="54" t="n">
        <f aca="false">HLOOKUP($AK$31,'Daten-Dicke'!$B$4:$BC$11,Database!$B7,FALSE())</f>
        <v>1.16129032258065</v>
      </c>
      <c r="Z28" s="57"/>
      <c r="AA28" s="20" t="n">
        <f aca="false">IF(Z28=0,X28*Y28/100*W28,W28*X28*Z7/1000)</f>
        <v>0.1482</v>
      </c>
      <c r="AB28" s="7"/>
      <c r="AC28" s="7"/>
    </row>
    <row r="29" customFormat="false" ht="15.75" hidden="false" customHeight="false" outlineLevel="0" collapsed="false">
      <c r="B29" s="53" t="s">
        <v>156</v>
      </c>
      <c r="C29" s="7"/>
      <c r="D29" s="54" t="str">
        <f aca="false">HLOOKUP($AJ$31,'Daten-Zusammensetzung Bauteil'!$B$4:$BC$11,Database!$B8,FALSE())</f>
        <v>Gipskartonplatte [kg]</v>
      </c>
      <c r="E29" s="55" t="str">
        <f aca="false">HLOOKUP($AJ$31,'Daten-Funktion'!$B$4:$BC$11,Database!$B8,FALSE())</f>
        <v>G4.1</v>
      </c>
      <c r="F29" s="54" t="n">
        <f aca="false">HLOOKUP($AJ$31,'Daten-THGE'!$B$4:$BC$11,Database!$B8,FALSE())</f>
        <v>0.00976666666666667</v>
      </c>
      <c r="G29" s="54" t="n">
        <f aca="false">HLOOKUP($AJ$31,'Daten-Dichte'!$B$4:$BC$11,Database!$B8,FALSE())</f>
        <v>850</v>
      </c>
      <c r="H29" s="54" t="n">
        <f aca="false">HLOOKUP($AJ$31,'Daten-Dicke'!$B$4:$BC$11,Database!$B8,FALSE())</f>
        <v>1.25</v>
      </c>
      <c r="I29" s="57"/>
      <c r="J29" s="20" t="n">
        <f aca="false">IF(I29=0,G29*H29/100*F29,F29*G29*I29/1000)</f>
        <v>0.103770833333333</v>
      </c>
      <c r="K29" s="7"/>
      <c r="L29" s="7"/>
      <c r="S29" s="53" t="s">
        <v>156</v>
      </c>
      <c r="T29" s="7"/>
      <c r="U29" s="54" t="str">
        <f aca="false">HLOOKUP($AK$31,'Daten-Zusammensetzung Bauteil'!$B$4:$BC$11,Database!$B8,FALSE())</f>
        <v>Deckputz (Weissputz) [kg]</v>
      </c>
      <c r="V29" s="55" t="str">
        <f aca="false">HLOOKUP($AK$31,'Daten-Funktion'!$B$4:$BC$11,Database!$B8,FALSE())</f>
        <v>G4.2</v>
      </c>
      <c r="W29" s="54" t="n">
        <f aca="false">HLOOKUP($AK$31,'Daten-THGE'!$B$4:$BC$11,Database!$B8,FALSE())</f>
        <v>0.0049</v>
      </c>
      <c r="X29" s="54" t="n">
        <f aca="false">HLOOKUP($AK$31,'Daten-Dichte'!$B$4:$BC$11,Database!$B8,FALSE())</f>
        <v>1100</v>
      </c>
      <c r="Y29" s="54" t="n">
        <f aca="false">HLOOKUP($AK$31,'Daten-Dicke'!$B$4:$BC$11,Database!$B8,FALSE())</f>
        <v>0.318181818181818</v>
      </c>
      <c r="Z29" s="57"/>
      <c r="AA29" s="20" t="n">
        <f aca="false">IF(Z29=0,X29*Y29/100*W29,W29*X29*Z8/1000)</f>
        <v>0.01715</v>
      </c>
      <c r="AB29" s="7"/>
      <c r="AC29" s="7"/>
      <c r="AJ29" s="76"/>
      <c r="AK29" s="76"/>
    </row>
    <row r="30" customFormat="false" ht="15.75" hidden="false" customHeight="false" outlineLevel="0" collapsed="false">
      <c r="B30" s="53" t="s">
        <v>116</v>
      </c>
      <c r="C30" s="7"/>
      <c r="D30" s="54" t="str">
        <f aca="false">HLOOKUP($AJ$31,'Daten-Zusammensetzung Bauteil'!$B$4:$BC$11,Database!$B9,FALSE())</f>
        <v>Spachtel [kg]</v>
      </c>
      <c r="E30" s="55" t="str">
        <f aca="false">HLOOKUP($AJ$31,'Daten-Funktion'!$B$4:$BC$11,Database!$B9,FALSE())</f>
        <v>G4.2</v>
      </c>
      <c r="F30" s="54" t="n">
        <f aca="false">HLOOKUP($AJ$31,'Daten-THGE'!$B$4:$BC$11,Database!$B9,FALSE())</f>
        <v>0.00516666666666667</v>
      </c>
      <c r="G30" s="54" t="n">
        <f aca="false">HLOOKUP($AJ$31,'Daten-Dichte'!$B$4:$BC$11,Database!$B9,FALSE())</f>
        <v>925</v>
      </c>
      <c r="H30" s="54" t="n">
        <f aca="false">HLOOKUP($AJ$31,'Daten-Dicke'!$B$4:$BC$11,Database!$B9,FALSE())</f>
        <v>0.605405405405405</v>
      </c>
      <c r="I30" s="57"/>
      <c r="J30" s="20" t="n">
        <f aca="false">IF(I30=0,G30*H30/100*F30,F30*G30*I30/1000)</f>
        <v>0.0289333333333333</v>
      </c>
      <c r="K30" s="7"/>
      <c r="L30" s="7"/>
      <c r="M30" s="75"/>
      <c r="N30" s="75"/>
      <c r="O30" s="75"/>
      <c r="P30" s="75"/>
      <c r="Q30" s="75"/>
      <c r="R30" s="7"/>
      <c r="S30" s="53" t="s">
        <v>62</v>
      </c>
      <c r="T30" s="7"/>
      <c r="U30" s="54" t="str">
        <f aca="false">HLOOKUP($AK$31,'Daten-Zusammensetzung Bauteil'!$B$4:$BC$11,Database!$B9,FALSE())</f>
        <v>Wanddispersion [m2]</v>
      </c>
      <c r="V30" s="55" t="str">
        <f aca="false">HLOOKUP($AK$31,'Daten-Funktion'!$B$4:$BC$11,Database!$B9,FALSE())</f>
        <v>G4.2</v>
      </c>
      <c r="W30" s="54" t="n">
        <f aca="false">HLOOKUP($AK$31,'Daten-THGE'!$B$4:$BC$11,Database!$B9,FALSE())</f>
        <v>0.151111111111111</v>
      </c>
      <c r="X30" s="54" t="n">
        <f aca="false">HLOOKUP($AK$31,'Daten-Dichte'!$B$4:$BC$11,Database!$B9,FALSE())</f>
        <v>150</v>
      </c>
      <c r="Y30" s="54" t="n">
        <f aca="false">HLOOKUP($AK$31,'Daten-Dicke'!$B$4:$BC$11,Database!$B9,FALSE())</f>
        <v>0.2</v>
      </c>
      <c r="Z30" s="57"/>
      <c r="AA30" s="20" t="n">
        <f aca="false">IF(Z30=0,X30*Y30/100*W30,W30*X30*Z9/1000)</f>
        <v>0.0453333333333333</v>
      </c>
      <c r="AB30" s="7"/>
      <c r="AC30" s="7"/>
      <c r="AJ30" s="76"/>
      <c r="AK30" s="76"/>
    </row>
    <row r="31" customFormat="false" ht="15.75" hidden="false" customHeight="false" outlineLevel="0" collapsed="false">
      <c r="B31" s="7"/>
      <c r="C31" s="7"/>
      <c r="D31" s="54" t="str">
        <f aca="false">HLOOKUP($AJ$31,'Daten-Zusammensetzung Bauteil'!$B$4:$BC$11,Database!$B10,FALSE())</f>
        <v>Wanddispersion [m2]</v>
      </c>
      <c r="E31" s="55" t="str">
        <f aca="false">HLOOKUP($AJ$31,'Daten-Funktion'!$B$4:$BC$11,Database!$B10,FALSE())</f>
        <v>G4.2</v>
      </c>
      <c r="F31" s="54" t="n">
        <f aca="false">HLOOKUP($AJ$31,'Daten-THGE'!$B$4:$BC$11,Database!$B10,FALSE())</f>
        <v>0.151111111111111</v>
      </c>
      <c r="G31" s="54" t="n">
        <f aca="false">HLOOKUP($AJ$31,'Daten-Dichte'!$B$4:$BC$11,Database!$B10,FALSE())</f>
        <v>150</v>
      </c>
      <c r="H31" s="54" t="n">
        <f aca="false">HLOOKUP($AJ$31,'Daten-Dicke'!$B$4:$BC$11,Database!$B10,FALSE())</f>
        <v>0.2</v>
      </c>
      <c r="I31" s="57"/>
      <c r="J31" s="20" t="n">
        <f aca="false">IF(I31=0,G31*H31/100*F31,F31*G31*I31/1000)</f>
        <v>0.0453333333333333</v>
      </c>
      <c r="K31" s="7"/>
      <c r="L31" s="7"/>
      <c r="S31" s="53" t="s">
        <v>294</v>
      </c>
      <c r="T31" s="7"/>
      <c r="U31" s="54" t="n">
        <f aca="false">HLOOKUP($AK$31,'Daten-Zusammensetzung Bauteil'!$B$4:$BC$11,Database!$B10,FALSE())</f>
        <v>0</v>
      </c>
      <c r="V31" s="55" t="n">
        <f aca="false">HLOOKUP($AK$31,'Daten-Funktion'!$B$4:$BC$11,Database!$B10,FALSE())</f>
        <v>0</v>
      </c>
      <c r="W31" s="54" t="n">
        <f aca="false">HLOOKUP($AK$31,'Daten-THGE'!$B$4:$BC$11,Database!$B10,FALSE())</f>
        <v>0</v>
      </c>
      <c r="X31" s="54" t="n">
        <f aca="false">HLOOKUP($AK$31,'Daten-Dichte'!$B$4:$BC$11,Database!$B10,FALSE())</f>
        <v>0</v>
      </c>
      <c r="Y31" s="54" t="n">
        <f aca="false">HLOOKUP($AK$31,'Daten-Dicke'!$B$4:$BC$11,Database!$B10,FALSE())</f>
        <v>0</v>
      </c>
      <c r="Z31" s="57"/>
      <c r="AA31" s="20" t="n">
        <f aca="false">IF(Z31=0,X31*Y31/100*W31,W31*X31*Z10/1000)</f>
        <v>0</v>
      </c>
      <c r="AB31" s="7"/>
      <c r="AC31" s="7"/>
      <c r="AJ31" s="76" t="str">
        <f aca="false">VLOOKUP('Decke unter &amp; über Terrain'!$B$26,Database!$H$4:$K$6,4,FALSE())</f>
        <v>10c</v>
      </c>
      <c r="AK31" s="76" t="str">
        <f aca="false">VLOOKUP('Decke unter &amp; über Terrain'!$S$26,Database!$H$4:$K$6,4,FALSE())</f>
        <v>10a</v>
      </c>
    </row>
    <row r="32" customFormat="false" ht="15.75" hidden="false" customHeight="false" outlineLevel="0" collapsed="false">
      <c r="J32" s="20"/>
      <c r="S32" s="53"/>
      <c r="AA32" s="20"/>
      <c r="AJ32" s="77" t="str">
        <f aca="false">IF($B$26=Database!$H$6,"11c",IF($B$27=Database!$D$8,0,VLOOKUP($B$26,Database!$Y$29:$AH$31,9,FALSE())))</f>
        <v>11c</v>
      </c>
      <c r="AK32" s="76" t="n">
        <f aca="false">IF(AND($S$26=Database!$H$6,$S$27=Database!$D$7),"11c",IF(AND($S$27=Database!$D$8,'Decke unter &amp; über Terrain'!$S$29=Database!$D$10,$S$26&lt;&gt;Database!$H$6),"11a",VLOOKUP($S$27,Database!$D$6:$E$15,2,FALSE())))</f>
        <v>0</v>
      </c>
    </row>
    <row r="33" customFormat="false" ht="15.75" hidden="false" customHeight="false" outlineLevel="0" collapsed="false">
      <c r="C33" s="37" t="s">
        <v>292</v>
      </c>
      <c r="D33" s="54" t="str">
        <f aca="false">IF($AJ$32=0,0,HLOOKUP($AJ$32,'Daten-Zusammensetzung Bauteil'!$B$4:$BC$8,Database!$B4,FALSE()))</f>
        <v>Stahlblech verzinkt [kg]</v>
      </c>
      <c r="E33" s="55" t="str">
        <f aca="false">IF($AJ$32=0,0,HLOOKUP($AJ$32,'Daten-Funktion'!$B$4:$BC$8,Database!$B4,FALSE()))</f>
        <v>G4.2</v>
      </c>
      <c r="F33" s="54" t="n">
        <f aca="false">IF($AJ$32=0,0,HLOOKUP($AJ$32,'Daten-THGE'!$B$4:$BC$8,Database!$B4,FALSE()))</f>
        <v>0.117</v>
      </c>
      <c r="G33" s="54" t="n">
        <f aca="false">IF($AJ$32=0,0,HLOOKUP($AJ$32,'Daten-Dichte'!$B$4:$BC$8,Database!$B4,FALSE()))</f>
        <v>7850</v>
      </c>
      <c r="H33" s="54" t="n">
        <f aca="false">IF($AJ$32=0,0,HLOOKUP($AJ$32,'Daten-Dicke'!$B$4:$BC$8,Database!$B4,FALSE()))</f>
        <v>0.06</v>
      </c>
      <c r="I33" s="57"/>
      <c r="J33" s="20" t="n">
        <f aca="false">IF(I33=0,G33*H33/100*F33,F33*G33*I33/1000)</f>
        <v>0.55107</v>
      </c>
      <c r="S33" s="53" t="s">
        <v>77</v>
      </c>
      <c r="T33" s="37" t="s">
        <v>292</v>
      </c>
      <c r="U33" s="54" t="n">
        <f aca="false">IF($AK$32=0,0,HLOOKUP($AK$32,'Daten-Zusammensetzung Bauteil'!$B$4:$BC$8,Database!$B4,FALSE()))</f>
        <v>0</v>
      </c>
      <c r="V33" s="55" t="n">
        <f aca="false">IF($AK$32=0,0,HLOOKUP($AK$32,'Daten-Funktion'!$B$4:$BC$8,Database!$B4,FALSE()))</f>
        <v>0</v>
      </c>
      <c r="W33" s="54" t="n">
        <f aca="false">IF($AK$32=0,0,HLOOKUP($AK$32,'Daten-THGE'!$B$4:$BC$8,Database!$B4,FALSE()))</f>
        <v>0</v>
      </c>
      <c r="X33" s="54" t="n">
        <f aca="false">IF($AK$32=0,0,HLOOKUP($AK$32,'Daten-Dichte'!$B$4:$BC$8,Database!$B4,FALSE()))</f>
        <v>0</v>
      </c>
      <c r="Y33" s="54" t="n">
        <f aca="false">IF($AK$32=0,0,HLOOKUP($AK$32,'Daten-Dicke'!$B$4:$BC$8,Database!$B4,FALSE()))</f>
        <v>0</v>
      </c>
      <c r="Z33" s="57"/>
      <c r="AA33" s="20" t="n">
        <f aca="false">IF(Z33=0,X33*Y33/100*W33,W33*X33*Z12/1000)</f>
        <v>0</v>
      </c>
      <c r="AJ33" s="76" t="n">
        <f aca="false">VLOOKUP($B$28,Database!$D$6:$E$13,2,FALSE())</f>
        <v>0</v>
      </c>
      <c r="AK33" s="76" t="n">
        <f aca="false">VLOOKUP($S$28,Database!$D$6:$E$13,2,FALSE())</f>
        <v>0</v>
      </c>
    </row>
    <row r="34" customFormat="false" ht="15.75" hidden="false" customHeight="false" outlineLevel="0" collapsed="false">
      <c r="D34" s="54" t="str">
        <f aca="false">IF($AJ$32=0,0,HLOOKUP($AJ$32,'Daten-Zusammensetzung Bauteil'!$B$4:$BC$8,Database!$B5,FALSE()))</f>
        <v>Pulverbeschichten Stahl [m2]</v>
      </c>
      <c r="E34" s="55" t="str">
        <f aca="false">IF($AJ$32=0,0,HLOOKUP($AJ$32,'Daten-Funktion'!$B$4:$BC$8,Database!$B5,FALSE()))</f>
        <v>G4.2</v>
      </c>
      <c r="F34" s="54" t="n">
        <f aca="false">IF($AJ$32=0,0,HLOOKUP($AJ$32,'Daten-THGE'!$B$4:$BC$8,Database!$B5,FALSE()))</f>
        <v>1.5</v>
      </c>
      <c r="G34" s="54" t="n">
        <f aca="false">IF($AJ$32=0,0,HLOOKUP($AJ$32,'Daten-Dichte'!$B$4:$BC$8,Database!$B5,FALSE()))</f>
        <v>1000</v>
      </c>
      <c r="H34" s="54" t="n">
        <f aca="false">IF($AJ$32=0,0,HLOOKUP($AJ$32,'Daten-Dicke'!$B$4:$BC$8,Database!$B5,FALSE()))</f>
        <v>0.01</v>
      </c>
      <c r="I34" s="57"/>
      <c r="J34" s="20" t="n">
        <f aca="false">IF(I34=0,G34*H34/100*F34,F34*G34*I34/1000)</f>
        <v>0.15</v>
      </c>
      <c r="S34" s="53"/>
      <c r="U34" s="54" t="n">
        <f aca="false">IF($AK$32=0,0,HLOOKUP($AK$32,'Daten-Zusammensetzung Bauteil'!$B$4:$BC$8,Database!$B5,FALSE()))</f>
        <v>0</v>
      </c>
      <c r="V34" s="55" t="n">
        <f aca="false">IF($AK$32=0,0,HLOOKUP($AK$32,'Daten-Funktion'!$B$4:$BC$8,Database!$B5,FALSE()))</f>
        <v>0</v>
      </c>
      <c r="W34" s="54" t="n">
        <f aca="false">IF($AK$32=0,0,HLOOKUP($AK$32,'Daten-THGE'!$B$4:$BC$8,Database!$B5,FALSE()))</f>
        <v>0</v>
      </c>
      <c r="X34" s="54" t="n">
        <f aca="false">IF($AK$32=0,0,HLOOKUP($AK$32,'Daten-Dichte'!$B$4:$BC$8,Database!$B5,FALSE()))</f>
        <v>0</v>
      </c>
      <c r="Y34" s="54" t="n">
        <f aca="false">IF($AK$32=0,0,HLOOKUP($AK$32,'Daten-Dicke'!$B$4:$BC$8,Database!$B5,FALSE()))</f>
        <v>0</v>
      </c>
      <c r="Z34" s="57"/>
      <c r="AA34" s="20" t="n">
        <f aca="false">IF(Z34=0,X34*Y34/100*W34,W34*X34*Z13/1000)</f>
        <v>0</v>
      </c>
    </row>
    <row r="35" customFormat="false" ht="15.75" hidden="false" customHeight="false" outlineLevel="0" collapsed="false">
      <c r="C35" s="7"/>
      <c r="D35" s="54" t="str">
        <f aca="false">IF($AJ$32=0,0,HLOOKUP($AJ$32,'Daten-Zusammensetzung Bauteil'!$B$4:$BC$8,Database!$B6,FALSE()))</f>
        <v>Akustikvlies [kg]</v>
      </c>
      <c r="E35" s="55" t="str">
        <f aca="false">IF($AJ$32=0,0,HLOOKUP($AJ$32,'Daten-Funktion'!$B$4:$BC$8,Database!$B6,FALSE()))</f>
        <v>G4.2</v>
      </c>
      <c r="F35" s="54" t="n">
        <f aca="false">IF($AJ$32=0,0,HLOOKUP($AJ$32,'Daten-THGE'!$B$4:$BC$8,Database!$B6,FALSE()))</f>
        <v>0.184333333333333</v>
      </c>
      <c r="G35" s="54" t="n">
        <f aca="false">IF($AJ$32=0,0,HLOOKUP($AJ$32,'Daten-Dichte'!$B$4:$BC$8,Database!$B6,FALSE()))</f>
        <v>920</v>
      </c>
      <c r="H35" s="54" t="n">
        <f aca="false">IF($AJ$32=0,0,HLOOKUP($AJ$32,'Daten-Dicke'!$B$4:$BC$8,Database!$B6,FALSE()))</f>
        <v>0.00815217391304348</v>
      </c>
      <c r="I35" s="57"/>
      <c r="J35" s="20" t="n">
        <f aca="false">IF(I35=0,G35*H35/100*F35,F35*G35*I35/1000)</f>
        <v>0.013825</v>
      </c>
      <c r="T35" s="7"/>
      <c r="U35" s="54" t="n">
        <f aca="false">IF($AK$32=0,0,HLOOKUP($AK$32,'Daten-Zusammensetzung Bauteil'!$B$4:$BC$8,Database!$B6,FALSE()))</f>
        <v>0</v>
      </c>
      <c r="V35" s="55" t="n">
        <f aca="false">IF($AK$32=0,0,HLOOKUP($AK$32,'Daten-Funktion'!$B$4:$BC$8,Database!$B6,FALSE()))</f>
        <v>0</v>
      </c>
      <c r="W35" s="54" t="n">
        <f aca="false">IF($AK$32=0,0,HLOOKUP($AK$32,'Daten-THGE'!$B$4:$BC$8,Database!$B6,FALSE()))</f>
        <v>0</v>
      </c>
      <c r="X35" s="54" t="n">
        <f aca="false">IF($AK$32=0,0,HLOOKUP($AK$32,'Daten-Dichte'!$B$4:$BC$8,Database!$B6,FALSE()))</f>
        <v>0</v>
      </c>
      <c r="Y35" s="54" t="n">
        <f aca="false">IF($AK$32=0,0,HLOOKUP($AK$32,'Daten-Dicke'!$B$4:$BC$8,Database!$B6,FALSE()))</f>
        <v>0</v>
      </c>
      <c r="Z35" s="57"/>
      <c r="AA35" s="20" t="n">
        <f aca="false">IF(Z35=0,X35*Y35/100*W35,W35*X35*Z14/1000)</f>
        <v>0</v>
      </c>
      <c r="AJ35" s="76" t="n">
        <f aca="false">IF($B$30=Database!$D$14,1,0)</f>
        <v>1</v>
      </c>
      <c r="AK35" s="76" t="n">
        <f aca="false">IF($S$30=Database!$D$14,1,0)</f>
        <v>0</v>
      </c>
    </row>
    <row r="36" customFormat="false" ht="15.75" hidden="false" customHeight="false" outlineLevel="0" collapsed="false">
      <c r="C36" s="7"/>
      <c r="D36" s="54" t="str">
        <f aca="false">IF($AJ$32=0,0,HLOOKUP($AJ$32,'Daten-Zusammensetzung Bauteil'!$B$4:$BC$8,Database!$B7,FALSE()))</f>
        <v>Stahlprofile verzinkt [kg]</v>
      </c>
      <c r="E36" s="55" t="str">
        <f aca="false">IF($AJ$32=0,0,HLOOKUP($AJ$32,'Daten-Funktion'!$B$4:$BC$8,Database!$B7,FALSE()))</f>
        <v>G4.1</v>
      </c>
      <c r="F36" s="54" t="n">
        <f aca="false">IF($AJ$32=0,0,HLOOKUP($AJ$32,'Daten-THGE'!$B$4:$BC$8,Database!$B7,FALSE()))</f>
        <v>0.0244666666666667</v>
      </c>
      <c r="G36" s="54" t="n">
        <f aca="false">IF($AJ$32=0,0,HLOOKUP($AJ$32,'Daten-Dichte'!$B$4:$BC$8,Database!$B7,FALSE()))</f>
        <v>7850</v>
      </c>
      <c r="H36" s="54" t="n">
        <f aca="false">IF($AJ$32=0,0,HLOOKUP($AJ$32,'Daten-Dicke'!$B$4:$BC$8,Database!$B7,FALSE()))</f>
        <v>0.0280254777070064</v>
      </c>
      <c r="I36" s="57"/>
      <c r="J36" s="20" t="n">
        <f aca="false">IF(I36=0,G36*H36/100*F36,F36*G36*I36/1000)</f>
        <v>0.0538266666666667</v>
      </c>
      <c r="T36" s="7"/>
      <c r="U36" s="54" t="n">
        <f aca="false">IF($AK$32=0,0,HLOOKUP($AK$32,'Daten-Zusammensetzung Bauteil'!$B$4:$BC$8,Database!$B7,FALSE()))</f>
        <v>0</v>
      </c>
      <c r="V36" s="55" t="n">
        <f aca="false">IF($AK$32=0,0,HLOOKUP($AK$32,'Daten-Funktion'!$B$4:$BC$8,Database!$B7,FALSE()))</f>
        <v>0</v>
      </c>
      <c r="W36" s="54" t="n">
        <f aca="false">IF($AK$32=0,0,HLOOKUP($AK$32,'Daten-THGE'!$B$4:$BC$8,Database!$B7,FALSE()))</f>
        <v>0</v>
      </c>
      <c r="X36" s="54" t="n">
        <f aca="false">IF($AK$32=0,0,HLOOKUP($AK$32,'Daten-Dichte'!$B$4:$BC$8,Database!$B7,FALSE()))</f>
        <v>0</v>
      </c>
      <c r="Y36" s="54" t="n">
        <f aca="false">IF($AK$32=0,0,HLOOKUP($AK$32,'Daten-Dicke'!$B$4:$BC$8,Database!$B7,FALSE()))</f>
        <v>0</v>
      </c>
      <c r="Z36" s="57"/>
      <c r="AA36" s="20" t="n">
        <f aca="false">IF(Z36=0,X36*Y36/100*W36,W36*X36*Z15/1000)</f>
        <v>0</v>
      </c>
    </row>
    <row r="37" customFormat="false" ht="15.75" hidden="false" customHeight="false" outlineLevel="0" collapsed="false">
      <c r="J37" s="20"/>
      <c r="AA37" s="20"/>
    </row>
    <row r="38" customFormat="false" ht="15.75" hidden="false" customHeight="false" outlineLevel="0" collapsed="false">
      <c r="C38" s="37" t="s">
        <v>293</v>
      </c>
      <c r="D38" s="54" t="n">
        <f aca="false">IF($AJ$33=0,0,HLOOKUP($AJ$33,'Daten-Zusammensetzung Bauteil'!$B$4:$BC$9,Database!$B4,FALSE()))</f>
        <v>0</v>
      </c>
      <c r="E38" s="55" t="n">
        <f aca="false">IF($AJ$33=0,0,HLOOKUP($AJ$33,'Daten-Funktion'!$B$4:$BC$9,Database!$B4,FALSE()))</f>
        <v>0</v>
      </c>
      <c r="F38" s="54" t="n">
        <f aca="false">IF($AJ$33=0,0,HLOOKUP($AJ$33,'Daten-THGE'!$B$4:$BC$9,Database!$B4,FALSE()))</f>
        <v>0</v>
      </c>
      <c r="G38" s="54" t="n">
        <f aca="false">IF($AJ$33=0,0,HLOOKUP($AJ$33,'Daten-Dichte'!$B$4:$BC$9,Database!$B4,FALSE()))</f>
        <v>0</v>
      </c>
      <c r="H38" s="54" t="n">
        <f aca="false">IF($AJ$33=0,0,HLOOKUP($AJ$33,'Daten-Dicke'!$B$4:$BC$9,Database!$B4,FALSE()))</f>
        <v>0</v>
      </c>
      <c r="I38" s="57"/>
      <c r="J38" s="20" t="n">
        <f aca="false">IF(I38=0,G38*H38/100*F38,F38*G38*I38/1000)</f>
        <v>0</v>
      </c>
      <c r="T38" s="37" t="s">
        <v>293</v>
      </c>
      <c r="U38" s="54" t="n">
        <f aca="false">IF($AK$33=0,0,HLOOKUP($AK$33,'Daten-Zusammensetzung Bauteil'!$B$4:$BC$9,Database!$B4,FALSE()))</f>
        <v>0</v>
      </c>
      <c r="V38" s="55" t="n">
        <f aca="false">IF($AK$33=0,0,HLOOKUP($AK$33,'Daten-Funktion'!$B$4:$BC$9,Database!$B4,FALSE()))</f>
        <v>0</v>
      </c>
      <c r="W38" s="54" t="n">
        <f aca="false">IF($AK$33=0,0,HLOOKUP($AK$33,'Daten-THGE'!$B$4:$BC$9,Database!$B4,FALSE()))</f>
        <v>0</v>
      </c>
      <c r="X38" s="54" t="n">
        <f aca="false">IF($AK$33=0,0,HLOOKUP($AK$33,'Daten-Dichte'!$B$4:$BC$9,Database!$B4,FALSE()))</f>
        <v>0</v>
      </c>
      <c r="Y38" s="54" t="n">
        <f aca="false">IF($AK$33=0,0,HLOOKUP($AK$33,'Daten-Dicke'!$B$4:$BC$9,Database!$B4,FALSE()))</f>
        <v>0</v>
      </c>
      <c r="Z38" s="57"/>
      <c r="AA38" s="20" t="n">
        <f aca="false">IF(Z38=0,X38*Y38/100*W38,W38*X38*Z17/1000)</f>
        <v>0</v>
      </c>
    </row>
    <row r="39" customFormat="false" ht="15.75" hidden="false" customHeight="false" outlineLevel="0" collapsed="false">
      <c r="D39" s="54" t="n">
        <f aca="false">IF($AJ$33=0,0,HLOOKUP($AJ$33,'Daten-Zusammensetzung Bauteil'!$B$4:$BC$9,Database!$B5,FALSE()))</f>
        <v>0</v>
      </c>
      <c r="E39" s="55" t="n">
        <f aca="false">IF($AJ$33=0,0,HLOOKUP($AJ$33,'Daten-Funktion'!$B$4:$BC$9,Database!$B5,FALSE()))</f>
        <v>0</v>
      </c>
      <c r="F39" s="54" t="n">
        <f aca="false">IF($AJ$33=0,0,HLOOKUP($AJ$33,'Daten-THGE'!$B$4:$BC$9,Database!$B5,FALSE()))</f>
        <v>0</v>
      </c>
      <c r="G39" s="54" t="n">
        <f aca="false">IF($AJ$33=0,0,HLOOKUP($AJ$33,'Daten-Dichte'!$B$4:$BC$9,Database!$B5,FALSE()))</f>
        <v>0</v>
      </c>
      <c r="H39" s="54" t="n">
        <f aca="false">IF($AJ$33=0,0,HLOOKUP($AJ$33,'Daten-Dicke'!$B$4:$BC$9,Database!$B5,FALSE()))</f>
        <v>0</v>
      </c>
      <c r="I39" s="57"/>
      <c r="J39" s="20" t="n">
        <f aca="false">IF(I39=0,G39*H39/100*F39,F39*G39*I39/1000)</f>
        <v>0</v>
      </c>
      <c r="U39" s="54" t="n">
        <f aca="false">IF($AK$33=0,0,HLOOKUP($AK$33,'Daten-Zusammensetzung Bauteil'!$B$4:$BC$9,Database!$B5,FALSE()))</f>
        <v>0</v>
      </c>
      <c r="V39" s="55" t="n">
        <f aca="false">IF($AK$33=0,0,HLOOKUP($AK$33,'Daten-Funktion'!$B$4:$BC$9,Database!$B5,FALSE()))</f>
        <v>0</v>
      </c>
      <c r="W39" s="54" t="n">
        <f aca="false">IF($AK$33=0,0,HLOOKUP($AK$33,'Daten-THGE'!$B$4:$BC$9,Database!$B5,FALSE()))</f>
        <v>0</v>
      </c>
      <c r="X39" s="54" t="n">
        <f aca="false">IF($AK$33=0,0,HLOOKUP($AK$33,'Daten-Dichte'!$B$4:$BC$9,Database!$B5,FALSE()))</f>
        <v>0</v>
      </c>
      <c r="Y39" s="54" t="n">
        <f aca="false">IF($AK$33=0,0,HLOOKUP($AK$33,'Daten-Dicke'!$B$4:$BC$9,Database!$B5,FALSE()))</f>
        <v>0</v>
      </c>
      <c r="Z39" s="57"/>
      <c r="AA39" s="20" t="n">
        <f aca="false">IF(Z39=0,X39*Y39/100*W39,W39*X39*Z18/1000)</f>
        <v>0</v>
      </c>
    </row>
    <row r="40" customFormat="false" ht="15.75" hidden="false" customHeight="false" outlineLevel="0" collapsed="false">
      <c r="D40" s="54" t="n">
        <f aca="false">IF($AJ$33=0,0,HLOOKUP($AJ$33,'Daten-Zusammensetzung Bauteil'!$B$4:$BC$9,Database!$B6,FALSE()))</f>
        <v>0</v>
      </c>
      <c r="E40" s="55" t="n">
        <f aca="false">IF($AJ$33=0,0,HLOOKUP($AJ$33,'Daten-Funktion'!$B$4:$BC$9,Database!$B6,FALSE()))</f>
        <v>0</v>
      </c>
      <c r="F40" s="54" t="n">
        <f aca="false">IF($AJ$33=0,0,HLOOKUP($AJ$33,'Daten-THGE'!$B$4:$BC$9,Database!$B6,FALSE()))</f>
        <v>0</v>
      </c>
      <c r="G40" s="54" t="n">
        <f aca="false">IF($AJ$33=0,0,HLOOKUP($AJ$33,'Daten-Dichte'!$B$4:$BC$9,Database!$B6,FALSE()))</f>
        <v>0</v>
      </c>
      <c r="H40" s="54" t="n">
        <f aca="false">IF($AJ$33=0,0,HLOOKUP($AJ$33,'Daten-Dicke'!$B$4:$BC$9,Database!$B6,FALSE()))</f>
        <v>0</v>
      </c>
      <c r="I40" s="57"/>
      <c r="J40" s="20" t="n">
        <f aca="false">IF(I40=0,G40*H40/100*F40,F40*G40*I40/1000)</f>
        <v>0</v>
      </c>
      <c r="U40" s="54" t="n">
        <f aca="false">IF($AK$33=0,0,HLOOKUP($AK$33,'Daten-Zusammensetzung Bauteil'!$B$4:$BC$9,Database!$B6,FALSE()))</f>
        <v>0</v>
      </c>
      <c r="V40" s="55" t="n">
        <f aca="false">IF($AK$33=0,0,HLOOKUP($AK$33,'Daten-Funktion'!$B$4:$BC$9,Database!$B6,FALSE()))</f>
        <v>0</v>
      </c>
      <c r="W40" s="54" t="n">
        <f aca="false">IF($AK$33=0,0,HLOOKUP($AK$33,'Daten-THGE'!$B$4:$BC$9,Database!$B6,FALSE()))</f>
        <v>0</v>
      </c>
      <c r="X40" s="54" t="n">
        <f aca="false">IF($AK$33=0,0,HLOOKUP($AK$33,'Daten-Dichte'!$B$4:$BC$9,Database!$B6,FALSE()))</f>
        <v>0</v>
      </c>
      <c r="Y40" s="54" t="n">
        <f aca="false">IF($AK$33=0,0,HLOOKUP($AK$33,'Daten-Dicke'!$B$4:$BC$9,Database!$B6,FALSE()))</f>
        <v>0</v>
      </c>
      <c r="Z40" s="57"/>
      <c r="AA40" s="20" t="n">
        <f aca="false">IF(Z40=0,X40*Y40/100*W40,W40*X40*Z19/1000)</f>
        <v>0</v>
      </c>
    </row>
    <row r="41" customFormat="false" ht="15.75" hidden="false" customHeight="false" outlineLevel="0" collapsed="false">
      <c r="D41" s="54" t="n">
        <f aca="false">IF($AJ$33=0,0,HLOOKUP($AJ$33,'Daten-Zusammensetzung Bauteil'!$B$4:$BC$9,Database!$B7,FALSE()))</f>
        <v>0</v>
      </c>
      <c r="E41" s="55" t="n">
        <f aca="false">IF($AJ$33=0,0,HLOOKUP($AJ$33,'Daten-Funktion'!$B$4:$BC$9,Database!$B7,FALSE()))</f>
        <v>0</v>
      </c>
      <c r="F41" s="54" t="n">
        <f aca="false">IF($AJ$33=0,0,HLOOKUP($AJ$33,'Daten-THGE'!$B$4:$BC$9,Database!$B7,FALSE()))</f>
        <v>0</v>
      </c>
      <c r="G41" s="54" t="n">
        <f aca="false">IF($AJ$33=0,0,HLOOKUP($AJ$33,'Daten-Dichte'!$B$4:$BC$9,Database!$B7,FALSE()))</f>
        <v>0</v>
      </c>
      <c r="H41" s="54" t="n">
        <f aca="false">IF($AJ$33=0,0,HLOOKUP($AJ$33,'Daten-Dicke'!$B$4:$BC$9,Database!$B7,FALSE()))</f>
        <v>0</v>
      </c>
      <c r="I41" s="57"/>
      <c r="J41" s="20" t="n">
        <f aca="false">IF(I41=0,G41*H41/100*F41,F41*G41*I41/1000)</f>
        <v>0</v>
      </c>
      <c r="U41" s="54" t="n">
        <f aca="false">IF($AK$33=0,0,HLOOKUP($AK$33,'Daten-Zusammensetzung Bauteil'!$B$4:$BC$9,Database!$B7,FALSE()))</f>
        <v>0</v>
      </c>
      <c r="V41" s="55" t="n">
        <f aca="false">IF($AK$33=0,0,HLOOKUP($AK$33,'Daten-Funktion'!$B$4:$BC$9,Database!$B7,FALSE()))</f>
        <v>0</v>
      </c>
      <c r="W41" s="54" t="n">
        <f aca="false">IF($AK$33=0,0,HLOOKUP($AK$33,'Daten-THGE'!$B$4:$BC$9,Database!$B7,FALSE()))</f>
        <v>0</v>
      </c>
      <c r="X41" s="54" t="n">
        <f aca="false">IF($AK$33=0,0,HLOOKUP($AK$33,'Daten-Dichte'!$B$4:$BC$9,Database!$B7,FALSE()))</f>
        <v>0</v>
      </c>
      <c r="Y41" s="54" t="n">
        <f aca="false">IF($AK$33=0,0,HLOOKUP($AK$33,'Daten-Dicke'!$B$4:$BC$9,Database!$B7,FALSE()))</f>
        <v>0</v>
      </c>
      <c r="Z41" s="57"/>
      <c r="AA41" s="20" t="n">
        <f aca="false">IF(Z41=0,X41*Y41/100*W41,W41*X41*Z20/1000)</f>
        <v>0</v>
      </c>
    </row>
    <row r="42" customFormat="false" ht="15.75" hidden="false" customHeight="false" outlineLevel="0" collapsed="false">
      <c r="D42" s="54" t="n">
        <f aca="false">IF($AJ$33=0,0,HLOOKUP($AJ$33,'Daten-Zusammensetzung Bauteil'!$B$4:$BC$9,Database!$B8,FALSE()))</f>
        <v>0</v>
      </c>
      <c r="E42" s="55" t="n">
        <f aca="false">IF($AJ$33=0,0,HLOOKUP($AJ$33,'Daten-Funktion'!$B$4:$BC$9,Database!$B8,FALSE()))</f>
        <v>0</v>
      </c>
      <c r="F42" s="54" t="n">
        <f aca="false">IF($AJ$33=0,0,HLOOKUP($AJ$33,'Daten-THGE'!$B$4:$BC$9,Database!$B8,FALSE()))</f>
        <v>0</v>
      </c>
      <c r="G42" s="54" t="n">
        <f aca="false">IF($AJ$33=0,0,HLOOKUP($AJ$33,'Daten-Dichte'!$B$4:$BC$9,Database!$B8,FALSE()))</f>
        <v>0</v>
      </c>
      <c r="H42" s="54" t="n">
        <f aca="false">IF($AJ$33=0,0,HLOOKUP($AJ$33,'Daten-Dicke'!$B$4:$BC$9,Database!$B8,FALSE()))</f>
        <v>0</v>
      </c>
      <c r="I42" s="57"/>
      <c r="J42" s="20" t="n">
        <f aca="false">IF(I42=0,G42*H42/100*F42,F42*G42*I42/1000)</f>
        <v>0</v>
      </c>
      <c r="U42" s="54" t="n">
        <f aca="false">IF($AK$33=0,0,HLOOKUP($AK$33,'Daten-Zusammensetzung Bauteil'!$B$4:$BC$9,Database!$B8,FALSE()))</f>
        <v>0</v>
      </c>
      <c r="V42" s="55" t="n">
        <f aca="false">IF($AK$33=0,0,HLOOKUP($AK$33,'Daten-Funktion'!$B$4:$BC$9,Database!$B8,FALSE()))</f>
        <v>0</v>
      </c>
      <c r="W42" s="54" t="n">
        <f aca="false">IF($AK$33=0,0,HLOOKUP($AK$33,'Daten-THGE'!$B$4:$BC$9,Database!$B8,FALSE()))</f>
        <v>0</v>
      </c>
      <c r="X42" s="54" t="n">
        <f aca="false">IF($AK$33=0,0,HLOOKUP($AK$33,'Daten-Dichte'!$B$4:$BC$9,Database!$B8,FALSE()))</f>
        <v>0</v>
      </c>
      <c r="Y42" s="54" t="n">
        <f aca="false">IF($AK$33=0,0,HLOOKUP($AK$33,'Daten-Dicke'!$B$4:$BC$9,Database!$B8,FALSE()))</f>
        <v>0</v>
      </c>
      <c r="Z42" s="57"/>
      <c r="AA42" s="20" t="n">
        <f aca="false">IF(Z42=0,X42*Y42/100*W42,W42*X42*Z21/1000)</f>
        <v>0</v>
      </c>
    </row>
    <row r="43" customFormat="false" ht="15" hidden="false" customHeight="false" outlineLevel="0" collapsed="false">
      <c r="M43" s="64" t="s">
        <v>284</v>
      </c>
      <c r="N43" s="64" t="s">
        <v>285</v>
      </c>
      <c r="O43" s="64" t="s">
        <v>286</v>
      </c>
      <c r="P43" s="64" t="s">
        <v>287</v>
      </c>
      <c r="Q43" s="64" t="s">
        <v>288</v>
      </c>
      <c r="AD43" s="64" t="s">
        <v>284</v>
      </c>
      <c r="AE43" s="64" t="s">
        <v>285</v>
      </c>
      <c r="AF43" s="64" t="s">
        <v>289</v>
      </c>
      <c r="AG43" s="64" t="s">
        <v>287</v>
      </c>
      <c r="AH43" s="64" t="s">
        <v>288</v>
      </c>
    </row>
    <row r="44" customFormat="false" ht="20.25" hidden="false" customHeight="false" outlineLevel="0" collapsed="false">
      <c r="B44" s="6" t="s">
        <v>266</v>
      </c>
      <c r="C44" s="6"/>
      <c r="D44" s="37" t="s">
        <v>257</v>
      </c>
      <c r="E44" s="52"/>
      <c r="F44" s="37" t="s">
        <v>259</v>
      </c>
      <c r="G44" s="37" t="s">
        <v>260</v>
      </c>
      <c r="H44" s="37" t="s">
        <v>261</v>
      </c>
      <c r="I44" s="53" t="s">
        <v>262</v>
      </c>
      <c r="J44" s="37" t="s">
        <v>263</v>
      </c>
      <c r="K44" s="8" t="s">
        <v>102</v>
      </c>
      <c r="L44" s="7"/>
      <c r="S44" s="6" t="s">
        <v>266</v>
      </c>
      <c r="U44" s="37" t="s">
        <v>257</v>
      </c>
      <c r="V44" s="52"/>
      <c r="W44" s="37" t="s">
        <v>259</v>
      </c>
      <c r="X44" s="37" t="s">
        <v>260</v>
      </c>
      <c r="Y44" s="37" t="s">
        <v>261</v>
      </c>
      <c r="Z44" s="53" t="s">
        <v>262</v>
      </c>
      <c r="AA44" s="37" t="s">
        <v>263</v>
      </c>
      <c r="AB44" s="8" t="s">
        <v>102</v>
      </c>
      <c r="AC44" s="7"/>
    </row>
    <row r="45" customFormat="false" ht="15.75" hidden="false" customHeight="false" outlineLevel="0" collapsed="false">
      <c r="B45" s="37" t="s">
        <v>140</v>
      </c>
      <c r="C45" s="37" t="s">
        <v>290</v>
      </c>
      <c r="D45" s="54" t="str">
        <f aca="false">HLOOKUP($AJ$52,'Daten-Zusammensetzung Bauteil'!$B$4:$BC$14,Database!$B4,FALSE())</f>
        <v>Hochbaubeton 25 cm [kg]</v>
      </c>
      <c r="E45" s="55" t="str">
        <f aca="false">MID(HLOOKUP($AJ$52,'Daten-Funktion'!$B$4:$BC$14,Database!$B4,FALSE()),1,2)</f>
        <v>C4</v>
      </c>
      <c r="F45" s="54" t="n">
        <f aca="false">HLOOKUP($AJ$52,'Daten-THGE'!$B$4:$BC$14,Database!$B4,FALSE())</f>
        <v>0.00165333333333333</v>
      </c>
      <c r="G45" s="54" t="n">
        <f aca="false">HLOOKUP($AJ$52,'Daten-Dichte'!$B$4:$BC$14,Database!$B4,FALSE())</f>
        <v>2300</v>
      </c>
      <c r="H45" s="54" t="n">
        <f aca="false">HLOOKUP($AJ$52,'Daten-Dicke'!$B$4:$BC$14,Database!$B4,FALSE())</f>
        <v>24.6496815286624</v>
      </c>
      <c r="I45" s="9"/>
      <c r="J45" s="20" t="n">
        <f aca="false">IF(I45=0,G45*H45/100*F45,F45*G45*I45/1000)</f>
        <v>0.937345222929936</v>
      </c>
      <c r="K45" s="56" t="n">
        <f aca="false">SUM(J45:J62)*Gebäude!$C$36*(Gebäude!$C$32-1)</f>
        <v>1767.32956157113</v>
      </c>
      <c r="L45" s="37" t="s">
        <v>31</v>
      </c>
      <c r="M45" s="68" t="n">
        <f aca="false">IF(E45="C4",1,0)</f>
        <v>1</v>
      </c>
      <c r="N45" s="68" t="n">
        <f aca="false">IF(E45="G4.1",1,0)</f>
        <v>0</v>
      </c>
      <c r="O45" s="68" t="n">
        <f aca="false">IF(E45="G4.2",1,0)</f>
        <v>0</v>
      </c>
      <c r="P45" s="68" t="n">
        <f aca="false">IF(E45="G2.1",1,0)</f>
        <v>0</v>
      </c>
      <c r="Q45" s="68" t="n">
        <f aca="false">IF(E45="G2.2",1,0)</f>
        <v>0</v>
      </c>
      <c r="S45" s="37" t="s">
        <v>291</v>
      </c>
      <c r="T45" s="37" t="s">
        <v>290</v>
      </c>
      <c r="U45" s="54" t="str">
        <f aca="false">HLOOKUP($AK$52,'Daten-Zusammensetzung Bauteil'!$B$4:$BC$14,Database!$B4,FALSE())</f>
        <v>Hochbaubeton 25 cm [kg]</v>
      </c>
      <c r="V45" s="55" t="str">
        <f aca="false">MID(HLOOKUP($AK$52,'Daten-Funktion'!$B$4:$BC$14,Database!$B4,FALSE()),1,2)</f>
        <v>C4</v>
      </c>
      <c r="W45" s="54" t="n">
        <f aca="false">HLOOKUP($AK$52,'Daten-THGE'!$B$4:$BC$14,Database!$B4,FALSE())</f>
        <v>0.00165333333333333</v>
      </c>
      <c r="X45" s="54" t="n">
        <f aca="false">HLOOKUP($AK$52,'Daten-Dichte'!$B$4:$BC$14,Database!$B4,FALSE())</f>
        <v>2300</v>
      </c>
      <c r="Y45" s="54" t="n">
        <f aca="false">HLOOKUP($AK$52,'Daten-Dicke'!$B$4:$BC$14,Database!$B4,FALSE())</f>
        <v>24.6496815286624</v>
      </c>
      <c r="Z45" s="9"/>
      <c r="AA45" s="20" t="n">
        <f aca="false">IF(Z45=0,X45*Y45/100*W45,W45*X45*Z45/1000)</f>
        <v>0.937345222929936</v>
      </c>
      <c r="AB45" s="56" t="n">
        <f aca="false">IF(AK55=0,0,SUM(AA45:AA51)*Gebäude!$C$35*Gebäude!$C$31+SUM('Decke unter &amp; über Terrain'!AA53:AA56)*Gebäude!$C$35+SUM('Decke unter &amp; über Terrain'!AA58:AA62)*Gebäude!$C$35*Gebäude!$C$31)</f>
        <v>633.830239118896</v>
      </c>
      <c r="AC45" s="37" t="s">
        <v>31</v>
      </c>
      <c r="AD45" s="68" t="n">
        <f aca="false">IF(V45="C4",1,0)</f>
        <v>1</v>
      </c>
      <c r="AE45" s="68" t="n">
        <f aca="false">IF(V45="G4.1",1,0)</f>
        <v>0</v>
      </c>
      <c r="AF45" s="68" t="n">
        <f aca="false">IF(V45="G4.2",1,0)</f>
        <v>0</v>
      </c>
      <c r="AG45" s="68" t="n">
        <f aca="false">IF(V45="G2.1",1,0)</f>
        <v>0</v>
      </c>
      <c r="AH45" s="68" t="n">
        <v>0</v>
      </c>
    </row>
    <row r="46" customFormat="false" ht="15.75" hidden="false" customHeight="false" outlineLevel="0" collapsed="false">
      <c r="B46" s="37" t="str">
        <f aca="false">Gebäude!$G$25</f>
        <v>Massivbauweise</v>
      </c>
      <c r="C46" s="37"/>
      <c r="D46" s="54" t="str">
        <f aca="false">HLOOKUP($AJ$52,'Daten-Zusammensetzung Bauteil'!$B$4:$BC$14,Database!$B5,FALSE())</f>
        <v>Armierungsstahl (Bewehrungsgehalt 90 kg/m3) [kg]</v>
      </c>
      <c r="E46" s="55" t="str">
        <f aca="false">MID(HLOOKUP($AJ$52,'Daten-Funktion'!$B$4:$BC$14,Database!$B5,FALSE()),1,2)</f>
        <v>C4</v>
      </c>
      <c r="F46" s="54" t="n">
        <f aca="false">HLOOKUP($AJ$52,'Daten-THGE'!$B$4:$BC$14,Database!$B5,FALSE())</f>
        <v>0.0113666666666667</v>
      </c>
      <c r="G46" s="54" t="n">
        <f aca="false">HLOOKUP($AJ$52,'Daten-Dichte'!$B$4:$BC$14,Database!$B5,FALSE())</f>
        <v>7850</v>
      </c>
      <c r="H46" s="54" t="n">
        <f aca="false">HLOOKUP($AJ$52,'Daten-Dicke'!$B$4:$BC$14,Database!$B5,FALSE())</f>
        <v>0.35031847133758</v>
      </c>
      <c r="I46" s="9"/>
      <c r="J46" s="20" t="n">
        <f aca="false">IF(I46=0,G46*H46/100*F46,F46*G46*I46/1000)</f>
        <v>0.312583333333333</v>
      </c>
      <c r="K46" s="54"/>
      <c r="L46" s="7"/>
      <c r="M46" s="68" t="n">
        <f aca="false">IF(E46="C4",1,0)</f>
        <v>1</v>
      </c>
      <c r="N46" s="68" t="n">
        <f aca="false">IF(E46="G4.1",1,0)</f>
        <v>0</v>
      </c>
      <c r="O46" s="68" t="n">
        <f aca="false">IF(E46="G4.2",1,0)</f>
        <v>0</v>
      </c>
      <c r="P46" s="68" t="n">
        <f aca="false">IF(E46="G2.1",1,0)</f>
        <v>0</v>
      </c>
      <c r="Q46" s="68" t="n">
        <f aca="false">IF(E46="G2.2",1,0)</f>
        <v>0</v>
      </c>
      <c r="S46" s="37" t="str">
        <f aca="false">Gebäude!$G$25</f>
        <v>Massivbauweise</v>
      </c>
      <c r="T46" s="37"/>
      <c r="U46" s="54" t="str">
        <f aca="false">HLOOKUP($AK$52,'Daten-Zusammensetzung Bauteil'!$B$4:$BC$14,Database!$B5,FALSE())</f>
        <v>Armierungsstahl (Bewehrungsgehalt 90 kg/m3) [kg]</v>
      </c>
      <c r="V46" s="55" t="str">
        <f aca="false">MID(HLOOKUP($AK$52,'Daten-Funktion'!$B$4:$BC$14,Database!$B5,FALSE()),1,2)</f>
        <v>C4</v>
      </c>
      <c r="W46" s="54" t="n">
        <f aca="false">HLOOKUP($AK$52,'Daten-THGE'!$B$4:$BC$14,Database!$B5,FALSE())</f>
        <v>0.0113666666666667</v>
      </c>
      <c r="X46" s="54" t="n">
        <f aca="false">HLOOKUP($AK$52,'Daten-Dichte'!$B$4:$BC$14,Database!$B5,FALSE())</f>
        <v>7850</v>
      </c>
      <c r="Y46" s="54" t="n">
        <f aca="false">HLOOKUP($AK$52,'Daten-Dicke'!$B$4:$BC$14,Database!$B5,FALSE())</f>
        <v>0.35031847133758</v>
      </c>
      <c r="Z46" s="9"/>
      <c r="AA46" s="20" t="n">
        <f aca="false">IF(Z46=0,X46*Y46/100*W46,W46*X46*Z46/1000)</f>
        <v>0.312583333333333</v>
      </c>
      <c r="AB46" s="54"/>
      <c r="AC46" s="7"/>
      <c r="AD46" s="68" t="n">
        <f aca="false">IF(V46="C4",1,0)</f>
        <v>1</v>
      </c>
      <c r="AE46" s="68" t="n">
        <f aca="false">IF(V46="G4.1",1,0)</f>
        <v>0</v>
      </c>
      <c r="AF46" s="68" t="n">
        <f aca="false">IF(V46="G4.2",1,0)</f>
        <v>0</v>
      </c>
      <c r="AG46" s="68" t="n">
        <f aca="false">IF(V46="G2.1",1,0)</f>
        <v>0</v>
      </c>
      <c r="AH46" s="68" t="n">
        <v>0</v>
      </c>
    </row>
    <row r="47" customFormat="false" ht="15.75" hidden="false" customHeight="false" outlineLevel="0" collapsed="false">
      <c r="B47" s="37" t="str">
        <f aca="false">Gebäude!$G$26</f>
        <v>Mit UG</v>
      </c>
      <c r="C47" s="7"/>
      <c r="D47" s="54" t="str">
        <f aca="false">HLOOKUP($AJ$52,'Daten-Zusammensetzung Bauteil'!$B$4:$BC$14,Database!$B6,FALSE())</f>
        <v>3-SP Schalung 2.5cm (Annahme 5xverwendet) [kg]</v>
      </c>
      <c r="E47" s="55" t="str">
        <f aca="false">MID(HLOOKUP($AJ$52,'Daten-Funktion'!$B$4:$BC$14,Database!$B6,FALSE()),1,2)</f>
        <v>C4</v>
      </c>
      <c r="F47" s="54" t="n">
        <f aca="false">HLOOKUP($AJ$52,'Daten-THGE'!$B$4:$BC$14,Database!$B6,FALSE())</f>
        <v>0.00871666666666667</v>
      </c>
      <c r="G47" s="54" t="n">
        <f aca="false">HLOOKUP($AJ$52,'Daten-Dichte'!$B$4:$BC$14,Database!$B6,FALSE())</f>
        <v>470</v>
      </c>
      <c r="H47" s="54" t="n">
        <f aca="false">HLOOKUP($AJ$52,'Daten-Dicke'!$B$4:$BC$14,Database!$B6,FALSE())</f>
        <v>1</v>
      </c>
      <c r="I47" s="57"/>
      <c r="J47" s="20" t="n">
        <f aca="false">IF(I47=0,G47*H47/100*F47,F47*G47*I47/1000)</f>
        <v>0.0409683333333333</v>
      </c>
      <c r="K47" s="7"/>
      <c r="L47" s="7"/>
      <c r="M47" s="68" t="n">
        <f aca="false">IF(E47="C4",1,0)</f>
        <v>1</v>
      </c>
      <c r="N47" s="68" t="n">
        <f aca="false">IF(E47="G4.1",1,0)</f>
        <v>0</v>
      </c>
      <c r="O47" s="68" t="n">
        <f aca="false">IF(E47="G4.2",1,0)</f>
        <v>0</v>
      </c>
      <c r="P47" s="68" t="n">
        <f aca="false">IF(E47="G2.1",1,0)</f>
        <v>0</v>
      </c>
      <c r="Q47" s="68" t="n">
        <f aca="false">IF(E47="G2.2",1,0)</f>
        <v>0</v>
      </c>
      <c r="S47" s="37" t="str">
        <f aca="false">Gebäude!$G$26</f>
        <v>Mit UG</v>
      </c>
      <c r="T47" s="7"/>
      <c r="U47" s="54" t="str">
        <f aca="false">HLOOKUP($AK$52,'Daten-Zusammensetzung Bauteil'!$B$4:$BC$14,Database!$B6,FALSE())</f>
        <v>3-SP Schalung 2.5cm (Annahme 5xverwendet) [kg]</v>
      </c>
      <c r="V47" s="55" t="str">
        <f aca="false">MID(HLOOKUP($AK$52,'Daten-Funktion'!$B$4:$BC$14,Database!$B6,FALSE()),1,2)</f>
        <v>C4</v>
      </c>
      <c r="W47" s="54" t="n">
        <f aca="false">HLOOKUP($AK$52,'Daten-THGE'!$B$4:$BC$14,Database!$B6,FALSE())</f>
        <v>0.00871666666666667</v>
      </c>
      <c r="X47" s="54" t="n">
        <f aca="false">HLOOKUP($AK$52,'Daten-Dichte'!$B$4:$BC$14,Database!$B6,FALSE())</f>
        <v>470</v>
      </c>
      <c r="Y47" s="54" t="n">
        <f aca="false">HLOOKUP($AK$52,'Daten-Dicke'!$B$4:$BC$14,Database!$B6,FALSE())</f>
        <v>1</v>
      </c>
      <c r="Z47" s="57"/>
      <c r="AA47" s="20" t="n">
        <f aca="false">IF(Z47=0,X47*Y47/100*W47,W47*X47*Z47/1000)</f>
        <v>0.0409683333333333</v>
      </c>
      <c r="AB47" s="7"/>
      <c r="AC47" s="7"/>
      <c r="AD47" s="68" t="n">
        <f aca="false">IF(V47="C4",1,0)</f>
        <v>1</v>
      </c>
      <c r="AE47" s="68" t="n">
        <f aca="false">IF(V47="G4.1",1,0)</f>
        <v>0</v>
      </c>
      <c r="AF47" s="68" t="n">
        <f aca="false">IF(V47="G4.2",1,0)</f>
        <v>0</v>
      </c>
      <c r="AG47" s="68" t="n">
        <f aca="false">IF(V47="G2.1",1,0)</f>
        <v>0</v>
      </c>
      <c r="AH47" s="68" t="n">
        <v>0</v>
      </c>
    </row>
    <row r="48" customFormat="false" ht="15.75" hidden="false" customHeight="false" outlineLevel="0" collapsed="false">
      <c r="B48" s="37" t="str">
        <f aca="false">Gebäude!G28</f>
        <v>Mit abgehängte Installationsdecke</v>
      </c>
      <c r="C48" s="7"/>
      <c r="D48" s="54" t="str">
        <f aca="false">HLOOKUP($AJ$52,'Daten-Zusammensetzung Bauteil'!$B$4:$BC$14,Database!$B7,FALSE())</f>
        <v>Kalk-Zementgrundputz [kg]</v>
      </c>
      <c r="E48" s="55" t="str">
        <f aca="false">HLOOKUP($AJ$52,'Daten-Funktion'!$B$4:$BC$14,Database!$B7,FALSE())</f>
        <v>G4.1</v>
      </c>
      <c r="F48" s="54" t="n">
        <f aca="false">HLOOKUP($AJ$52,'Daten-THGE'!$B$4:$BC$14,Database!$B7,FALSE())</f>
        <v>0.00823333333333333</v>
      </c>
      <c r="G48" s="54" t="n">
        <f aca="false">HLOOKUP($AJ$52,'Daten-Dichte'!$B$4:$BC$14,Database!$B7,FALSE())</f>
        <v>1550</v>
      </c>
      <c r="H48" s="54" t="n">
        <f aca="false">HLOOKUP($AJ$52,'Daten-Dicke'!$B$4:$BC$14,Database!$B7,FALSE())</f>
        <v>1.16129032258065</v>
      </c>
      <c r="I48" s="57"/>
      <c r="J48" s="20" t="n">
        <f aca="false">IF(I48=0,G48*H48/100*F48,F48*G48*I48/1000)</f>
        <v>0.1482</v>
      </c>
      <c r="K48" s="7"/>
      <c r="L48" s="7"/>
      <c r="M48" s="68" t="n">
        <f aca="false">IF(E48="C4",1,0)</f>
        <v>0</v>
      </c>
      <c r="N48" s="68" t="n">
        <f aca="false">IF(E48="G4.1",1,0)</f>
        <v>1</v>
      </c>
      <c r="O48" s="68" t="n">
        <f aca="false">IF(E48="G4.2",1,0)</f>
        <v>0</v>
      </c>
      <c r="P48" s="68" t="n">
        <f aca="false">IF(E48="G2.1",1,0)</f>
        <v>0</v>
      </c>
      <c r="Q48" s="68" t="n">
        <f aca="false">IF(E48="G2.2",1,0)</f>
        <v>0</v>
      </c>
      <c r="S48" s="37" t="str">
        <f aca="false">Gebäude!G29</f>
        <v>Ohne Installation</v>
      </c>
      <c r="T48" s="7"/>
      <c r="U48" s="54" t="str">
        <f aca="false">HLOOKUP($AK$52,'Daten-Zusammensetzung Bauteil'!$B$4:$BC$14,Database!$B7,FALSE())</f>
        <v>Kalk-Zementgrundputz [kg]</v>
      </c>
      <c r="V48" s="55" t="str">
        <f aca="false">HLOOKUP($AK$52,'Daten-Funktion'!$B$4:$BC$14,Database!$B7,FALSE())</f>
        <v>G4.1</v>
      </c>
      <c r="W48" s="54" t="n">
        <f aca="false">HLOOKUP($AK$52,'Daten-THGE'!$B$4:$BC$14,Database!$B7,FALSE())</f>
        <v>0.00823333333333333</v>
      </c>
      <c r="X48" s="54" t="n">
        <f aca="false">HLOOKUP($AK$52,'Daten-Dichte'!$B$4:$BC$14,Database!$B7,FALSE())</f>
        <v>1550</v>
      </c>
      <c r="Y48" s="54" t="n">
        <f aca="false">HLOOKUP($AK$52,'Daten-Dicke'!$B$4:$BC$14,Database!$B7,FALSE())</f>
        <v>1.16129032258065</v>
      </c>
      <c r="Z48" s="57"/>
      <c r="AA48" s="20" t="n">
        <f aca="false">IF(Z48=0,X48*Y48/100*W48,W48*X48*Z48/1000)</f>
        <v>0.1482</v>
      </c>
      <c r="AB48" s="7"/>
      <c r="AC48" s="7"/>
      <c r="AD48" s="68" t="n">
        <f aca="false">IF(V48="C4",1,0)</f>
        <v>0</v>
      </c>
      <c r="AE48" s="68" t="n">
        <f aca="false">IF(V48="G4.1",1,0)</f>
        <v>1</v>
      </c>
      <c r="AF48" s="68" t="n">
        <f aca="false">IF(V48="G4.2",1,0)</f>
        <v>0</v>
      </c>
      <c r="AG48" s="68" t="n">
        <f aca="false">IF(V48="G2.1",1,0)</f>
        <v>0</v>
      </c>
      <c r="AH48" s="68" t="n">
        <v>0</v>
      </c>
    </row>
    <row r="49" customFormat="false" ht="15.75" hidden="false" customHeight="false" outlineLevel="0" collapsed="false">
      <c r="B49" s="37" t="str">
        <f aca="false">Gebäude!$G$30</f>
        <v>Decke über Terrain Bodenbelag 2</v>
      </c>
      <c r="C49" s="7"/>
      <c r="D49" s="54" t="str">
        <f aca="false">HLOOKUP($AJ$52,'Daten-Zusammensetzung Bauteil'!$B$4:$BC$14,Database!$B8,FALSE())</f>
        <v>Deckputz (Weissputz) [kg]</v>
      </c>
      <c r="E49" s="55" t="str">
        <f aca="false">HLOOKUP($AJ$52,'Daten-Funktion'!$B$4:$BC$14,Database!$B8,FALSE())</f>
        <v>G4.2</v>
      </c>
      <c r="F49" s="54" t="n">
        <f aca="false">HLOOKUP($AJ$52,'Daten-THGE'!$B$4:$BC$14,Database!$B8,FALSE())</f>
        <v>0.0049</v>
      </c>
      <c r="G49" s="54" t="n">
        <f aca="false">HLOOKUP($AJ$52,'Daten-Dichte'!$B$4:$BC$14,Database!$B8,FALSE())</f>
        <v>1100</v>
      </c>
      <c r="H49" s="54" t="n">
        <f aca="false">HLOOKUP($AJ$52,'Daten-Dicke'!$B$4:$BC$14,Database!$B8,FALSE())</f>
        <v>0.318181818181818</v>
      </c>
      <c r="I49" s="57"/>
      <c r="J49" s="20" t="n">
        <f aca="false">IF(I49=0,G49*H49/100*F49,F49*G49*I49/1000)</f>
        <v>0.01715</v>
      </c>
      <c r="K49" s="7"/>
      <c r="L49" s="7"/>
      <c r="M49" s="68" t="n">
        <f aca="false">IF(E49="C4",1,0)</f>
        <v>0</v>
      </c>
      <c r="N49" s="68" t="n">
        <f aca="false">IF(E49="G4.1",1,0)</f>
        <v>0</v>
      </c>
      <c r="O49" s="68" t="n">
        <f aca="false">IF(E49="G4.2",1,0)</f>
        <v>1</v>
      </c>
      <c r="P49" s="68" t="n">
        <f aca="false">IF(E49="G2.1",1,0)</f>
        <v>0</v>
      </c>
      <c r="Q49" s="68" t="n">
        <f aca="false">IF(E49="G2.2",1,0)</f>
        <v>0</v>
      </c>
      <c r="S49" s="37" t="str">
        <f aca="false">Gebäude!$G$31</f>
        <v>Decke unter Terrain Bodenbelag 2</v>
      </c>
      <c r="T49" s="7"/>
      <c r="U49" s="54" t="str">
        <f aca="false">HLOOKUP($AK$52,'Daten-Zusammensetzung Bauteil'!$B$4:$BC$14,Database!$B8,FALSE())</f>
        <v>Deckputz (Weissputz) [kg]</v>
      </c>
      <c r="V49" s="55" t="str">
        <f aca="false">HLOOKUP($AK$52,'Daten-Funktion'!$B$4:$BC$14,Database!$B8,FALSE())</f>
        <v>G4.2</v>
      </c>
      <c r="W49" s="54" t="n">
        <f aca="false">HLOOKUP($AK$52,'Daten-THGE'!$B$4:$BC$14,Database!$B8,FALSE())</f>
        <v>0.0049</v>
      </c>
      <c r="X49" s="54" t="n">
        <f aca="false">HLOOKUP($AK$52,'Daten-Dichte'!$B$4:$BC$14,Database!$B8,FALSE())</f>
        <v>1100</v>
      </c>
      <c r="Y49" s="54" t="n">
        <f aca="false">HLOOKUP($AK$52,'Daten-Dicke'!$B$4:$BC$14,Database!$B8,FALSE())</f>
        <v>0.318181818181818</v>
      </c>
      <c r="Z49" s="57"/>
      <c r="AA49" s="20" t="n">
        <f aca="false">IF(Z49=0,X49*Y49/100*W49,W49*X49*Z49/1000)</f>
        <v>0.01715</v>
      </c>
      <c r="AB49" s="7"/>
      <c r="AC49" s="7"/>
      <c r="AD49" s="68" t="n">
        <f aca="false">IF(V49="C4",1,0)</f>
        <v>0</v>
      </c>
      <c r="AE49" s="68" t="n">
        <f aca="false">IF(V49="G4.1",1,0)</f>
        <v>0</v>
      </c>
      <c r="AF49" s="68" t="n">
        <f aca="false">IF(V49="G4.2",1,0)</f>
        <v>1</v>
      </c>
      <c r="AG49" s="68" t="n">
        <f aca="false">IF(V49="G2.1",1,0)</f>
        <v>0</v>
      </c>
      <c r="AH49" s="68" t="n">
        <v>0</v>
      </c>
    </row>
    <row r="50" customFormat="false" ht="15.75" hidden="false" customHeight="false" outlineLevel="0" collapsed="false">
      <c r="B50" s="7"/>
      <c r="C50" s="7"/>
      <c r="D50" s="54" t="str">
        <f aca="false">HLOOKUP($AJ$52,'Daten-Zusammensetzung Bauteil'!$B$4:$BC$14,Database!$B9,FALSE())</f>
        <v>Wanddispersion [m2]</v>
      </c>
      <c r="E50" s="55" t="str">
        <f aca="false">HLOOKUP($AJ$52,'Daten-Funktion'!$B$4:$BC$14,Database!$B9,FALSE())</f>
        <v>G4.2</v>
      </c>
      <c r="F50" s="54" t="n">
        <f aca="false">HLOOKUP($AJ$52,'Daten-THGE'!$B$4:$BC$14,Database!$B9,FALSE())</f>
        <v>0.151111111111111</v>
      </c>
      <c r="G50" s="54" t="n">
        <f aca="false">HLOOKUP($AJ$52,'Daten-Dichte'!$B$4:$BC$14,Database!$B9,FALSE())</f>
        <v>150</v>
      </c>
      <c r="H50" s="54" t="n">
        <f aca="false">HLOOKUP($AJ$52,'Daten-Dicke'!$B$4:$BC$14,Database!$B9,FALSE())</f>
        <v>0.2</v>
      </c>
      <c r="I50" s="57"/>
      <c r="J50" s="20" t="n">
        <f aca="false">IF(I50=0,G50*H50/100*F50,F50*G50*I50/1000)</f>
        <v>0.0453333333333333</v>
      </c>
      <c r="K50" s="7"/>
      <c r="L50" s="7"/>
      <c r="M50" s="68" t="n">
        <f aca="false">IF(E50="C4",1,0)</f>
        <v>0</v>
      </c>
      <c r="N50" s="68" t="n">
        <f aca="false">IF(E50="G4.1",1,0)</f>
        <v>0</v>
      </c>
      <c r="O50" s="68" t="n">
        <f aca="false">IF(E50="G4.2",1,0)</f>
        <v>1</v>
      </c>
      <c r="P50" s="68" t="n">
        <f aca="false">IF(E50="G2.1",1,0)</f>
        <v>0</v>
      </c>
      <c r="Q50" s="68" t="n">
        <f aca="false">IF(E50="G2.2",1,0)</f>
        <v>0</v>
      </c>
      <c r="S50" s="7"/>
      <c r="T50" s="7"/>
      <c r="U50" s="54" t="str">
        <f aca="false">HLOOKUP($AK$52,'Daten-Zusammensetzung Bauteil'!$B$4:$BC$14,Database!$B9,FALSE())</f>
        <v>Wanddispersion [m2]</v>
      </c>
      <c r="V50" s="55" t="str">
        <f aca="false">HLOOKUP($AK$52,'Daten-Funktion'!$B$4:$BC$14,Database!$B9,FALSE())</f>
        <v>G4.2</v>
      </c>
      <c r="W50" s="54" t="n">
        <f aca="false">HLOOKUP($AK$52,'Daten-THGE'!$B$4:$BC$14,Database!$B9,FALSE())</f>
        <v>0.151111111111111</v>
      </c>
      <c r="X50" s="54" t="n">
        <f aca="false">HLOOKUP($AK$52,'Daten-Dichte'!$B$4:$BC$14,Database!$B9,FALSE())</f>
        <v>150</v>
      </c>
      <c r="Y50" s="54" t="n">
        <f aca="false">HLOOKUP($AK$52,'Daten-Dicke'!$B$4:$BC$14,Database!$B9,FALSE())</f>
        <v>0.2</v>
      </c>
      <c r="Z50" s="57"/>
      <c r="AA50" s="20" t="n">
        <f aca="false">IF(Z50=0,X50*Y50/100*W50,W50*X50*Z50/1000)</f>
        <v>0.0453333333333333</v>
      </c>
      <c r="AB50" s="7"/>
      <c r="AC50" s="7"/>
      <c r="AD50" s="68" t="n">
        <f aca="false">IF(V50="C4",1,0)</f>
        <v>0</v>
      </c>
      <c r="AE50" s="68" t="n">
        <f aca="false">IF(V50="G4.1",1,0)</f>
        <v>0</v>
      </c>
      <c r="AF50" s="68" t="n">
        <f aca="false">IF(V50="G4.2",1,0)</f>
        <v>1</v>
      </c>
      <c r="AG50" s="68" t="n">
        <f aca="false">IF(V50="G2.1",1,0)</f>
        <v>0</v>
      </c>
      <c r="AH50" s="68" t="n">
        <v>0</v>
      </c>
    </row>
    <row r="51" customFormat="false" ht="15.75" hidden="false" customHeight="false" outlineLevel="0" collapsed="false">
      <c r="B51" s="7"/>
      <c r="C51" s="7"/>
      <c r="D51" s="54" t="n">
        <f aca="false">HLOOKUP($AJ$52,'Daten-Zusammensetzung Bauteil'!$B$4:$BC$14,Database!$B10,FALSE())</f>
        <v>0</v>
      </c>
      <c r="E51" s="55" t="n">
        <f aca="false">HLOOKUP($AJ$52,'Daten-Funktion'!$B$4:$BC$14,Database!$B10,FALSE())</f>
        <v>0</v>
      </c>
      <c r="F51" s="54" t="n">
        <f aca="false">HLOOKUP($AJ$52,'Daten-THGE'!$B$4:$BC$14,Database!$B10,FALSE())</f>
        <v>0</v>
      </c>
      <c r="G51" s="54" t="n">
        <f aca="false">HLOOKUP($AJ$52,'Daten-Dichte'!$B$4:$BC$14,Database!$B10,FALSE())</f>
        <v>0</v>
      </c>
      <c r="H51" s="54" t="n">
        <f aca="false">HLOOKUP($AJ$52,'Daten-Dicke'!$B$4:$BC$14,Database!$B10,FALSE())</f>
        <v>0</v>
      </c>
      <c r="I51" s="57"/>
      <c r="J51" s="20" t="n">
        <f aca="false">IF(I51=0,G51*H51/100*F51,F51*G51*I51/1000)</f>
        <v>0</v>
      </c>
      <c r="K51" s="7"/>
      <c r="L51" s="7"/>
      <c r="M51" s="68" t="n">
        <f aca="false">IF(E51="C4",1,0)</f>
        <v>0</v>
      </c>
      <c r="N51" s="68" t="n">
        <f aca="false">IF(E51="G4.1",1,0)</f>
        <v>0</v>
      </c>
      <c r="O51" s="68" t="n">
        <f aca="false">IF(E51="G4.2",1,0)</f>
        <v>0</v>
      </c>
      <c r="P51" s="68" t="n">
        <f aca="false">IF(E51="G2.1",1,0)</f>
        <v>0</v>
      </c>
      <c r="Q51" s="68" t="n">
        <f aca="false">IF(E51="G2.2",1,0)</f>
        <v>0</v>
      </c>
      <c r="S51" s="7"/>
      <c r="T51" s="7"/>
      <c r="U51" s="54" t="n">
        <f aca="false">HLOOKUP($AK$52,'Daten-Zusammensetzung Bauteil'!$B$4:$BC$14,Database!$B10,FALSE())</f>
        <v>0</v>
      </c>
      <c r="V51" s="55" t="n">
        <f aca="false">HLOOKUP($AK$52,'Daten-Funktion'!$B$4:$BC$14,Database!$B10,FALSE())</f>
        <v>0</v>
      </c>
      <c r="W51" s="54" t="n">
        <f aca="false">HLOOKUP($AK$52,'Daten-THGE'!$B$4:$BC$14,Database!$B10,FALSE())</f>
        <v>0</v>
      </c>
      <c r="X51" s="54" t="n">
        <f aca="false">HLOOKUP($AK$52,'Daten-Dichte'!$B$4:$BC$14,Database!$B10,FALSE())</f>
        <v>0</v>
      </c>
      <c r="Y51" s="54" t="n">
        <f aca="false">HLOOKUP($AK$52,'Daten-Dicke'!$B$4:$BC$14,Database!$B10,FALSE())</f>
        <v>0</v>
      </c>
      <c r="Z51" s="57"/>
      <c r="AA51" s="20" t="n">
        <f aca="false">IF(Z51=0,X51*Y51/100*W51,W51*X51*Z51/1000)</f>
        <v>0</v>
      </c>
      <c r="AB51" s="7"/>
      <c r="AC51" s="7"/>
      <c r="AD51" s="68" t="n">
        <f aca="false">IF(V51="C4",1,0)</f>
        <v>0</v>
      </c>
      <c r="AE51" s="68" t="n">
        <f aca="false">IF(V51="G4.1",1,0)</f>
        <v>0</v>
      </c>
      <c r="AF51" s="68" t="n">
        <f aca="false">IF(V51="G4.2",1,0)</f>
        <v>0</v>
      </c>
      <c r="AG51" s="68" t="n">
        <f aca="false">IF(V51="G2.1",1,0)</f>
        <v>0</v>
      </c>
      <c r="AH51" s="68" t="n">
        <v>0</v>
      </c>
      <c r="AK51" s="0" t="n">
        <f aca="false">IF($S$47=Database!$D$14,1,0)</f>
        <v>1</v>
      </c>
    </row>
    <row r="52" customFormat="false" ht="15.75" hidden="false" customHeight="false" outlineLevel="0" collapsed="false">
      <c r="B52" s="7"/>
      <c r="F52" s="54"/>
      <c r="G52" s="54"/>
      <c r="H52" s="54"/>
      <c r="I52" s="54"/>
      <c r="J52" s="20"/>
      <c r="K52" s="7"/>
      <c r="L52" s="7"/>
      <c r="M52" s="75"/>
      <c r="R52" s="7"/>
      <c r="S52" s="7"/>
      <c r="U52" s="54"/>
      <c r="V52" s="55"/>
      <c r="W52" s="54"/>
      <c r="X52" s="54"/>
      <c r="Y52" s="54"/>
      <c r="Z52" s="54"/>
      <c r="AA52" s="20"/>
      <c r="AB52" s="7"/>
      <c r="AC52" s="7"/>
      <c r="AD52" s="75"/>
      <c r="AE52" s="51"/>
      <c r="AF52" s="51"/>
      <c r="AG52" s="51"/>
      <c r="AH52" s="51"/>
      <c r="AI52" s="7"/>
      <c r="AJ52" s="0" t="str">
        <f aca="false">VLOOKUP($B$46,Database!$Y$29:$AF$31,7,FALSE())</f>
        <v>10a</v>
      </c>
      <c r="AK52" s="0" t="str">
        <f aca="false">VLOOKUP($S$46,Database!$Y$29:$AF$31,8,FALSE())</f>
        <v>10a</v>
      </c>
    </row>
    <row r="53" customFormat="false" ht="15.75" hidden="false" customHeight="false" outlineLevel="0" collapsed="false">
      <c r="B53" s="7"/>
      <c r="C53" s="37" t="s">
        <v>292</v>
      </c>
      <c r="D53" s="54" t="str">
        <f aca="false">IF($AJ$53=0,0,HLOOKUP($AJ$53,'Daten-Zusammensetzung Bauteil'!$B$4:$BC$14,Database!$B4,FALSE()))</f>
        <v>Stahlblech verzinkt [kg]</v>
      </c>
      <c r="E53" s="55" t="str">
        <f aca="false">IF($AJ$53=0,0,HLOOKUP($AJ$53,'Daten-Funktion'!$B$4:$BC$14,Database!$B4,FALSE()))</f>
        <v>G4.2</v>
      </c>
      <c r="F53" s="54" t="n">
        <f aca="false">IF($AJ$53=0,0,HLOOKUP($AJ$53,'Daten-THGE'!$B$4:$BC$14,Database!$B4,FALSE()))</f>
        <v>0.117</v>
      </c>
      <c r="G53" s="54" t="n">
        <f aca="false">IF($AJ$53=0,0,HLOOKUP($AJ$53,'Daten-Dichte'!$B$4:$BC$14,Database!$B4,FALSE()))</f>
        <v>7850</v>
      </c>
      <c r="H53" s="54" t="n">
        <f aca="false">IF($AJ$53=0,0,HLOOKUP($AJ$53,'Daten-Dicke'!$B$4:$BC$14,Database!$B4,FALSE()))</f>
        <v>0.06</v>
      </c>
      <c r="I53" s="57"/>
      <c r="J53" s="20" t="n">
        <f aca="false">IF(I53=0,G53*H53/100*F53,F53*G53*I53/1000)</f>
        <v>0.55107</v>
      </c>
      <c r="K53" s="7"/>
      <c r="L53" s="7"/>
      <c r="M53" s="68" t="n">
        <f aca="false">IF(E53="Rohbau",1,0)</f>
        <v>0</v>
      </c>
      <c r="N53" s="68" t="n">
        <f aca="false">IF(E53="G4.1",1,0)</f>
        <v>0</v>
      </c>
      <c r="O53" s="68" t="n">
        <f aca="false">IF(E53="G4.2",1,0)</f>
        <v>1</v>
      </c>
      <c r="P53" s="68" t="n">
        <f aca="false">IF(E53="G2.1",1,0)</f>
        <v>0</v>
      </c>
      <c r="Q53" s="68" t="n">
        <f aca="false">IF(E53="G2.2",1,0)</f>
        <v>0</v>
      </c>
      <c r="S53" s="7"/>
      <c r="T53" s="37" t="s">
        <v>292</v>
      </c>
      <c r="U53" s="54" t="n">
        <f aca="false">IF($AK$53=0,0,HLOOKUP($AK$53,'Daten-Zusammensetzung Bauteil'!$B$4:$BC$14,Database!$B4,FALSE()))</f>
        <v>0</v>
      </c>
      <c r="V53" s="55" t="n">
        <f aca="false">IF($AK$53=0,0,HLOOKUP($AK$53,'Daten-Funktion'!$B$4:$BC$14,Database!$B4,FALSE()))</f>
        <v>0</v>
      </c>
      <c r="W53" s="54" t="n">
        <f aca="false">IF($AK$53=0,0,HLOOKUP($AK$53,'Daten-THGE'!$B$4:$BC$14,Database!$B4,FALSE()))</f>
        <v>0</v>
      </c>
      <c r="X53" s="54" t="n">
        <f aca="false">IF($AK$53=0,0,HLOOKUP($AK$53,'Daten-Dichte'!$B$4:$BC$14,Database!$B4,FALSE()))</f>
        <v>0</v>
      </c>
      <c r="Y53" s="54" t="n">
        <f aca="false">IF($AK$53=0,0,HLOOKUP($AK$53,'Daten-Dicke'!$B$4:$BC$14,Database!$B4,FALSE()))</f>
        <v>0</v>
      </c>
      <c r="Z53" s="57"/>
      <c r="AA53" s="20" t="n">
        <f aca="false">IF(Z53=0,X53*Y53/100*W53,W53*X53*Z53/1000)</f>
        <v>0</v>
      </c>
      <c r="AB53" s="7"/>
      <c r="AC53" s="7"/>
      <c r="AD53" s="68" t="n">
        <f aca="false">IF(V53="Rohbau",1,0)</f>
        <v>0</v>
      </c>
      <c r="AE53" s="68" t="n">
        <f aca="false">IF(V53="G4.1",1,0)</f>
        <v>0</v>
      </c>
      <c r="AF53" s="68" t="n">
        <f aca="false">IF(V53="G4.2",1,0)</f>
        <v>0</v>
      </c>
      <c r="AG53" s="68" t="n">
        <f aca="false">IF(V53="G2.1",1,0)</f>
        <v>0</v>
      </c>
      <c r="AH53" s="68" t="n">
        <v>0</v>
      </c>
      <c r="AJ53" s="0" t="str">
        <f aca="false">VLOOKUP($B$48,Database!$H$12:$I$15,2,FALSE())</f>
        <v>11c</v>
      </c>
      <c r="AK53" s="0" t="n">
        <f aca="false">VLOOKUP($S$48,Database!$H$12:$I$15,2,FALSE())</f>
        <v>0</v>
      </c>
    </row>
    <row r="54" customFormat="false" ht="15.75" hidden="false" customHeight="false" outlineLevel="0" collapsed="false">
      <c r="B54" s="7"/>
      <c r="D54" s="54" t="str">
        <f aca="false">IF($AJ$53=0,0,HLOOKUP($AJ$53,'Daten-Zusammensetzung Bauteil'!$B$4:$BC$14,Database!$B5,FALSE()))</f>
        <v>Pulverbeschichten Stahl [m2]</v>
      </c>
      <c r="E54" s="55" t="str">
        <f aca="false">IF($AJ$53=0,0,HLOOKUP($AJ$53,'Daten-Funktion'!$B$4:$BC$14,Database!$B5,FALSE()))</f>
        <v>G4.2</v>
      </c>
      <c r="F54" s="54" t="n">
        <f aca="false">IF($AJ$53=0,0,HLOOKUP($AJ$53,'Daten-THGE'!$B$4:$BC$14,Database!$B5,FALSE()))</f>
        <v>1.5</v>
      </c>
      <c r="G54" s="54" t="n">
        <f aca="false">IF($AJ$53=0,0,HLOOKUP($AJ$53,'Daten-Dichte'!$B$4:$BC$14,Database!$B5,FALSE()))</f>
        <v>1000</v>
      </c>
      <c r="H54" s="54" t="n">
        <f aca="false">IF($AJ$53=0,0,HLOOKUP($AJ$53,'Daten-Dicke'!$B$4:$BC$14,Database!$B5,FALSE()))</f>
        <v>0.01</v>
      </c>
      <c r="I54" s="57"/>
      <c r="J54" s="20" t="n">
        <f aca="false">IF(I54=0,G54*H54/100*F54,F54*G54*I54/1000)</f>
        <v>0.15</v>
      </c>
      <c r="K54" s="7"/>
      <c r="L54" s="7"/>
      <c r="M54" s="68" t="n">
        <f aca="false">IF(E54="Rohbau",1,0)</f>
        <v>0</v>
      </c>
      <c r="N54" s="68" t="n">
        <f aca="false">IF(E54="G4.1",1,0)</f>
        <v>0</v>
      </c>
      <c r="O54" s="68" t="n">
        <f aca="false">IF(E54="G4.2",1,0)</f>
        <v>1</v>
      </c>
      <c r="P54" s="68" t="n">
        <f aca="false">IF(E54="G2.1",1,0)</f>
        <v>0</v>
      </c>
      <c r="Q54" s="68" t="n">
        <f aca="false">IF(E54="G2.2",1,0)</f>
        <v>0</v>
      </c>
      <c r="S54" s="7"/>
      <c r="U54" s="54" t="n">
        <f aca="false">IF($AK$53=0,0,HLOOKUP($AK$53,'Daten-Zusammensetzung Bauteil'!$B$4:$BC$14,Database!$B5,FALSE()))</f>
        <v>0</v>
      </c>
      <c r="V54" s="55" t="n">
        <f aca="false">IF($AK$53=0,0,HLOOKUP($AK$53,'Daten-Funktion'!$B$4:$BC$14,Database!$B5,FALSE()))</f>
        <v>0</v>
      </c>
      <c r="W54" s="54" t="n">
        <f aca="false">IF($AK$53=0,0,HLOOKUP($AK$53,'Daten-THGE'!$B$4:$BC$14,Database!$B5,FALSE()))</f>
        <v>0</v>
      </c>
      <c r="X54" s="54" t="n">
        <f aca="false">IF($AK$53=0,0,HLOOKUP($AK$53,'Daten-Dichte'!$B$4:$BC$14,Database!$B5,FALSE()))</f>
        <v>0</v>
      </c>
      <c r="Y54" s="54" t="n">
        <f aca="false">IF($AK$53=0,0,HLOOKUP($AK$53,'Daten-Dicke'!$B$4:$BC$14,Database!$B5,FALSE()))</f>
        <v>0</v>
      </c>
      <c r="Z54" s="57"/>
      <c r="AA54" s="20" t="n">
        <f aca="false">IF(Z54=0,X54*Y54/100*W54,W54*X54*Z54/1000)</f>
        <v>0</v>
      </c>
      <c r="AB54" s="7"/>
      <c r="AC54" s="7"/>
      <c r="AD54" s="68" t="n">
        <f aca="false">IF(V54="Rohbau",1,0)</f>
        <v>0</v>
      </c>
      <c r="AE54" s="68" t="n">
        <f aca="false">IF(V54="G4.1",1,0)</f>
        <v>0</v>
      </c>
      <c r="AF54" s="68" t="n">
        <f aca="false">IF(V54="G4.2",1,0)</f>
        <v>0</v>
      </c>
      <c r="AG54" s="68" t="n">
        <f aca="false">IF(V54="G2.1",1,0)</f>
        <v>0</v>
      </c>
      <c r="AH54" s="68" t="n">
        <v>0</v>
      </c>
      <c r="AJ54" s="0" t="str">
        <f aca="false">VLOOKUP('Decke unter &amp; über Terrain'!$B$49,Database!$V$54:$W$55,2,FALSE())</f>
        <v>12b</v>
      </c>
      <c r="AK54" s="0" t="str">
        <f aca="false">VLOOKUP('Decke unter &amp; über Terrain'!$S$49,Database!$S$64:$T$65,2,FALSE())</f>
        <v>12b</v>
      </c>
    </row>
    <row r="55" customFormat="false" ht="15.75" hidden="false" customHeight="false" outlineLevel="0" collapsed="false">
      <c r="B55" s="7"/>
      <c r="C55" s="7"/>
      <c r="D55" s="54" t="str">
        <f aca="false">IF($AJ$53=0,0,HLOOKUP($AJ$53,'Daten-Zusammensetzung Bauteil'!$B$4:$BC$14,Database!$B6,FALSE()))</f>
        <v>Akustikvlies [kg]</v>
      </c>
      <c r="E55" s="55" t="str">
        <f aca="false">IF($AJ$53=0,0,HLOOKUP($AJ$53,'Daten-Funktion'!$B$4:$BC$14,Database!$B6,FALSE()))</f>
        <v>G4.2</v>
      </c>
      <c r="F55" s="54" t="n">
        <f aca="false">IF($AJ$53=0,0,HLOOKUP($AJ$53,'Daten-THGE'!$B$4:$BC$14,Database!$B6,FALSE()))</f>
        <v>0.184333333333333</v>
      </c>
      <c r="G55" s="54" t="n">
        <f aca="false">IF($AJ$53=0,0,HLOOKUP($AJ$53,'Daten-Dichte'!$B$4:$BC$14,Database!$B6,FALSE()))</f>
        <v>920</v>
      </c>
      <c r="H55" s="54" t="n">
        <f aca="false">IF($AJ$53=0,0,HLOOKUP($AJ$53,'Daten-Dicke'!$B$4:$BC$14,Database!$B6,FALSE()))</f>
        <v>0.00815217391304348</v>
      </c>
      <c r="I55" s="57"/>
      <c r="J55" s="20" t="n">
        <f aca="false">IF(I55=0,G55*H55/100*F55,F55*G55*I55/1000)</f>
        <v>0.013825</v>
      </c>
      <c r="K55" s="7"/>
      <c r="L55" s="7"/>
      <c r="M55" s="68" t="n">
        <f aca="false">IF(E55="Rohbau",1,0)</f>
        <v>0</v>
      </c>
      <c r="N55" s="68" t="n">
        <f aca="false">IF(E55="G4.1",1,0)</f>
        <v>0</v>
      </c>
      <c r="O55" s="68" t="n">
        <f aca="false">IF(E55="G4.2",1,0)</f>
        <v>1</v>
      </c>
      <c r="P55" s="68" t="n">
        <f aca="false">IF(E55="G2.1",1,0)</f>
        <v>0</v>
      </c>
      <c r="Q55" s="68" t="n">
        <f aca="false">IF(E55="G2.2",1,0)</f>
        <v>0</v>
      </c>
      <c r="S55" s="7"/>
      <c r="T55" s="7"/>
      <c r="U55" s="54" t="n">
        <f aca="false">IF($AK$53=0,0,HLOOKUP($AK$53,'Daten-Zusammensetzung Bauteil'!$B$4:$BC$14,Database!$B6,FALSE()))</f>
        <v>0</v>
      </c>
      <c r="V55" s="55" t="n">
        <f aca="false">IF($AK$53=0,0,HLOOKUP($AK$53,'Daten-Funktion'!$B$4:$BC$14,Database!$B6,FALSE()))</f>
        <v>0</v>
      </c>
      <c r="W55" s="54" t="n">
        <f aca="false">IF($AK$53=0,0,HLOOKUP($AK$53,'Daten-THGE'!$B$4:$BC$14,Database!$B6,FALSE()))</f>
        <v>0</v>
      </c>
      <c r="X55" s="54" t="n">
        <f aca="false">IF($AK$53=0,0,HLOOKUP($AK$53,'Daten-Dichte'!$B$4:$BC$14,Database!$B6,FALSE()))</f>
        <v>0</v>
      </c>
      <c r="Y55" s="54" t="n">
        <f aca="false">IF($AK$53=0,0,HLOOKUP($AK$53,'Daten-Dicke'!$B$4:$BC$14,Database!$B6,FALSE()))</f>
        <v>0</v>
      </c>
      <c r="Z55" s="57"/>
      <c r="AA55" s="20" t="n">
        <f aca="false">IF(Z55=0,X55*Y55/100*W55,W55*X55*Z55/1000)</f>
        <v>0</v>
      </c>
      <c r="AB55" s="7"/>
      <c r="AC55" s="7"/>
      <c r="AD55" s="68" t="n">
        <f aca="false">IF(V55="Rohbau",1,0)</f>
        <v>0</v>
      </c>
      <c r="AE55" s="68" t="n">
        <f aca="false">IF(V55="G4.1",1,0)</f>
        <v>0</v>
      </c>
      <c r="AF55" s="68" t="n">
        <f aca="false">IF(V55="G4.2",1,0)</f>
        <v>0</v>
      </c>
      <c r="AG55" s="68" t="n">
        <f aca="false">IF(V55="G2.1",1,0)</f>
        <v>0</v>
      </c>
      <c r="AH55" s="68" t="n">
        <v>0</v>
      </c>
      <c r="AK55" s="0" t="n">
        <f aca="false">IF($S$47=Database!$D$14,1,0)</f>
        <v>1</v>
      </c>
    </row>
    <row r="56" customFormat="false" ht="15.75" hidden="false" customHeight="false" outlineLevel="0" collapsed="false">
      <c r="C56" s="7"/>
      <c r="D56" s="54" t="str">
        <f aca="false">IF($AJ$53=0,0,HLOOKUP($AJ$53,'Daten-Zusammensetzung Bauteil'!$B$4:$BC$14,Database!$B7,FALSE()))</f>
        <v>Stahlprofile verzinkt [kg]</v>
      </c>
      <c r="E56" s="55" t="str">
        <f aca="false">IF($AJ$53=0,0,HLOOKUP($AJ$53,'Daten-Funktion'!$B$4:$BC$14,Database!$B7,FALSE()))</f>
        <v>G4.1</v>
      </c>
      <c r="F56" s="54" t="n">
        <f aca="false">IF($AJ$53=0,0,HLOOKUP($AJ$53,'Daten-THGE'!$B$4:$BC$14,Database!$B7,FALSE()))</f>
        <v>0.0244666666666667</v>
      </c>
      <c r="G56" s="54" t="n">
        <f aca="false">IF($AJ$53=0,0,HLOOKUP($AJ$53,'Daten-Dichte'!$B$4:$BC$14,Database!$B7,FALSE()))</f>
        <v>7850</v>
      </c>
      <c r="H56" s="54" t="n">
        <f aca="false">IF($AJ$53=0,0,HLOOKUP($AJ$53,'Daten-Dicke'!$B$4:$BC$14,Database!$B7,FALSE()))</f>
        <v>0.0280254777070064</v>
      </c>
      <c r="I56" s="57"/>
      <c r="J56" s="20" t="n">
        <f aca="false">IF(I56=0,G56*H56/100*F56,F56*G56*I56/1000)</f>
        <v>0.0538266666666667</v>
      </c>
      <c r="M56" s="68" t="n">
        <f aca="false">IF(E56="Rohbau",1,0)</f>
        <v>0</v>
      </c>
      <c r="N56" s="68" t="n">
        <f aca="false">IF(E56="G4.1",1,0)</f>
        <v>1</v>
      </c>
      <c r="O56" s="68" t="n">
        <f aca="false">IF(E56="G4.2",1,0)</f>
        <v>0</v>
      </c>
      <c r="P56" s="68" t="n">
        <f aca="false">IF(E56="G2.1",1,0)</f>
        <v>0</v>
      </c>
      <c r="Q56" s="68" t="n">
        <f aca="false">IF(E56="G2.2",1,0)</f>
        <v>0</v>
      </c>
      <c r="T56" s="7"/>
      <c r="U56" s="54" t="n">
        <f aca="false">IF($AK$53=0,0,HLOOKUP($AK$53,'Daten-Zusammensetzung Bauteil'!$B$4:$BC$14,Database!$B7,FALSE()))</f>
        <v>0</v>
      </c>
      <c r="V56" s="55" t="n">
        <f aca="false">IF($AK$53=0,0,HLOOKUP($AK$53,'Daten-Funktion'!$B$4:$BC$14,Database!$B7,FALSE()))</f>
        <v>0</v>
      </c>
      <c r="W56" s="54" t="n">
        <f aca="false">IF($AK$53=0,0,HLOOKUP($AK$53,'Daten-THGE'!$B$4:$BC$14,Database!$B7,FALSE()))</f>
        <v>0</v>
      </c>
      <c r="X56" s="54" t="n">
        <f aca="false">IF($AK$53=0,0,HLOOKUP($AK$53,'Daten-Dichte'!$B$4:$BC$14,Database!$B7,FALSE()))</f>
        <v>0</v>
      </c>
      <c r="Y56" s="54" t="n">
        <f aca="false">IF($AK$53=0,0,HLOOKUP($AK$53,'Daten-Dicke'!$B$4:$BC$14,Database!$B7,FALSE()))</f>
        <v>0</v>
      </c>
      <c r="Z56" s="57"/>
      <c r="AA56" s="20" t="n">
        <f aca="false">IF(Z56=0,X56*Y56/100*W56,W56*X56*Z56/1000)</f>
        <v>0</v>
      </c>
      <c r="AD56" s="68" t="n">
        <f aca="false">IF(V56="Rohbau",1,0)</f>
        <v>0</v>
      </c>
      <c r="AE56" s="68" t="n">
        <f aca="false">IF(V56="G4.1",1,0)</f>
        <v>0</v>
      </c>
      <c r="AF56" s="68" t="n">
        <f aca="false">IF(V56="G4.2",1,0)</f>
        <v>0</v>
      </c>
      <c r="AG56" s="68" t="n">
        <f aca="false">IF(V56="G2.1",1,0)</f>
        <v>0</v>
      </c>
      <c r="AH56" s="68" t="n">
        <v>0</v>
      </c>
    </row>
    <row r="57" customFormat="false" ht="15.75" hidden="false" customHeight="false" outlineLevel="0" collapsed="false">
      <c r="D57" s="54"/>
      <c r="E57" s="55"/>
      <c r="J57" s="20"/>
      <c r="AA57" s="20"/>
      <c r="AD57" s="51"/>
      <c r="AE57" s="51"/>
      <c r="AF57" s="51"/>
      <c r="AG57" s="51"/>
      <c r="AH57" s="51"/>
    </row>
    <row r="58" customFormat="false" ht="15.75" hidden="false" customHeight="false" outlineLevel="0" collapsed="false">
      <c r="C58" s="37" t="s">
        <v>293</v>
      </c>
      <c r="D58" s="54" t="str">
        <f aca="false">HLOOKUP($AJ$54,'Daten-Zusammensetzung Bauteil'!$B$4:$BC$14,Database!$B4,FALSE())</f>
        <v>Parkett 2-Schicht werkversiegelt, 11 mm [m2]</v>
      </c>
      <c r="E58" s="55" t="str">
        <f aca="false">HLOOKUP($AJ$54,'Daten-Funktion'!$B$4:$BC$14,Database!$B4,FALSE())</f>
        <v>G2.2</v>
      </c>
      <c r="F58" s="54" t="n">
        <f aca="false">HLOOKUP($AJ$54,'Daten-THGE'!$B$4:$BC$14,Database!$B4,FALSE())</f>
        <v>0.0410382513661202</v>
      </c>
      <c r="G58" s="54" t="n">
        <f aca="false">HLOOKUP($AJ$54,'Daten-Dichte'!$B$4:$BC$14,Database!$B4,FALSE())</f>
        <v>554.545454545455</v>
      </c>
      <c r="H58" s="54" t="n">
        <f aca="false">HLOOKUP($AJ$54,'Daten-Dicke'!$B$4:$BC$14,Database!$B4,FALSE())</f>
        <v>1.1</v>
      </c>
      <c r="I58" s="57"/>
      <c r="J58" s="20" t="n">
        <f aca="false">IF(I58=0,G58*H58/100*F58,F58*G58*I58/1000)</f>
        <v>0.250333333333333</v>
      </c>
      <c r="M58" s="68" t="n">
        <f aca="false">IF(E58="Rohbau",1,0)</f>
        <v>0</v>
      </c>
      <c r="N58" s="68" t="n">
        <f aca="false">IF(E58="G4.1",1,0)</f>
        <v>0</v>
      </c>
      <c r="O58" s="68" t="n">
        <f aca="false">IF(E58="G4.2",1,0)</f>
        <v>0</v>
      </c>
      <c r="P58" s="68" t="n">
        <f aca="false">IF(E58="G2.1",1,0)</f>
        <v>0</v>
      </c>
      <c r="Q58" s="68" t="n">
        <f aca="false">IF(E58="G2.2",1,0)</f>
        <v>1</v>
      </c>
      <c r="T58" s="37" t="s">
        <v>293</v>
      </c>
      <c r="U58" s="54" t="str">
        <f aca="false">HLOOKUP($AK$54,'Daten-Zusammensetzung Bauteil'!$B$4:$BC$14,Database!$B4,FALSE())</f>
        <v>Parkett 2-Schicht werkversiegelt, 11 mm [m2]</v>
      </c>
      <c r="V58" s="55" t="str">
        <f aca="false">HLOOKUP($AK$54,'Daten-Funktion'!$B$4:$BC$14,Database!$B4,FALSE())</f>
        <v>G2.2</v>
      </c>
      <c r="W58" s="54" t="n">
        <f aca="false">HLOOKUP($AK$54,'Daten-THGE'!$B$4:$BC$14,Database!$B4,FALSE())</f>
        <v>0.0410382513661202</v>
      </c>
      <c r="X58" s="54" t="n">
        <f aca="false">HLOOKUP($AK$54,'Daten-Dichte'!$B$4:$BC$14,Database!$B4,FALSE())</f>
        <v>554.545454545455</v>
      </c>
      <c r="Y58" s="54" t="n">
        <f aca="false">HLOOKUP($AK$54,'Daten-Dicke'!$B$4:$BC$14,Database!$B4,FALSE())</f>
        <v>1.1</v>
      </c>
      <c r="Z58" s="57"/>
      <c r="AA58" s="20" t="n">
        <f aca="false">IF(Z58=0,X58*Y58/100*W58,W58*X58*Z58/1000)</f>
        <v>0.250333333333333</v>
      </c>
      <c r="AD58" s="68" t="n">
        <f aca="false">IF(V58="Rohbau",1,0)</f>
        <v>0</v>
      </c>
      <c r="AE58" s="68" t="n">
        <f aca="false">IF(V58="G4.1",1,0)</f>
        <v>0</v>
      </c>
      <c r="AF58" s="68" t="n">
        <f aca="false">IF(V58="G4.2",1,0)</f>
        <v>0</v>
      </c>
      <c r="AG58" s="68" t="n">
        <f aca="false">IF(V58="G2.1",1,0)</f>
        <v>0</v>
      </c>
      <c r="AH58" s="68" t="n">
        <f aca="false">IF(V58="G2.2",1,0)</f>
        <v>1</v>
      </c>
    </row>
    <row r="59" customFormat="false" ht="15.75" hidden="false" customHeight="false" outlineLevel="0" collapsed="false">
      <c r="D59" s="54" t="str">
        <f aca="false">HLOOKUP($AJ$54,'Daten-Zusammensetzung Bauteil'!$B$4:$BC$14,Database!$B5,FALSE())</f>
        <v>Klebstoff [kg]</v>
      </c>
      <c r="E59" s="55" t="str">
        <f aca="false">HLOOKUP($AJ$54,'Daten-Funktion'!$B$4:$BC$14,Database!$B5,FALSE())</f>
        <v>G2.2</v>
      </c>
      <c r="F59" s="54" t="n">
        <f aca="false">HLOOKUP($AJ$54,'Daten-THGE'!$B$4:$BC$14,Database!$B5,FALSE())</f>
        <v>0.198333333333333</v>
      </c>
      <c r="G59" s="54" t="n">
        <f aca="false">HLOOKUP($AJ$54,'Daten-Dichte'!$B$4:$BC$14,Database!$B5,FALSE())</f>
        <v>1500</v>
      </c>
      <c r="H59" s="54" t="n">
        <f aca="false">HLOOKUP($AJ$54,'Daten-Dicke'!$B$4:$BC$14,Database!$B5,FALSE())</f>
        <v>0.0666666666666667</v>
      </c>
      <c r="I59" s="57"/>
      <c r="J59" s="20" t="n">
        <f aca="false">IF(I59=0,G59*H59/100*F59,F59*G59*I59/1000)</f>
        <v>0.198333333333333</v>
      </c>
      <c r="M59" s="68" t="n">
        <f aca="false">IF(E59="Rohbau",1,0)</f>
        <v>0</v>
      </c>
      <c r="N59" s="68" t="n">
        <f aca="false">IF(E59="G4.1",1,0)</f>
        <v>0</v>
      </c>
      <c r="O59" s="68" t="n">
        <f aca="false">IF(E59="G4.2",1,0)</f>
        <v>0</v>
      </c>
      <c r="P59" s="68" t="n">
        <f aca="false">IF(E59="G2.1",1,0)</f>
        <v>0</v>
      </c>
      <c r="Q59" s="68" t="n">
        <f aca="false">IF(E59="G2.2",1,0)</f>
        <v>1</v>
      </c>
      <c r="U59" s="54" t="str">
        <f aca="false">HLOOKUP($AK$54,'Daten-Zusammensetzung Bauteil'!$B$4:$BC$14,Database!$B5,FALSE())</f>
        <v>Klebstoff [kg]</v>
      </c>
      <c r="V59" s="55" t="str">
        <f aca="false">HLOOKUP($AK$54,'Daten-Funktion'!$B$4:$BC$14,Database!$B5,FALSE())</f>
        <v>G2.2</v>
      </c>
      <c r="W59" s="54" t="n">
        <f aca="false">HLOOKUP($AK$54,'Daten-THGE'!$B$4:$BC$14,Database!$B5,FALSE())</f>
        <v>0.198333333333333</v>
      </c>
      <c r="X59" s="54" t="n">
        <f aca="false">HLOOKUP($AK$54,'Daten-Dichte'!$B$4:$BC$14,Database!$B5,FALSE())</f>
        <v>1500</v>
      </c>
      <c r="Y59" s="54" t="n">
        <f aca="false">HLOOKUP($AK$54,'Daten-Dicke'!$B$4:$BC$14,Database!$B5,FALSE())</f>
        <v>0.0666666666666667</v>
      </c>
      <c r="Z59" s="57"/>
      <c r="AA59" s="20" t="n">
        <f aca="false">IF(Z59=0,X59*Y59/100*W59,W59*X59*Z59/1000)</f>
        <v>0.198333333333333</v>
      </c>
      <c r="AD59" s="68" t="n">
        <f aca="false">IF(V59="Rohbau",1,0)</f>
        <v>0</v>
      </c>
      <c r="AE59" s="68" t="n">
        <f aca="false">IF(V59="G4.1",1,0)</f>
        <v>0</v>
      </c>
      <c r="AF59" s="68" t="n">
        <f aca="false">IF(V59="G4.2",1,0)</f>
        <v>0</v>
      </c>
      <c r="AG59" s="68" t="n">
        <f aca="false">IF(V59="G2.1",1,0)</f>
        <v>0</v>
      </c>
      <c r="AH59" s="68" t="n">
        <f aca="false">IF(V59="G2.2",1,0)</f>
        <v>1</v>
      </c>
    </row>
    <row r="60" customFormat="false" ht="15.75" hidden="false" customHeight="false" outlineLevel="0" collapsed="false">
      <c r="D60" s="54" t="n">
        <f aca="false">HLOOKUP($AJ$54,'Daten-Zusammensetzung Bauteil'!$B$4:$BC$14,Database!$B6,FALSE())</f>
        <v>0</v>
      </c>
      <c r="E60" s="55" t="n">
        <f aca="false">HLOOKUP($AJ$54,'Daten-Funktion'!$B$4:$BC$14,Database!$B6,FALSE())</f>
        <v>0</v>
      </c>
      <c r="F60" s="54" t="n">
        <f aca="false">HLOOKUP($AJ$54,'Daten-THGE'!$B$4:$BC$14,Database!$B6,FALSE())</f>
        <v>0</v>
      </c>
      <c r="G60" s="54" t="n">
        <f aca="false">HLOOKUP($AJ$54,'Daten-Dichte'!$B$4:$BC$14,Database!$B6,FALSE())</f>
        <v>0</v>
      </c>
      <c r="H60" s="54" t="n">
        <f aca="false">HLOOKUP($AJ$54,'Daten-Dicke'!$B$4:$BC$14,Database!$B6,FALSE())</f>
        <v>0</v>
      </c>
      <c r="I60" s="57"/>
      <c r="J60" s="20" t="n">
        <f aca="false">IF(I60=0,G60*H60/100*F60,F60*G60*I60/1000)</f>
        <v>0</v>
      </c>
      <c r="M60" s="68" t="n">
        <f aca="false">IF(E60="Rohbau",1,0)</f>
        <v>0</v>
      </c>
      <c r="N60" s="68" t="n">
        <f aca="false">IF(E60="G4.1",1,0)</f>
        <v>0</v>
      </c>
      <c r="O60" s="68" t="n">
        <f aca="false">IF(E60="G4.2",1,0)</f>
        <v>0</v>
      </c>
      <c r="P60" s="68" t="n">
        <f aca="false">IF(E60="G2.1",1,0)</f>
        <v>0</v>
      </c>
      <c r="Q60" s="68" t="n">
        <f aca="false">IF(E60="G2.2",1,0)</f>
        <v>0</v>
      </c>
      <c r="U60" s="54" t="n">
        <f aca="false">HLOOKUP($AK$54,'Daten-Zusammensetzung Bauteil'!$B$4:$BC$14,Database!$B6,FALSE())</f>
        <v>0</v>
      </c>
      <c r="V60" s="55" t="n">
        <f aca="false">HLOOKUP($AK$54,'Daten-Funktion'!$B$4:$BC$14,Database!$B6,FALSE())</f>
        <v>0</v>
      </c>
      <c r="W60" s="54" t="n">
        <f aca="false">HLOOKUP($AK$54,'Daten-THGE'!$B$4:$BC$14,Database!$B6,FALSE())</f>
        <v>0</v>
      </c>
      <c r="X60" s="54" t="n">
        <f aca="false">HLOOKUP($AK$54,'Daten-Dichte'!$B$4:$BC$14,Database!$B6,FALSE())</f>
        <v>0</v>
      </c>
      <c r="Y60" s="54" t="n">
        <f aca="false">HLOOKUP($AK$54,'Daten-Dicke'!$B$4:$BC$14,Database!$B6,FALSE())</f>
        <v>0</v>
      </c>
      <c r="Z60" s="57"/>
      <c r="AA60" s="20" t="n">
        <f aca="false">IF(Z60=0,X60*Y60/100*W60,W60*X60*Z60/1000)</f>
        <v>0</v>
      </c>
      <c r="AD60" s="68" t="n">
        <f aca="false">IF(V60="Rohbau",1,0)</f>
        <v>0</v>
      </c>
      <c r="AE60" s="68" t="n">
        <f aca="false">IF(V60="G4.1",1,0)</f>
        <v>0</v>
      </c>
      <c r="AF60" s="68" t="n">
        <f aca="false">IF(V60="G4.2",1,0)</f>
        <v>0</v>
      </c>
      <c r="AG60" s="68" t="n">
        <f aca="false">IF(V60="G2.1",1,0)</f>
        <v>0</v>
      </c>
      <c r="AH60" s="68" t="n">
        <f aca="false">IF(V60="G2.2",1,0)</f>
        <v>0</v>
      </c>
    </row>
    <row r="61" customFormat="false" ht="15.75" hidden="false" customHeight="false" outlineLevel="0" collapsed="false">
      <c r="D61" s="54" t="n">
        <f aca="false">HLOOKUP($AJ$54,'Daten-Zusammensetzung Bauteil'!$B$4:$BC$14,Database!$B7,FALSE())</f>
        <v>0</v>
      </c>
      <c r="E61" s="55" t="n">
        <f aca="false">HLOOKUP($AJ$54,'Daten-Funktion'!$B$4:$BC$14,Database!$B7,FALSE())</f>
        <v>0</v>
      </c>
      <c r="F61" s="54" t="n">
        <f aca="false">HLOOKUP($AJ$54,'Daten-THGE'!$B$4:$BC$14,Database!$B7,FALSE())</f>
        <v>0</v>
      </c>
      <c r="G61" s="54" t="n">
        <f aca="false">HLOOKUP($AJ$54,'Daten-Dichte'!$B$4:$BC$14,Database!$B7,FALSE())</f>
        <v>0</v>
      </c>
      <c r="H61" s="54" t="n">
        <f aca="false">HLOOKUP($AJ$54,'Daten-Dicke'!$B$4:$BC$14,Database!$B7,FALSE())</f>
        <v>0</v>
      </c>
      <c r="I61" s="57"/>
      <c r="J61" s="20" t="n">
        <f aca="false">IF(I61=0,G61*H61/100*F61,F61*G61*I61/1000)</f>
        <v>0</v>
      </c>
      <c r="M61" s="68" t="n">
        <f aca="false">IF(E61="Rohbau",1,0)</f>
        <v>0</v>
      </c>
      <c r="N61" s="68" t="n">
        <f aca="false">IF(E61="G4.1",1,0)</f>
        <v>0</v>
      </c>
      <c r="O61" s="68" t="n">
        <f aca="false">IF(E61="G4.2",1,0)</f>
        <v>0</v>
      </c>
      <c r="P61" s="68" t="n">
        <f aca="false">IF(E61="G2.1",1,0)</f>
        <v>0</v>
      </c>
      <c r="Q61" s="68" t="n">
        <f aca="false">IF(E61="G2.2",1,0)</f>
        <v>0</v>
      </c>
      <c r="U61" s="54" t="n">
        <f aca="false">HLOOKUP($AK$54,'Daten-Zusammensetzung Bauteil'!$B$4:$BC$14,Database!$B7,FALSE())</f>
        <v>0</v>
      </c>
      <c r="V61" s="55" t="n">
        <f aca="false">HLOOKUP($AK$54,'Daten-Funktion'!$B$4:$BC$14,Database!$B7,FALSE())</f>
        <v>0</v>
      </c>
      <c r="W61" s="54" t="n">
        <f aca="false">HLOOKUP($AK$54,'Daten-THGE'!$B$4:$BC$14,Database!$B7,FALSE())</f>
        <v>0</v>
      </c>
      <c r="X61" s="54" t="n">
        <f aca="false">HLOOKUP($AK$54,'Daten-Dichte'!$B$4:$BC$14,Database!$B7,FALSE())</f>
        <v>0</v>
      </c>
      <c r="Y61" s="54" t="n">
        <f aca="false">HLOOKUP($AK$54,'Daten-Dicke'!$B$4:$BC$14,Database!$B7,FALSE())</f>
        <v>0</v>
      </c>
      <c r="Z61" s="57"/>
      <c r="AA61" s="20" t="n">
        <f aca="false">IF(Z61=0,X61*Y61/100*W61,W61*X61*Z61/1000)</f>
        <v>0</v>
      </c>
      <c r="AD61" s="68" t="n">
        <f aca="false">IF(V61="Rohbau",1,0)</f>
        <v>0</v>
      </c>
      <c r="AE61" s="68" t="n">
        <f aca="false">IF(V61="G4.1",1,0)</f>
        <v>0</v>
      </c>
      <c r="AF61" s="68" t="n">
        <f aca="false">IF(V61="G4.2",1,0)</f>
        <v>0</v>
      </c>
      <c r="AG61" s="68" t="n">
        <f aca="false">IF(V61="G2.1",1,0)</f>
        <v>0</v>
      </c>
      <c r="AH61" s="68" t="n">
        <f aca="false">IF(V61="G2.2",1,0)</f>
        <v>0</v>
      </c>
    </row>
    <row r="62" customFormat="false" ht="15.75" hidden="false" customHeight="false" outlineLevel="0" collapsed="false">
      <c r="D62" s="54" t="n">
        <f aca="false">HLOOKUP($AJ$54,'Daten-Zusammensetzung Bauteil'!$B$4:$BC$14,Database!$B8,FALSE())</f>
        <v>0</v>
      </c>
      <c r="E62" s="55" t="n">
        <f aca="false">HLOOKUP($AJ$54,'Daten-Funktion'!$B$4:$BC$14,Database!$B8,FALSE())</f>
        <v>0</v>
      </c>
      <c r="F62" s="54" t="n">
        <f aca="false">HLOOKUP($AJ$54,'Daten-THGE'!$B$4:$BC$14,Database!$B8,FALSE())</f>
        <v>0</v>
      </c>
      <c r="G62" s="54" t="n">
        <f aca="false">HLOOKUP($AJ$54,'Daten-Dichte'!$B$4:$BC$14,Database!$B8,FALSE())</f>
        <v>0</v>
      </c>
      <c r="H62" s="54" t="n">
        <f aca="false">HLOOKUP($AJ$54,'Daten-Dicke'!$B$4:$BC$14,Database!$B8,FALSE())</f>
        <v>0</v>
      </c>
      <c r="I62" s="57"/>
      <c r="J62" s="20" t="n">
        <f aca="false">IF(I62=0,G62*H62/100*F62,F62*G62*I62/1000)</f>
        <v>0</v>
      </c>
      <c r="M62" s="68" t="n">
        <f aca="false">IF(E62="Rohbau",1,0)</f>
        <v>0</v>
      </c>
      <c r="N62" s="68" t="n">
        <f aca="false">IF(E62="G4.1",1,0)</f>
        <v>0</v>
      </c>
      <c r="O62" s="68" t="n">
        <f aca="false">IF(E62="G4.2",1,0)</f>
        <v>0</v>
      </c>
      <c r="P62" s="68" t="n">
        <f aca="false">IF(E62="G2.1",1,0)</f>
        <v>0</v>
      </c>
      <c r="Q62" s="68" t="n">
        <f aca="false">IF(E62="G2.2",1,0)</f>
        <v>0</v>
      </c>
      <c r="U62" s="54" t="n">
        <f aca="false">HLOOKUP($AK$54,'Daten-Zusammensetzung Bauteil'!$B$4:$BC$14,Database!$B8,FALSE())</f>
        <v>0</v>
      </c>
      <c r="V62" s="55" t="n">
        <f aca="false">HLOOKUP($AK$54,'Daten-Funktion'!$B$4:$BC$14,Database!$B8,FALSE())</f>
        <v>0</v>
      </c>
      <c r="W62" s="54" t="n">
        <f aca="false">HLOOKUP($AK$54,'Daten-THGE'!$B$4:$BC$14,Database!$B8,FALSE())</f>
        <v>0</v>
      </c>
      <c r="X62" s="54" t="n">
        <f aca="false">HLOOKUP($AK$54,'Daten-Dichte'!$B$4:$BC$14,Database!$B8,FALSE())</f>
        <v>0</v>
      </c>
      <c r="Y62" s="54" t="n">
        <f aca="false">HLOOKUP($AK$54,'Daten-Dicke'!$B$4:$BC$14,Database!$B8,FALSE())</f>
        <v>0</v>
      </c>
      <c r="Z62" s="57"/>
      <c r="AA62" s="20" t="n">
        <f aca="false">IF(Z62=0,X62*Y62/100*W62,W62*X62*Z62/1000)</f>
        <v>0</v>
      </c>
      <c r="AD62" s="68" t="n">
        <f aca="false">IF(V62="Rohbau",1,0)</f>
        <v>0</v>
      </c>
      <c r="AE62" s="68" t="n">
        <f aca="false">IF(V62="G4.1",1,0)</f>
        <v>0</v>
      </c>
      <c r="AF62" s="68" t="n">
        <f aca="false">IF(V62="G4.2",1,0)</f>
        <v>0</v>
      </c>
      <c r="AG62" s="68" t="n">
        <f aca="false">IF(V62="G2.1",1,0)</f>
        <v>0</v>
      </c>
      <c r="AH62" s="68" t="n">
        <f aca="false">IF(V62="G2.2",1,0)</f>
        <v>0</v>
      </c>
    </row>
    <row r="63" customFormat="false" ht="15" hidden="false" customHeight="false" outlineLevel="0" collapsed="false">
      <c r="M63" s="68" t="n">
        <f aca="false">IF(K45=0,0,SUMPRODUCT(J45:J62*M45:M62)/SUM(J45:J62))</f>
        <v>0.474774482633483</v>
      </c>
      <c r="N63" s="68" t="n">
        <f aca="false">IF(K45=0,0,SUMPRODUCT(J45:J62*N45:N62)/SUM(J45:J62))</f>
        <v>0.0743026859215745</v>
      </c>
      <c r="O63" s="68" t="n">
        <f aca="false">IF(K45=0,0,SUMPRODUCT(J45:J62*O45:O62)/SUM(J45:J62))</f>
        <v>0.285909276715469</v>
      </c>
      <c r="P63" s="68" t="n">
        <f aca="false">IF(K45=0,0,SUMPRODUCT(J45:J62*P45:P62)/SUM(J45:J62))</f>
        <v>0</v>
      </c>
      <c r="Q63" s="68" t="n">
        <f aca="false">IF(K45=0,0,SUMPRODUCT(J45:J62*Q45:Q62)/SUM(J45:J62))</f>
        <v>0.165013554729474</v>
      </c>
      <c r="R63" s="78" t="n">
        <f aca="false">SUM(M63:Q63)</f>
        <v>1</v>
      </c>
      <c r="AD63" s="68" t="n">
        <f aca="false">IF(AB45=0,0,SUMPRODUCT(AA45:AA62*AD45:AD62)/SUM(AA45:AA62))</f>
        <v>0.661914599881053</v>
      </c>
      <c r="AE63" s="68" t="n">
        <f aca="false">IF(AB45=0,0,SUMPRODUCT(AA45:AA62*AE45:AE62)/SUM(AA45:AA62))</f>
        <v>0.0759903788543687</v>
      </c>
      <c r="AF63" s="68" t="n">
        <f aca="false">IF(AB45=0,0,SUMPRODUCT(AA45:AA62*AF45:AF62)/SUM(AA45:AA62))</f>
        <v>0.0320386786240473</v>
      </c>
      <c r="AG63" s="68" t="n">
        <f aca="false">IF(AB45=0,0,SUMPRODUCT(AA45:AA62*AG45:AG62)/SUM(AA45:AA62))</f>
        <v>0</v>
      </c>
      <c r="AH63" s="68" t="n">
        <f aca="false">IF(AB45=0,0,SUMPRODUCT(AA45:AA62*AH45:AH62)/SUM(AA45:AA62))</f>
        <v>0.230056342640531</v>
      </c>
      <c r="AI63" s="78" t="n">
        <f aca="false">SUM(AD63:AH63)</f>
        <v>1</v>
      </c>
    </row>
    <row r="64" customFormat="false" ht="15" hidden="false" customHeight="false" outlineLevel="0" collapsed="false">
      <c r="B64" s="59" t="s">
        <v>265</v>
      </c>
      <c r="S64" s="59" t="s">
        <v>265</v>
      </c>
    </row>
    <row r="65" customFormat="false" ht="20.25" hidden="false" customHeight="false" outlineLevel="0" collapsed="false">
      <c r="B65" s="6" t="s">
        <v>266</v>
      </c>
      <c r="C65" s="6"/>
      <c r="D65" s="37" t="s">
        <v>257</v>
      </c>
      <c r="E65" s="52"/>
      <c r="F65" s="37" t="s">
        <v>259</v>
      </c>
      <c r="G65" s="37" t="s">
        <v>260</v>
      </c>
      <c r="H65" s="37" t="s">
        <v>261</v>
      </c>
      <c r="I65" s="53" t="s">
        <v>262</v>
      </c>
      <c r="J65" s="37" t="s">
        <v>263</v>
      </c>
      <c r="K65" s="8" t="s">
        <v>102</v>
      </c>
      <c r="L65" s="7"/>
      <c r="S65" s="6" t="s">
        <v>266</v>
      </c>
      <c r="U65" s="37" t="s">
        <v>257</v>
      </c>
      <c r="V65" s="52"/>
      <c r="W65" s="37" t="s">
        <v>259</v>
      </c>
      <c r="X65" s="37" t="s">
        <v>260</v>
      </c>
      <c r="Y65" s="37" t="s">
        <v>261</v>
      </c>
      <c r="Z65" s="53" t="s">
        <v>262</v>
      </c>
      <c r="AA65" s="37" t="s">
        <v>263</v>
      </c>
      <c r="AB65" s="8" t="s">
        <v>102</v>
      </c>
      <c r="AC65" s="7"/>
    </row>
    <row r="66" customFormat="false" ht="15.75" hidden="false" customHeight="false" outlineLevel="0" collapsed="false">
      <c r="B66" s="37" t="s">
        <v>140</v>
      </c>
      <c r="C66" s="37" t="s">
        <v>290</v>
      </c>
      <c r="D66" s="54" t="str">
        <f aca="false">HLOOKUP($AJ$73,'Daten-Zusammensetzung Bauteil'!$B$4:$BC$14,Database!$B4,FALSE())</f>
        <v>Hochbaubeton 25 cm [kg]</v>
      </c>
      <c r="E66" s="55" t="str">
        <f aca="false">MID(HLOOKUP($AJ$73,'Daten-Funktion'!$B$4:$BC$14,Database!$B4,FALSE()),1,2)</f>
        <v>C4</v>
      </c>
      <c r="F66" s="54" t="n">
        <f aca="false">HLOOKUP($AJ$73,'Daten-THGE'!$B$4:$BC$14,Database!$B4,FALSE())</f>
        <v>0.00165333333333333</v>
      </c>
      <c r="G66" s="54" t="n">
        <f aca="false">HLOOKUP($AJ$73,'Daten-Dichte'!$B$4:$BC$14,Database!$B4,FALSE())</f>
        <v>2300</v>
      </c>
      <c r="H66" s="54" t="n">
        <f aca="false">HLOOKUP($AJ$73,'Daten-Dicke'!$B$4:$BC$14,Database!$B4,FALSE())</f>
        <v>24.6496815286624</v>
      </c>
      <c r="I66" s="9"/>
      <c r="J66" s="20" t="n">
        <f aca="false">IF(I66=0,G66*H66/100*F66,F66*G66*I66/1000)</f>
        <v>0.937345222929936</v>
      </c>
      <c r="K66" s="56" t="n">
        <f aca="false">SUM(J66:J83)*Gebäude!$C$36*(Gebäude!$C$32-1)</f>
        <v>1165.39381157113</v>
      </c>
      <c r="L66" s="37" t="s">
        <v>31</v>
      </c>
      <c r="S66" s="37" t="s">
        <v>291</v>
      </c>
      <c r="T66" s="37" t="s">
        <v>290</v>
      </c>
      <c r="U66" s="54" t="str">
        <f aca="false">HLOOKUP($AK$73,'Daten-Zusammensetzung Bauteil'!$B$4:$BC$14,Database!$B4,FALSE())</f>
        <v>Hochbaubeton 25 cm [kg]</v>
      </c>
      <c r="V66" s="55" t="str">
        <f aca="false">MID(HLOOKUP($AK$73,'Daten-Funktion'!$B$4:$BC$14,Database!$B4,FALSE()),1,2)</f>
        <v>C4</v>
      </c>
      <c r="W66" s="54" t="n">
        <f aca="false">HLOOKUP($AK$73,'Daten-THGE'!$B$4:$BC$14,Database!$B4,FALSE())</f>
        <v>0.00165333333333333</v>
      </c>
      <c r="X66" s="54" t="n">
        <f aca="false">HLOOKUP($AK$73,'Daten-Dichte'!$B$4:$BC$14,Database!$B4,FALSE())</f>
        <v>2300</v>
      </c>
      <c r="Y66" s="54" t="n">
        <f aca="false">HLOOKUP($AK$73,'Daten-Dicke'!$B$4:$BC$14,Database!$B4,FALSE())</f>
        <v>24.6496815286624</v>
      </c>
      <c r="Z66" s="9"/>
      <c r="AA66" s="20" t="n">
        <f aca="false">IF(Z66=0,X66*Y66/100*W66,W66*X66*Z66/1000)</f>
        <v>0.937345222929936</v>
      </c>
      <c r="AB66" s="56" t="n">
        <f aca="false">IF(AK76=0,0,SUM(AA66:AA72)*S72*S74+SUM('Decke unter &amp; über Terrain'!AA74:AA77)*S72*S74+SUM('Decke unter &amp; über Terrain'!AA79:AA83)*S72*S74)</f>
        <v>0</v>
      </c>
      <c r="AC66" s="37" t="s">
        <v>31</v>
      </c>
    </row>
    <row r="67" customFormat="false" ht="15.75" hidden="false" customHeight="false" outlineLevel="0" collapsed="false">
      <c r="B67" s="53" t="s">
        <v>113</v>
      </c>
      <c r="C67" s="37"/>
      <c r="D67" s="54" t="str">
        <f aca="false">HLOOKUP($AJ$73,'Daten-Zusammensetzung Bauteil'!$B$4:$BC$14,Database!$B5,FALSE())</f>
        <v>Armierungsstahl (Bewehrungsgehalt 90 kg/m3) [kg]</v>
      </c>
      <c r="E67" s="55" t="str">
        <f aca="false">MID(HLOOKUP($AJ$73,'Daten-Funktion'!$B$4:$BC$14,Database!$B5,FALSE()),1,2)</f>
        <v>C4</v>
      </c>
      <c r="F67" s="54" t="n">
        <f aca="false">HLOOKUP($AJ$73,'Daten-THGE'!$B$4:$BC$14,Database!$B5,FALSE())</f>
        <v>0.0113666666666667</v>
      </c>
      <c r="G67" s="54" t="n">
        <f aca="false">HLOOKUP($AJ$73,'Daten-Dichte'!$B$4:$BC$14,Database!$B5,FALSE())</f>
        <v>7850</v>
      </c>
      <c r="H67" s="54" t="n">
        <f aca="false">HLOOKUP($AJ$73,'Daten-Dicke'!$B$4:$BC$14,Database!$B5,FALSE())</f>
        <v>0.35031847133758</v>
      </c>
      <c r="I67" s="9"/>
      <c r="J67" s="20" t="n">
        <f aca="false">IF(I67=0,G67*H67/100*F67,F67*G67*I67/1000)</f>
        <v>0.312583333333333</v>
      </c>
      <c r="K67" s="54"/>
      <c r="L67" s="7"/>
      <c r="S67" s="53" t="s">
        <v>113</v>
      </c>
      <c r="T67" s="37"/>
      <c r="U67" s="54" t="str">
        <f aca="false">HLOOKUP($AK$73,'Daten-Zusammensetzung Bauteil'!$B$4:$BC$14,Database!$B5,FALSE())</f>
        <v>Armierungsstahl (Bewehrungsgehalt 90 kg/m3) [kg]</v>
      </c>
      <c r="V67" s="55" t="str">
        <f aca="false">MID(HLOOKUP($AK$73,'Daten-Funktion'!$B$4:$BC$14,Database!$B5,FALSE()),1,2)</f>
        <v>C4</v>
      </c>
      <c r="W67" s="54" t="n">
        <f aca="false">HLOOKUP($AK$73,'Daten-THGE'!$B$4:$BC$14,Database!$B5,FALSE())</f>
        <v>0.0113666666666667</v>
      </c>
      <c r="X67" s="54" t="n">
        <f aca="false">HLOOKUP($AK$73,'Daten-Dichte'!$B$4:$BC$14,Database!$B5,FALSE())</f>
        <v>7850</v>
      </c>
      <c r="Y67" s="54" t="n">
        <f aca="false">HLOOKUP($AK$73,'Daten-Dicke'!$B$4:$BC$14,Database!$B5,FALSE())</f>
        <v>0.35031847133758</v>
      </c>
      <c r="Z67" s="9"/>
      <c r="AA67" s="20" t="n">
        <f aca="false">IF(Z67=0,X67*Y67/100*W67,W67*X67*Z67/1000)</f>
        <v>0.312583333333333</v>
      </c>
      <c r="AB67" s="54"/>
      <c r="AC67" s="7"/>
    </row>
    <row r="68" customFormat="false" ht="15.75" hidden="false" customHeight="false" outlineLevel="0" collapsed="false">
      <c r="B68" s="53" t="s">
        <v>116</v>
      </c>
      <c r="C68" s="7"/>
      <c r="D68" s="54" t="str">
        <f aca="false">HLOOKUP($AJ$73,'Daten-Zusammensetzung Bauteil'!$B$4:$BC$14,Database!$B6,FALSE())</f>
        <v>3-SP Schalung 2.5cm (Annahme 5xverwendet) [kg]</v>
      </c>
      <c r="E68" s="55" t="str">
        <f aca="false">MID(HLOOKUP($AJ$73,'Daten-Funktion'!$B$4:$BC$14,Database!$B6,FALSE()),1,2)</f>
        <v>C4</v>
      </c>
      <c r="F68" s="54" t="n">
        <f aca="false">HLOOKUP($AJ$73,'Daten-THGE'!$B$4:$BC$14,Database!$B6,FALSE())</f>
        <v>0.00871666666666667</v>
      </c>
      <c r="G68" s="54" t="n">
        <f aca="false">HLOOKUP($AJ$73,'Daten-Dichte'!$B$4:$BC$14,Database!$B6,FALSE())</f>
        <v>470</v>
      </c>
      <c r="H68" s="54" t="n">
        <f aca="false">HLOOKUP($AJ$73,'Daten-Dicke'!$B$4:$BC$14,Database!$B6,FALSE())</f>
        <v>1</v>
      </c>
      <c r="I68" s="57"/>
      <c r="J68" s="20" t="n">
        <f aca="false">IF(I68=0,G68*H68/100*F68,F68*G68*I68/1000)</f>
        <v>0.0409683333333333</v>
      </c>
      <c r="K68" s="7"/>
      <c r="L68" s="7"/>
      <c r="S68" s="53" t="s">
        <v>116</v>
      </c>
      <c r="T68" s="7"/>
      <c r="U68" s="54" t="str">
        <f aca="false">HLOOKUP($AK$73,'Daten-Zusammensetzung Bauteil'!$B$4:$BC$14,Database!$B6,FALSE())</f>
        <v>3-SP Schalung 2.5cm (Annahme 5xverwendet) [kg]</v>
      </c>
      <c r="V68" s="55" t="str">
        <f aca="false">MID(HLOOKUP($AK$73,'Daten-Funktion'!$B$4:$BC$14,Database!$B6,FALSE()),1,2)</f>
        <v>C4</v>
      </c>
      <c r="W68" s="54" t="n">
        <f aca="false">HLOOKUP($AK$73,'Daten-THGE'!$B$4:$BC$14,Database!$B6,FALSE())</f>
        <v>0.00871666666666667</v>
      </c>
      <c r="X68" s="54" t="n">
        <f aca="false">HLOOKUP($AK$73,'Daten-Dichte'!$B$4:$BC$14,Database!$B6,FALSE())</f>
        <v>470</v>
      </c>
      <c r="Y68" s="54" t="n">
        <f aca="false">HLOOKUP($AK$73,'Daten-Dicke'!$B$4:$BC$14,Database!$B6,FALSE())</f>
        <v>1</v>
      </c>
      <c r="Z68" s="57"/>
      <c r="AA68" s="20" t="n">
        <f aca="false">IF(Z68=0,X68*Y68/100*W68,W68*X68*Z68/1000)</f>
        <v>0.0409683333333333</v>
      </c>
      <c r="AB68" s="7"/>
      <c r="AC68" s="7"/>
    </row>
    <row r="69" customFormat="false" ht="15.75" hidden="false" customHeight="false" outlineLevel="0" collapsed="false">
      <c r="B69" s="53" t="s">
        <v>119</v>
      </c>
      <c r="C69" s="7"/>
      <c r="D69" s="54" t="str">
        <f aca="false">HLOOKUP($AJ$73,'Daten-Zusammensetzung Bauteil'!$B$4:$BC$14,Database!$B7,FALSE())</f>
        <v>Kalk-Zementgrundputz [kg]</v>
      </c>
      <c r="E69" s="55" t="str">
        <f aca="false">HLOOKUP($AJ$73,'Daten-Funktion'!$B$4:$BC$14,Database!$B7,FALSE())</f>
        <v>G4.1</v>
      </c>
      <c r="F69" s="54" t="n">
        <f aca="false">HLOOKUP($AJ$73,'Daten-THGE'!$B$4:$BC$14,Database!$B7,FALSE())</f>
        <v>0.00823333333333333</v>
      </c>
      <c r="G69" s="54" t="n">
        <f aca="false">HLOOKUP($AJ$73,'Daten-Dichte'!$B$4:$BC$14,Database!$B7,FALSE())</f>
        <v>1550</v>
      </c>
      <c r="H69" s="54" t="n">
        <f aca="false">HLOOKUP($AJ$73,'Daten-Dicke'!$B$4:$BC$14,Database!$B7,FALSE())</f>
        <v>1.16129032258065</v>
      </c>
      <c r="I69" s="57"/>
      <c r="J69" s="20" t="n">
        <f aca="false">IF(I69=0,G69*H69/100*F69,F69*G69*I69/1000)</f>
        <v>0.1482</v>
      </c>
      <c r="K69" s="7"/>
      <c r="L69" s="7"/>
      <c r="S69" s="53" t="s">
        <v>119</v>
      </c>
      <c r="T69" s="7"/>
      <c r="U69" s="54" t="str">
        <f aca="false">HLOOKUP($AK$73,'Daten-Zusammensetzung Bauteil'!$B$4:$BC$14,Database!$B7,FALSE())</f>
        <v>Kalk-Zementgrundputz [kg]</v>
      </c>
      <c r="V69" s="55" t="str">
        <f aca="false">HLOOKUP($AK$73,'Daten-Funktion'!$B$4:$BC$14,Database!$B7,FALSE())</f>
        <v>G4.1</v>
      </c>
      <c r="W69" s="54" t="n">
        <f aca="false">HLOOKUP($AK$73,'Daten-THGE'!$B$4:$BC$14,Database!$B7,FALSE())</f>
        <v>0.00823333333333333</v>
      </c>
      <c r="X69" s="54" t="n">
        <f aca="false">HLOOKUP($AK$73,'Daten-Dichte'!$B$4:$BC$14,Database!$B7,FALSE())</f>
        <v>1550</v>
      </c>
      <c r="Y69" s="54" t="n">
        <f aca="false">HLOOKUP($AK$73,'Daten-Dicke'!$B$4:$BC$14,Database!$B7,FALSE())</f>
        <v>1.16129032258065</v>
      </c>
      <c r="Z69" s="57"/>
      <c r="AA69" s="20" t="n">
        <f aca="false">IF(Z69=0,X69*Y69/100*W69,W69*X69*Z69/1000)</f>
        <v>0.1482</v>
      </c>
      <c r="AB69" s="7"/>
      <c r="AC69" s="7"/>
    </row>
    <row r="70" customFormat="false" ht="15.75" hidden="false" customHeight="false" outlineLevel="0" collapsed="false">
      <c r="B70" s="53" t="s">
        <v>208</v>
      </c>
      <c r="C70" s="7"/>
      <c r="D70" s="54" t="str">
        <f aca="false">HLOOKUP($AJ$73,'Daten-Zusammensetzung Bauteil'!$B$4:$BC$14,Database!$B8,FALSE())</f>
        <v>Deckputz (Weissputz) [kg]</v>
      </c>
      <c r="E70" s="55" t="str">
        <f aca="false">HLOOKUP($AJ$73,'Daten-Funktion'!$B$4:$BC$14,Database!$B8,FALSE())</f>
        <v>G4.2</v>
      </c>
      <c r="F70" s="54" t="n">
        <f aca="false">HLOOKUP($AJ$73,'Daten-THGE'!$B$4:$BC$14,Database!$B8,FALSE())</f>
        <v>0.0049</v>
      </c>
      <c r="G70" s="54" t="n">
        <f aca="false">HLOOKUP($AJ$73,'Daten-Dichte'!$B$4:$BC$14,Database!$B8,FALSE())</f>
        <v>1100</v>
      </c>
      <c r="H70" s="54" t="n">
        <f aca="false">HLOOKUP($AJ$73,'Daten-Dicke'!$B$4:$BC$14,Database!$B8,FALSE())</f>
        <v>0.318181818181818</v>
      </c>
      <c r="I70" s="57"/>
      <c r="J70" s="20" t="n">
        <f aca="false">IF(I70=0,G70*H70/100*F70,F70*G70*I70/1000)</f>
        <v>0.01715</v>
      </c>
      <c r="K70" s="7"/>
      <c r="L70" s="7"/>
      <c r="M70" s="58"/>
      <c r="N70" s="58"/>
      <c r="O70" s="58"/>
      <c r="P70" s="58"/>
      <c r="Q70" s="58"/>
      <c r="S70" s="53" t="s">
        <v>121</v>
      </c>
      <c r="T70" s="7"/>
      <c r="U70" s="54" t="str">
        <f aca="false">HLOOKUP($AK$73,'Daten-Zusammensetzung Bauteil'!$B$4:$BC$14,Database!$B8,FALSE())</f>
        <v>Deckputz (Weissputz) [kg]</v>
      </c>
      <c r="V70" s="55" t="str">
        <f aca="false">HLOOKUP($AK$73,'Daten-Funktion'!$B$4:$BC$14,Database!$B8,FALSE())</f>
        <v>G4.2</v>
      </c>
      <c r="W70" s="54" t="n">
        <f aca="false">HLOOKUP($AK$73,'Daten-THGE'!$B$4:$BC$14,Database!$B8,FALSE())</f>
        <v>0.0049</v>
      </c>
      <c r="X70" s="54" t="n">
        <f aca="false">HLOOKUP($AK$73,'Daten-Dichte'!$B$4:$BC$14,Database!$B8,FALSE())</f>
        <v>1100</v>
      </c>
      <c r="Y70" s="54" t="n">
        <f aca="false">HLOOKUP($AK$73,'Daten-Dicke'!$B$4:$BC$14,Database!$B8,FALSE())</f>
        <v>0.318181818181818</v>
      </c>
      <c r="Z70" s="57"/>
      <c r="AA70" s="20" t="n">
        <f aca="false">IF(Z70=0,X70*Y70/100*W70,W70*X70*Z70/1000)</f>
        <v>0.01715</v>
      </c>
      <c r="AB70" s="7"/>
      <c r="AC70" s="7"/>
      <c r="AI70" s="58"/>
    </row>
    <row r="71" customFormat="false" ht="15.75" hidden="false" customHeight="false" outlineLevel="0" collapsed="false">
      <c r="B71" s="7"/>
      <c r="C71" s="7"/>
      <c r="D71" s="54" t="str">
        <f aca="false">HLOOKUP($AJ$73,'Daten-Zusammensetzung Bauteil'!$B$4:$BC$14,Database!$B9,FALSE())</f>
        <v>Wanddispersion [m2]</v>
      </c>
      <c r="E71" s="55" t="str">
        <f aca="false">HLOOKUP($AJ$73,'Daten-Funktion'!$B$4:$BC$14,Database!$B9,FALSE())</f>
        <v>G4.2</v>
      </c>
      <c r="F71" s="54" t="n">
        <f aca="false">HLOOKUP($AJ$73,'Daten-THGE'!$B$4:$BC$14,Database!$B9,FALSE())</f>
        <v>0.151111111111111</v>
      </c>
      <c r="G71" s="54" t="n">
        <f aca="false">HLOOKUP($AJ$73,'Daten-Dichte'!$B$4:$BC$14,Database!$B9,FALSE())</f>
        <v>150</v>
      </c>
      <c r="H71" s="54" t="n">
        <f aca="false">HLOOKUP($AJ$73,'Daten-Dicke'!$B$4:$BC$14,Database!$B9,FALSE())</f>
        <v>0.2</v>
      </c>
      <c r="I71" s="57"/>
      <c r="J71" s="20" t="n">
        <f aca="false">IF(I71=0,G71*H71/100*F71,F71*G71*I71/1000)</f>
        <v>0.0453333333333333</v>
      </c>
      <c r="K71" s="7"/>
      <c r="L71" s="7"/>
      <c r="S71" s="53" t="s">
        <v>294</v>
      </c>
      <c r="T71" s="7"/>
      <c r="U71" s="54" t="str">
        <f aca="false">HLOOKUP($AK$73,'Daten-Zusammensetzung Bauteil'!$B$4:$BC$14,Database!$B9,FALSE())</f>
        <v>Wanddispersion [m2]</v>
      </c>
      <c r="V71" s="55" t="str">
        <f aca="false">HLOOKUP($AK$73,'Daten-Funktion'!$B$4:$BC$14,Database!$B9,FALSE())</f>
        <v>G4.2</v>
      </c>
      <c r="W71" s="54" t="n">
        <f aca="false">HLOOKUP($AK$73,'Daten-THGE'!$B$4:$BC$14,Database!$B9,FALSE())</f>
        <v>0.151111111111111</v>
      </c>
      <c r="X71" s="54" t="n">
        <f aca="false">HLOOKUP($AK$73,'Daten-Dichte'!$B$4:$BC$14,Database!$B9,FALSE())</f>
        <v>150</v>
      </c>
      <c r="Y71" s="54" t="n">
        <f aca="false">HLOOKUP($AK$73,'Daten-Dicke'!$B$4:$BC$14,Database!$B9,FALSE())</f>
        <v>0.2</v>
      </c>
      <c r="Z71" s="57"/>
      <c r="AA71" s="20" t="n">
        <f aca="false">IF(Z71=0,X71*Y71/100*W71,W71*X71*Z71/1000)</f>
        <v>0.0453333333333333</v>
      </c>
      <c r="AB71" s="7"/>
      <c r="AC71" s="7"/>
    </row>
    <row r="72" customFormat="false" ht="15.75" hidden="false" customHeight="false" outlineLevel="0" collapsed="false">
      <c r="B72" s="7"/>
      <c r="C72" s="7"/>
      <c r="D72" s="54" t="n">
        <f aca="false">HLOOKUP($AJ$73,'Daten-Zusammensetzung Bauteil'!$B$4:$BC$14,Database!$B10,FALSE())</f>
        <v>0</v>
      </c>
      <c r="E72" s="55" t="n">
        <f aca="false">HLOOKUP($AJ$73,'Daten-Funktion'!$B$4:$BC$14,Database!$B10,FALSE())</f>
        <v>0</v>
      </c>
      <c r="F72" s="54" t="n">
        <f aca="false">HLOOKUP($AJ$73,'Daten-THGE'!$B$4:$BC$14,Database!$B10,FALSE())</f>
        <v>0</v>
      </c>
      <c r="G72" s="54" t="n">
        <f aca="false">HLOOKUP($AJ$73,'Daten-Dichte'!$B$4:$BC$14,Database!$B10,FALSE())</f>
        <v>0</v>
      </c>
      <c r="H72" s="54" t="n">
        <f aca="false">HLOOKUP($AJ$73,'Daten-Dicke'!$B$4:$BC$14,Database!$B10,FALSE())</f>
        <v>0</v>
      </c>
      <c r="I72" s="57"/>
      <c r="J72" s="20" t="n">
        <f aca="false">IF(I72=0,G72*H72/100*F72,F72*G72*I72/1000)</f>
        <v>0</v>
      </c>
      <c r="K72" s="7"/>
      <c r="L72" s="7"/>
      <c r="S72" s="53"/>
      <c r="T72" s="7"/>
      <c r="U72" s="54" t="n">
        <f aca="false">HLOOKUP($AK$73,'Daten-Zusammensetzung Bauteil'!$B$4:$BC$14,Database!$B10,FALSE())</f>
        <v>0</v>
      </c>
      <c r="V72" s="55" t="n">
        <f aca="false">HLOOKUP($AK$73,'Daten-Funktion'!$B$4:$BC$14,Database!$B10,FALSE())</f>
        <v>0</v>
      </c>
      <c r="W72" s="54" t="n">
        <f aca="false">HLOOKUP($AK$73,'Daten-THGE'!$B$4:$BC$14,Database!$B10,FALSE())</f>
        <v>0</v>
      </c>
      <c r="X72" s="54" t="n">
        <f aca="false">HLOOKUP($AK$73,'Daten-Dichte'!$B$4:$BC$14,Database!$B10,FALSE())</f>
        <v>0</v>
      </c>
      <c r="Y72" s="54" t="n">
        <f aca="false">HLOOKUP($AK$73,'Daten-Dicke'!$B$4:$BC$14,Database!$B10,FALSE())</f>
        <v>0</v>
      </c>
      <c r="Z72" s="57"/>
      <c r="AA72" s="20" t="n">
        <f aca="false">IF(Z72=0,X72*Y72/100*W72,W72*X72*Z72/1000)</f>
        <v>0</v>
      </c>
      <c r="AB72" s="7"/>
      <c r="AC72" s="7"/>
      <c r="AK72" s="0" t="n">
        <f aca="false">IF($S$68=Database!$D$14,1,0)</f>
        <v>1</v>
      </c>
    </row>
    <row r="73" customFormat="false" ht="15.75" hidden="false" customHeight="false" outlineLevel="0" collapsed="false">
      <c r="B73" s="7"/>
      <c r="F73" s="54"/>
      <c r="G73" s="54"/>
      <c r="H73" s="54"/>
      <c r="I73" s="54"/>
      <c r="J73" s="20"/>
      <c r="K73" s="7"/>
      <c r="L73" s="7"/>
      <c r="S73" s="53" t="s">
        <v>77</v>
      </c>
      <c r="U73" s="54"/>
      <c r="V73" s="55"/>
      <c r="W73" s="54"/>
      <c r="X73" s="54"/>
      <c r="Y73" s="54"/>
      <c r="Z73" s="54"/>
      <c r="AA73" s="20"/>
      <c r="AB73" s="7"/>
      <c r="AC73" s="7"/>
      <c r="AJ73" s="0" t="str">
        <f aca="false">VLOOKUP($B$67,Database!$Y$29:$AF$31,7,FALSE())</f>
        <v>10a</v>
      </c>
      <c r="AK73" s="0" t="str">
        <f aca="false">VLOOKUP($S$67,Database!$Y$29:$AF$31,8,FALSE())</f>
        <v>10a</v>
      </c>
    </row>
    <row r="74" customFormat="false" ht="15.75" hidden="false" customHeight="false" outlineLevel="0" collapsed="false">
      <c r="B74" s="7"/>
      <c r="C74" s="37" t="s">
        <v>292</v>
      </c>
      <c r="D74" s="54" t="n">
        <f aca="false">IF($AJ$74=0,0,HLOOKUP($AJ$74,'Daten-Zusammensetzung Bauteil'!$B$4:$BC$14,Database!$B4,FALSE()))</f>
        <v>0</v>
      </c>
      <c r="E74" s="55" t="n">
        <f aca="false">IF($AJ$74=0,0,HLOOKUP($AJ$74,'Daten-Funktion'!$B$4:$BC$14,Database!$B4,FALSE()))</f>
        <v>0</v>
      </c>
      <c r="F74" s="54" t="n">
        <f aca="false">IF($AJ$74=0,0,HLOOKUP($AJ$74,'Daten-THGE'!$B$4:$BC$14,Database!$B4,FALSE()))</f>
        <v>0</v>
      </c>
      <c r="G74" s="54" t="n">
        <f aca="false">IF($AJ$74=0,0,HLOOKUP($AJ$74,'Daten-Dichte'!$B$4:$BC$14,Database!$B4,FALSE()))</f>
        <v>0</v>
      </c>
      <c r="H74" s="54" t="n">
        <f aca="false">IF($AJ$74=0,0,HLOOKUP($AJ$74,'Daten-Dicke'!$B$4:$BC$14,Database!$B4,FALSE()))</f>
        <v>0</v>
      </c>
      <c r="I74" s="57"/>
      <c r="J74" s="20" t="n">
        <f aca="false">IF(I74=0,G74*H74/100*F74,F74*G74*I74/1000)</f>
        <v>0</v>
      </c>
      <c r="K74" s="7"/>
      <c r="L74" s="7"/>
      <c r="S74" s="53"/>
      <c r="T74" s="37" t="s">
        <v>292</v>
      </c>
      <c r="U74" s="54" t="n">
        <f aca="false">IF($AK$74=0,0,HLOOKUP($AK$74,'Daten-Zusammensetzung Bauteil'!$B$4:$BC$14,Database!$B4,FALSE()))</f>
        <v>0</v>
      </c>
      <c r="V74" s="55" t="n">
        <f aca="false">IF($AK$74=0,0,HLOOKUP($AK$74,'Daten-Funktion'!$B$4:$BC$14,Database!$B4,FALSE()))</f>
        <v>0</v>
      </c>
      <c r="W74" s="54" t="n">
        <f aca="false">IF($AK$74=0,0,HLOOKUP($AK$74,'Daten-THGE'!$B$4:$BC$14,Database!$B4,FALSE()))</f>
        <v>0</v>
      </c>
      <c r="X74" s="54" t="n">
        <f aca="false">IF($AK$74=0,0,HLOOKUP($AK$74,'Daten-Dichte'!$B$4:$BC$14,Database!$B4,FALSE()))</f>
        <v>0</v>
      </c>
      <c r="Y74" s="54" t="n">
        <f aca="false">IF($AK$74=0,0,HLOOKUP($AK$74,'Daten-Dicke'!$B$4:$BC$14,Database!$B4,FALSE()))</f>
        <v>0</v>
      </c>
      <c r="Z74" s="57"/>
      <c r="AA74" s="20" t="n">
        <f aca="false">IF(Z74=0,X74*Y74/100*W74,W74*X74*Z74/1000)</f>
        <v>0</v>
      </c>
      <c r="AB74" s="7"/>
      <c r="AC74" s="7"/>
      <c r="AJ74" s="0" t="n">
        <f aca="false">VLOOKUP($B$69,Database!$H$12:$I$15,2,FALSE())</f>
        <v>0</v>
      </c>
      <c r="AK74" s="0" t="n">
        <f aca="false">VLOOKUP($S$69,Database!$H$12:$I$15,2,FALSE())</f>
        <v>0</v>
      </c>
    </row>
    <row r="75" customFormat="false" ht="15.75" hidden="false" customHeight="false" outlineLevel="0" collapsed="false">
      <c r="B75" s="7"/>
      <c r="D75" s="54" t="n">
        <f aca="false">IF($AJ$74=0,0,HLOOKUP($AJ$74,'Daten-Zusammensetzung Bauteil'!$B$4:$BC$14,Database!$B5,FALSE()))</f>
        <v>0</v>
      </c>
      <c r="E75" s="55" t="n">
        <f aca="false">IF($AJ$74=0,0,HLOOKUP($AJ$74,'Daten-Funktion'!$B$4:$BC$14,Database!$B5,FALSE()))</f>
        <v>0</v>
      </c>
      <c r="F75" s="54" t="n">
        <f aca="false">IF($AJ$74=0,0,HLOOKUP($AJ$74,'Daten-THGE'!$B$4:$BC$14,Database!$B5,FALSE()))</f>
        <v>0</v>
      </c>
      <c r="G75" s="54" t="n">
        <f aca="false">IF($AJ$74=0,0,HLOOKUP($AJ$74,'Daten-Dichte'!$B$4:$BC$14,Database!$B5,FALSE()))</f>
        <v>0</v>
      </c>
      <c r="H75" s="54" t="n">
        <f aca="false">IF($AJ$74=0,0,HLOOKUP($AJ$74,'Daten-Dicke'!$B$4:$BC$14,Database!$B5,FALSE()))</f>
        <v>0</v>
      </c>
      <c r="I75" s="57"/>
      <c r="J75" s="20" t="n">
        <f aca="false">IF(I75=0,G75*H75/100*F75,F75*G75*I75/1000)</f>
        <v>0</v>
      </c>
      <c r="K75" s="7"/>
      <c r="L75" s="7"/>
      <c r="S75" s="7"/>
      <c r="U75" s="54" t="n">
        <f aca="false">IF($AK$74=0,0,HLOOKUP($AK$74,'Daten-Zusammensetzung Bauteil'!$B$4:$BC$14,Database!$B5,FALSE()))</f>
        <v>0</v>
      </c>
      <c r="V75" s="55" t="n">
        <f aca="false">IF($AK$74=0,0,HLOOKUP($AK$74,'Daten-Funktion'!$B$4:$BC$14,Database!$B5,FALSE()))</f>
        <v>0</v>
      </c>
      <c r="W75" s="54" t="n">
        <f aca="false">IF($AK$74=0,0,HLOOKUP($AK$74,'Daten-THGE'!$B$4:$BC$14,Database!$B5,FALSE()))</f>
        <v>0</v>
      </c>
      <c r="X75" s="54" t="n">
        <f aca="false">IF($AK$74=0,0,HLOOKUP($AK$74,'Daten-Dichte'!$B$4:$BC$14,Database!$B5,FALSE()))</f>
        <v>0</v>
      </c>
      <c r="Y75" s="54" t="n">
        <f aca="false">IF($AK$74=0,0,HLOOKUP($AK$74,'Daten-Dicke'!$B$4:$BC$14,Database!$B5,FALSE()))</f>
        <v>0</v>
      </c>
      <c r="Z75" s="57"/>
      <c r="AA75" s="20" t="n">
        <f aca="false">IF(Z75=0,X75*Y75/100*W75,W75*X75*Z75/1000)</f>
        <v>0</v>
      </c>
      <c r="AB75" s="7"/>
      <c r="AC75" s="7"/>
      <c r="AJ75" s="0" t="str">
        <f aca="false">VLOOKUP('Decke unter &amp; über Terrain'!$B$70,Database!$V$54:$W$55,2,FALSE())</f>
        <v>12a</v>
      </c>
      <c r="AK75" s="0" t="str">
        <f aca="false">VLOOKUP('Decke unter &amp; über Terrain'!$S$70,Database!$S$64:$T$65,2,FALSE())</f>
        <v>12b</v>
      </c>
    </row>
    <row r="76" customFormat="false" ht="15.75" hidden="false" customHeight="false" outlineLevel="0" collapsed="false">
      <c r="B76" s="7"/>
      <c r="C76" s="7"/>
      <c r="D76" s="54" t="n">
        <f aca="false">IF($AJ$74=0,0,HLOOKUP($AJ$74,'Daten-Zusammensetzung Bauteil'!$B$4:$BC$14,Database!$B6,FALSE()))</f>
        <v>0</v>
      </c>
      <c r="E76" s="55" t="n">
        <f aca="false">IF($AJ$74=0,0,HLOOKUP($AJ$74,'Daten-Funktion'!$B$4:$BC$14,Database!$B6,FALSE()))</f>
        <v>0</v>
      </c>
      <c r="F76" s="54" t="n">
        <f aca="false">IF($AJ$74=0,0,HLOOKUP($AJ$74,'Daten-THGE'!$B$4:$BC$14,Database!$B6,FALSE()))</f>
        <v>0</v>
      </c>
      <c r="G76" s="54" t="n">
        <f aca="false">IF($AJ$74=0,0,HLOOKUP($AJ$74,'Daten-Dichte'!$B$4:$BC$14,Database!$B6,FALSE()))</f>
        <v>0</v>
      </c>
      <c r="H76" s="54" t="n">
        <f aca="false">IF($AJ$74=0,0,HLOOKUP($AJ$74,'Daten-Dicke'!$B$4:$BC$14,Database!$B6,FALSE()))</f>
        <v>0</v>
      </c>
      <c r="I76" s="57"/>
      <c r="J76" s="20" t="n">
        <f aca="false">IF(I76=0,G76*H76/100*F76,F76*G76*I76/1000)</f>
        <v>0</v>
      </c>
      <c r="K76" s="7"/>
      <c r="L76" s="7"/>
      <c r="S76" s="7"/>
      <c r="T76" s="7"/>
      <c r="U76" s="54" t="n">
        <f aca="false">IF($AK$74=0,0,HLOOKUP($AK$74,'Daten-Zusammensetzung Bauteil'!$B$4:$BC$14,Database!$B6,FALSE()))</f>
        <v>0</v>
      </c>
      <c r="V76" s="55" t="n">
        <f aca="false">IF($AK$74=0,0,HLOOKUP($AK$74,'Daten-Funktion'!$B$4:$BC$14,Database!$B6,FALSE()))</f>
        <v>0</v>
      </c>
      <c r="W76" s="54" t="n">
        <f aca="false">IF($AK$74=0,0,HLOOKUP($AK$74,'Daten-THGE'!$B$4:$BC$14,Database!$B6,FALSE()))</f>
        <v>0</v>
      </c>
      <c r="X76" s="54" t="n">
        <f aca="false">IF($AK$74=0,0,HLOOKUP($AK$74,'Daten-Dichte'!$B$4:$BC$14,Database!$B6,FALSE()))</f>
        <v>0</v>
      </c>
      <c r="Y76" s="54" t="n">
        <f aca="false">IF($AK$74=0,0,HLOOKUP($AK$74,'Daten-Dicke'!$B$4:$BC$14,Database!$B6,FALSE()))</f>
        <v>0</v>
      </c>
      <c r="Z76" s="57"/>
      <c r="AA76" s="20" t="n">
        <f aca="false">IF(Z76=0,X76*Y76/100*W76,W76*X76*Z76/1000)</f>
        <v>0</v>
      </c>
      <c r="AB76" s="7"/>
      <c r="AC76" s="7"/>
      <c r="AK76" s="0" t="n">
        <f aca="false">IF($S$68=Database!$D$14,1,0)</f>
        <v>1</v>
      </c>
    </row>
    <row r="77" customFormat="false" ht="15.75" hidden="false" customHeight="false" outlineLevel="0" collapsed="false">
      <c r="C77" s="7"/>
      <c r="D77" s="54" t="n">
        <f aca="false">IF($AJ$74=0,0,HLOOKUP($AJ$74,'Daten-Zusammensetzung Bauteil'!$B$4:$BC$14,Database!$B7,FALSE()))</f>
        <v>0</v>
      </c>
      <c r="E77" s="55" t="n">
        <f aca="false">IF($AJ$74=0,0,HLOOKUP($AJ$74,'Daten-Funktion'!$B$4:$BC$14,Database!$B7,FALSE()))</f>
        <v>0</v>
      </c>
      <c r="F77" s="54" t="n">
        <f aca="false">IF($AJ$74=0,0,HLOOKUP($AJ$74,'Daten-THGE'!$B$4:$BC$14,Database!$B7,FALSE()))</f>
        <v>0</v>
      </c>
      <c r="G77" s="54" t="n">
        <f aca="false">IF($AJ$74=0,0,HLOOKUP($AJ$74,'Daten-Dichte'!$B$4:$BC$14,Database!$B7,FALSE()))</f>
        <v>0</v>
      </c>
      <c r="H77" s="54" t="n">
        <f aca="false">IF($AJ$74=0,0,HLOOKUP($AJ$74,'Daten-Dicke'!$B$4:$BC$14,Database!$B7,FALSE()))</f>
        <v>0</v>
      </c>
      <c r="I77" s="57"/>
      <c r="J77" s="20" t="n">
        <f aca="false">IF(I77=0,G77*H77/100*F77,F77*G77*I77/1000)</f>
        <v>0</v>
      </c>
      <c r="T77" s="7"/>
      <c r="U77" s="54" t="n">
        <f aca="false">IF($AK$74=0,0,HLOOKUP($AK$74,'Daten-Zusammensetzung Bauteil'!$B$4:$BC$14,Database!$B7,FALSE()))</f>
        <v>0</v>
      </c>
      <c r="V77" s="55" t="n">
        <f aca="false">IF($AK$74=0,0,HLOOKUP($AK$74,'Daten-Funktion'!$B$4:$BC$14,Database!$B7,FALSE()))</f>
        <v>0</v>
      </c>
      <c r="W77" s="54" t="n">
        <f aca="false">IF($AK$74=0,0,HLOOKUP($AK$74,'Daten-THGE'!$B$4:$BC$14,Database!$B7,FALSE()))</f>
        <v>0</v>
      </c>
      <c r="X77" s="54" t="n">
        <f aca="false">IF($AK$74=0,0,HLOOKUP($AK$74,'Daten-Dichte'!$B$4:$BC$14,Database!$B7,FALSE()))</f>
        <v>0</v>
      </c>
      <c r="Y77" s="54" t="n">
        <f aca="false">IF($AK$74=0,0,HLOOKUP($AK$74,'Daten-Dicke'!$B$4:$BC$14,Database!$B7,FALSE()))</f>
        <v>0</v>
      </c>
      <c r="Z77" s="57"/>
      <c r="AA77" s="20" t="n">
        <f aca="false">IF(Z77=0,X77*Y77/100*W77,W77*X77*Z77/1000)</f>
        <v>0</v>
      </c>
    </row>
    <row r="78" customFormat="false" ht="15.75" hidden="false" customHeight="false" outlineLevel="0" collapsed="false">
      <c r="D78" s="54"/>
      <c r="E78" s="55"/>
      <c r="J78" s="20"/>
      <c r="AA78" s="20"/>
    </row>
    <row r="79" customFormat="false" ht="15.75" hidden="false" customHeight="false" outlineLevel="0" collapsed="false">
      <c r="C79" s="37" t="s">
        <v>293</v>
      </c>
      <c r="D79" s="54" t="str">
        <f aca="false">HLOOKUP($AJ$75,'Daten-Zusammensetzung Bauteil'!$B$4:$BC$14,Database!$B4,FALSE())</f>
        <v>Linoleum [m2]</v>
      </c>
      <c r="E79" s="55" t="str">
        <f aca="false">HLOOKUP($AJ$75,'Daten-Funktion'!$B$4:$BC$14,Database!$B4,FALSE())</f>
        <v>G2.2</v>
      </c>
      <c r="F79" s="54" t="n">
        <f aca="false">HLOOKUP($AJ$75,'Daten-THGE'!$B$4:$BC$14,Database!$B4,FALSE())</f>
        <v>0.0731034482758621</v>
      </c>
      <c r="G79" s="54" t="n">
        <f aca="false">HLOOKUP($AJ$75,'Daten-Dichte'!$B$4:$BC$14,Database!$B4,FALSE())</f>
        <v>1160</v>
      </c>
      <c r="H79" s="54" t="n">
        <f aca="false">HLOOKUP($AJ$75,'Daten-Dicke'!$B$4:$BC$14,Database!$B4,FALSE())</f>
        <v>0.25</v>
      </c>
      <c r="I79" s="57"/>
      <c r="J79" s="20" t="n">
        <f aca="false">IF(I79=0,G79*H79/100*F79,F79*G79*I79/1000)</f>
        <v>0.212</v>
      </c>
      <c r="T79" s="37" t="s">
        <v>293</v>
      </c>
      <c r="U79" s="54" t="str">
        <f aca="false">HLOOKUP($AK$75,'Daten-Zusammensetzung Bauteil'!$B$4:$BC$14,Database!$B4,FALSE())</f>
        <v>Parkett 2-Schicht werkversiegelt, 11 mm [m2]</v>
      </c>
      <c r="V79" s="55" t="str">
        <f aca="false">HLOOKUP($AK$75,'Daten-Funktion'!$B$4:$BC$14,Database!$B4,FALSE())</f>
        <v>G2.2</v>
      </c>
      <c r="W79" s="54" t="n">
        <f aca="false">HLOOKUP($AK$75,'Daten-THGE'!$B$4:$BC$14,Database!$B4,FALSE())</f>
        <v>0.0410382513661202</v>
      </c>
      <c r="X79" s="54" t="n">
        <f aca="false">HLOOKUP($AK$75,'Daten-Dichte'!$B$4:$BC$14,Database!$B4,FALSE())</f>
        <v>554.545454545455</v>
      </c>
      <c r="Y79" s="54" t="n">
        <f aca="false">HLOOKUP($AK$75,'Daten-Dicke'!$B$4:$BC$14,Database!$B4,FALSE())</f>
        <v>1.1</v>
      </c>
      <c r="Z79" s="57"/>
      <c r="AA79" s="20" t="n">
        <f aca="false">IF(Z79=0,X79*Y79/100*W79,W79*X79*Z79/1000)</f>
        <v>0.250333333333333</v>
      </c>
    </row>
    <row r="80" customFormat="false" ht="15.75" hidden="false" customHeight="false" outlineLevel="0" collapsed="false">
      <c r="D80" s="54" t="str">
        <f aca="false">HLOOKUP($AJ$75,'Daten-Zusammensetzung Bauteil'!$B$4:$BC$14,Database!$B5,FALSE())</f>
        <v>Klebstoff [kg]</v>
      </c>
      <c r="E80" s="55" t="str">
        <f aca="false">HLOOKUP($AJ$75,'Daten-Funktion'!$B$4:$BC$14,Database!$B5,FALSE())</f>
        <v>G2.2</v>
      </c>
      <c r="F80" s="54" t="n">
        <f aca="false">HLOOKUP($AJ$75,'Daten-THGE'!$B$4:$BC$14,Database!$B5,FALSE())</f>
        <v>0.198333333333333</v>
      </c>
      <c r="G80" s="54" t="n">
        <f aca="false">HLOOKUP($AJ$75,'Daten-Dichte'!$B$4:$BC$14,Database!$B5,FALSE())</f>
        <v>1500</v>
      </c>
      <c r="H80" s="54" t="n">
        <f aca="false">HLOOKUP($AJ$75,'Daten-Dicke'!$B$4:$BC$14,Database!$B5,FALSE())</f>
        <v>0.0266666666666667</v>
      </c>
      <c r="I80" s="57"/>
      <c r="J80" s="20" t="n">
        <f aca="false">IF(I80=0,G80*H80/100*F80,F80*G80*I80/1000)</f>
        <v>0.0793333333333333</v>
      </c>
      <c r="U80" s="54" t="str">
        <f aca="false">HLOOKUP($AK$75,'Daten-Zusammensetzung Bauteil'!$B$4:$BC$14,Database!$B5,FALSE())</f>
        <v>Klebstoff [kg]</v>
      </c>
      <c r="V80" s="55" t="str">
        <f aca="false">HLOOKUP($AK$75,'Daten-Funktion'!$B$4:$BC$14,Database!$B5,FALSE())</f>
        <v>G2.2</v>
      </c>
      <c r="W80" s="54" t="n">
        <f aca="false">HLOOKUP($AK$75,'Daten-THGE'!$B$4:$BC$14,Database!$B5,FALSE())</f>
        <v>0.198333333333333</v>
      </c>
      <c r="X80" s="54" t="n">
        <f aca="false">HLOOKUP($AK$75,'Daten-Dichte'!$B$4:$BC$14,Database!$B5,FALSE())</f>
        <v>1500</v>
      </c>
      <c r="Y80" s="54" t="n">
        <f aca="false">HLOOKUP($AK$75,'Daten-Dicke'!$B$4:$BC$14,Database!$B5,FALSE())</f>
        <v>0.0666666666666667</v>
      </c>
      <c r="Z80" s="57"/>
      <c r="AA80" s="20" t="n">
        <f aca="false">IF(Z80=0,X80*Y80/100*W80,W80*X80*Z80/1000)</f>
        <v>0.198333333333333</v>
      </c>
    </row>
    <row r="81" customFormat="false" ht="15.75" hidden="false" customHeight="false" outlineLevel="0" collapsed="false">
      <c r="D81" s="54" t="n">
        <f aca="false">HLOOKUP($AJ$75,'Daten-Zusammensetzung Bauteil'!$B$4:$BC$14,Database!$B6,FALSE())</f>
        <v>0</v>
      </c>
      <c r="E81" s="55" t="n">
        <f aca="false">HLOOKUP($AJ$75,'Daten-Funktion'!$B$4:$BC$14,Database!$B6,FALSE())</f>
        <v>0</v>
      </c>
      <c r="F81" s="54" t="n">
        <f aca="false">HLOOKUP($AJ$75,'Daten-THGE'!$B$4:$BC$14,Database!$B6,FALSE())</f>
        <v>0</v>
      </c>
      <c r="G81" s="54" t="n">
        <f aca="false">HLOOKUP($AJ$75,'Daten-Dichte'!$B$4:$BC$14,Database!$B6,FALSE())</f>
        <v>0</v>
      </c>
      <c r="H81" s="54" t="n">
        <f aca="false">HLOOKUP($AJ$75,'Daten-Dicke'!$B$4:$BC$14,Database!$B6,FALSE())</f>
        <v>0</v>
      </c>
      <c r="I81" s="57"/>
      <c r="J81" s="20" t="n">
        <f aca="false">IF(I81=0,G81*H81/100*F81,F81*G81*I81/1000)</f>
        <v>0</v>
      </c>
      <c r="U81" s="54" t="n">
        <f aca="false">HLOOKUP($AK$75,'Daten-Zusammensetzung Bauteil'!$B$4:$BC$14,Database!$B6,FALSE())</f>
        <v>0</v>
      </c>
      <c r="V81" s="55" t="n">
        <f aca="false">HLOOKUP($AK$75,'Daten-Funktion'!$B$4:$BC$14,Database!$B6,FALSE())</f>
        <v>0</v>
      </c>
      <c r="W81" s="54" t="n">
        <f aca="false">HLOOKUP($AK$75,'Daten-THGE'!$B$4:$BC$14,Database!$B6,FALSE())</f>
        <v>0</v>
      </c>
      <c r="X81" s="54" t="n">
        <f aca="false">HLOOKUP($AK$75,'Daten-Dichte'!$B$4:$BC$14,Database!$B6,FALSE())</f>
        <v>0</v>
      </c>
      <c r="Y81" s="54" t="n">
        <f aca="false">HLOOKUP($AK$75,'Daten-Dicke'!$B$4:$BC$14,Database!$B6,FALSE())</f>
        <v>0</v>
      </c>
      <c r="Z81" s="57"/>
      <c r="AA81" s="20" t="n">
        <f aca="false">IF(Z81=0,X81*Y81/100*W81,W81*X81*Z81/1000)</f>
        <v>0</v>
      </c>
    </row>
    <row r="82" customFormat="false" ht="15.75" hidden="false" customHeight="false" outlineLevel="0" collapsed="false">
      <c r="D82" s="54" t="n">
        <f aca="false">HLOOKUP($AJ$75,'Daten-Zusammensetzung Bauteil'!$B$4:$BC$14,Database!$B7,FALSE())</f>
        <v>0</v>
      </c>
      <c r="E82" s="55" t="n">
        <f aca="false">HLOOKUP($AJ$75,'Daten-Funktion'!$B$4:$BC$14,Database!$B7,FALSE())</f>
        <v>0</v>
      </c>
      <c r="F82" s="54" t="n">
        <f aca="false">HLOOKUP($AJ$75,'Daten-THGE'!$B$4:$BC$14,Database!$B7,FALSE())</f>
        <v>0</v>
      </c>
      <c r="G82" s="54" t="n">
        <f aca="false">HLOOKUP($AJ$75,'Daten-Dichte'!$B$4:$BC$14,Database!$B7,FALSE())</f>
        <v>0</v>
      </c>
      <c r="H82" s="54" t="n">
        <f aca="false">HLOOKUP($AJ$75,'Daten-Dicke'!$B$4:$BC$14,Database!$B7,FALSE())</f>
        <v>0</v>
      </c>
      <c r="I82" s="57"/>
      <c r="J82" s="20" t="n">
        <f aca="false">IF(I82=0,G82*H82/100*F82,F82*G82*I82/1000)</f>
        <v>0</v>
      </c>
      <c r="U82" s="54" t="n">
        <f aca="false">HLOOKUP($AK$75,'Daten-Zusammensetzung Bauteil'!$B$4:$BC$14,Database!$B7,FALSE())</f>
        <v>0</v>
      </c>
      <c r="V82" s="55" t="n">
        <f aca="false">HLOOKUP($AK$75,'Daten-Funktion'!$B$4:$BC$14,Database!$B7,FALSE())</f>
        <v>0</v>
      </c>
      <c r="W82" s="54" t="n">
        <f aca="false">HLOOKUP($AK$75,'Daten-THGE'!$B$4:$BC$14,Database!$B7,FALSE())</f>
        <v>0</v>
      </c>
      <c r="X82" s="54" t="n">
        <f aca="false">HLOOKUP($AK$75,'Daten-Dichte'!$B$4:$BC$14,Database!$B7,FALSE())</f>
        <v>0</v>
      </c>
      <c r="Y82" s="54" t="n">
        <f aca="false">HLOOKUP($AK$75,'Daten-Dicke'!$B$4:$BC$14,Database!$B7,FALSE())</f>
        <v>0</v>
      </c>
      <c r="Z82" s="57"/>
      <c r="AA82" s="20" t="n">
        <f aca="false">IF(Z82=0,X82*Y82/100*W82,W82*X82*Z82/1000)</f>
        <v>0</v>
      </c>
    </row>
    <row r="83" customFormat="false" ht="15.75" hidden="false" customHeight="false" outlineLevel="0" collapsed="false">
      <c r="D83" s="54" t="n">
        <f aca="false">HLOOKUP($AJ$75,'Daten-Zusammensetzung Bauteil'!$B$4:$BC$14,Database!$B8,FALSE())</f>
        <v>0</v>
      </c>
      <c r="E83" s="55" t="n">
        <f aca="false">HLOOKUP($AJ$75,'Daten-Funktion'!$B$4:$BC$14,Database!$B8,FALSE())</f>
        <v>0</v>
      </c>
      <c r="F83" s="54" t="n">
        <f aca="false">HLOOKUP($AJ$75,'Daten-THGE'!$B$4:$BC$14,Database!$B8,FALSE())</f>
        <v>0</v>
      </c>
      <c r="G83" s="54" t="n">
        <f aca="false">HLOOKUP($AJ$75,'Daten-Dichte'!$B$4:$BC$14,Database!$B8,FALSE())</f>
        <v>0</v>
      </c>
      <c r="H83" s="54" t="n">
        <f aca="false">HLOOKUP($AJ$75,'Daten-Dicke'!$B$4:$BC$14,Database!$B8,FALSE())</f>
        <v>0</v>
      </c>
      <c r="I83" s="57"/>
      <c r="J83" s="20" t="n">
        <f aca="false">IF(I83=0,G83*H83/100*F83,F83*G83*I83/1000)</f>
        <v>0</v>
      </c>
      <c r="U83" s="54" t="n">
        <f aca="false">HLOOKUP($AK$75,'Daten-Zusammensetzung Bauteil'!$B$4:$BC$14,Database!$B8,FALSE())</f>
        <v>0</v>
      </c>
      <c r="V83" s="55" t="n">
        <f aca="false">HLOOKUP($AK$75,'Daten-Funktion'!$B$4:$BC$14,Database!$B8,FALSE())</f>
        <v>0</v>
      </c>
      <c r="W83" s="54" t="n">
        <f aca="false">HLOOKUP($AK$75,'Daten-THGE'!$B$4:$BC$14,Database!$B8,FALSE())</f>
        <v>0</v>
      </c>
      <c r="X83" s="54" t="n">
        <f aca="false">HLOOKUP($AK$75,'Daten-Dichte'!$B$4:$BC$14,Database!$B8,FALSE())</f>
        <v>0</v>
      </c>
      <c r="Y83" s="54" t="n">
        <f aca="false">HLOOKUP($AK$75,'Daten-Dicke'!$B$4:$BC$14,Database!$B8,FALSE())</f>
        <v>0</v>
      </c>
      <c r="Z83" s="57"/>
      <c r="AA83" s="20" t="n">
        <f aca="false">IF(Z83=0,X83*Y83/100*W83,W83*X83*Z83/1000)</f>
        <v>0</v>
      </c>
    </row>
    <row r="91" customFormat="false" ht="15" hidden="false" customHeight="false" outlineLevel="0" collapsed="false">
      <c r="M91" s="58"/>
      <c r="N91" s="58"/>
      <c r="O91" s="58"/>
      <c r="P91" s="58"/>
      <c r="Q91" s="58"/>
      <c r="AI91" s="58"/>
    </row>
  </sheetData>
  <dataValidations count="8">
    <dataValidation allowBlank="true" errorStyle="stop" operator="between" showDropDown="false" showErrorMessage="true" showInputMessage="true" sqref="C5 T5 B26:C26 S26 C46 T46 B67:C67 S67:T67" type="list">
      <formula1>Database!$H$4:$H$6</formula1>
      <formula2>0</formula2>
    </dataValidation>
    <dataValidation allowBlank="true" errorStyle="stop" operator="between" showDropDown="false" showErrorMessage="true" showInputMessage="true" sqref="B70" type="list">
      <formula1>Database!$V$54:$V$55</formula1>
      <formula2>0</formula2>
    </dataValidation>
    <dataValidation allowBlank="true" errorStyle="stop" operator="between" showDropDown="false" showErrorMessage="true" showInputMessage="true" sqref="S70" type="list">
      <formula1>Database!$S$64:$S$65</formula1>
      <formula2>0</formula2>
    </dataValidation>
    <dataValidation allowBlank="true" errorStyle="stop" operator="between" showDropDown="false" showErrorMessage="true" showInputMessage="true" sqref="B30 S30 B68 S68" type="list">
      <formula1>Database!$D$14:$D$15</formula1>
      <formula2>0</formula2>
    </dataValidation>
    <dataValidation allowBlank="true" errorStyle="stop" operator="between" showDropDown="false" showErrorMessage="true" showInputMessage="true" sqref="B27 S27" type="list">
      <formula1>Database!$D$6:$D$8</formula1>
      <formula2>0</formula2>
    </dataValidation>
    <dataValidation allowBlank="true" errorStyle="stop" operator="between" showDropDown="false" showErrorMessage="true" showInputMessage="true" sqref="B28 S28" type="list">
      <formula1>Database!$D$11:$D$13</formula1>
      <formula2>0</formula2>
    </dataValidation>
    <dataValidation allowBlank="true" errorStyle="stop" operator="between" showDropDown="false" showErrorMessage="true" showInputMessage="true" sqref="B29 S29" type="list">
      <formula1>Database!$D$9:$D$10</formula1>
      <formula2>0</formula2>
    </dataValidation>
    <dataValidation allowBlank="true" errorStyle="stop" operator="between" showDropDown="false" showErrorMessage="true" showInputMessage="true" sqref="B69 S69" type="list">
      <formula1>Database!$H$12:$H$15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2:AK73"/>
  <sheetViews>
    <sheetView showFormulas="false" showGridLines="true" showRowColHeaders="true" showZeros="true" rightToLeft="false" tabSelected="false" showOutlineSymbols="true" defaultGridColor="true" view="normal" topLeftCell="I25" colorId="64" zoomScale="77" zoomScaleNormal="77" zoomScalePageLayoutView="100" workbookViewId="0">
      <selection pane="topLeft" activeCell="O61" activeCellId="0" sqref="O61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16.41"/>
    <col collapsed="false" customWidth="true" hidden="false" outlineLevel="0" max="4" min="4" style="0" width="45.14"/>
    <col collapsed="false" customWidth="true" hidden="false" outlineLevel="0" max="5" min="5" style="51" width="8.86"/>
    <col collapsed="false" customWidth="true" hidden="false" outlineLevel="0" max="6" min="6" style="0" width="16.41"/>
    <col collapsed="false" customWidth="true" hidden="false" outlineLevel="0" max="7" min="7" style="0" width="13.43"/>
    <col collapsed="false" customWidth="true" hidden="false" outlineLevel="0" max="8" min="8" style="0" width="10.42"/>
    <col collapsed="false" customWidth="true" hidden="false" outlineLevel="0" max="9" min="9" style="0" width="19.85"/>
    <col collapsed="false" customWidth="true" hidden="false" outlineLevel="0" max="10" min="10" style="0" width="17.4"/>
    <col collapsed="false" customWidth="true" hidden="false" outlineLevel="0" max="11" min="11" style="0" width="18.42"/>
    <col collapsed="false" customWidth="true" hidden="false" outlineLevel="0" max="12" min="12" style="0" width="11.86"/>
    <col collapsed="false" customWidth="true" hidden="false" outlineLevel="0" max="13" min="13" style="51" width="30.14"/>
    <col collapsed="false" customWidth="true" hidden="false" outlineLevel="0" max="20" min="14" style="51" width="28.86"/>
    <col collapsed="false" customWidth="true" hidden="false" outlineLevel="0" max="21" min="21" style="51" width="53.86"/>
    <col collapsed="false" customWidth="true" hidden="false" outlineLevel="0" max="22" min="22" style="0" width="5.43"/>
    <col collapsed="false" customWidth="true" hidden="false" outlineLevel="0" max="23" min="23" style="0" width="34.42"/>
    <col collapsed="false" customWidth="true" hidden="false" outlineLevel="0" max="24" min="24" style="0" width="56.43"/>
    <col collapsed="false" customWidth="true" hidden="false" outlineLevel="0" max="25" min="25" style="51" width="8.86"/>
    <col collapsed="false" customWidth="true" hidden="false" outlineLevel="0" max="26" min="26" style="0" width="15.42"/>
    <col collapsed="false" customWidth="true" hidden="false" outlineLevel="0" max="27" min="27" style="0" width="13.43"/>
    <col collapsed="false" customWidth="true" hidden="false" outlineLevel="0" max="28" min="28" style="0" width="10.42"/>
    <col collapsed="false" customWidth="true" hidden="false" outlineLevel="0" max="29" min="29" style="0" width="19.85"/>
    <col collapsed="false" customWidth="true" hidden="false" outlineLevel="0" max="30" min="30" style="0" width="26.85"/>
    <col collapsed="false" customWidth="true" hidden="false" outlineLevel="0" max="31" min="31" style="0" width="16.41"/>
    <col collapsed="false" customWidth="true" hidden="false" outlineLevel="0" max="32" min="32" style="0" width="11.86"/>
    <col collapsed="false" customWidth="true" hidden="false" outlineLevel="0" max="33" min="33" style="0" width="30.14"/>
    <col collapsed="false" customWidth="true" hidden="false" outlineLevel="0" max="35" min="34" style="0" width="28.86"/>
    <col collapsed="false" customWidth="true" hidden="false" outlineLevel="0" max="36" min="36" style="0" width="11.42"/>
    <col collapsed="false" customWidth="true" hidden="false" outlineLevel="0" max="37" min="37" style="0" width="3.14"/>
  </cols>
  <sheetData>
    <row r="2" customFormat="false" ht="15" hidden="false" customHeight="false" outlineLevel="0" collapsed="false">
      <c r="M2" s="64" t="s">
        <v>284</v>
      </c>
      <c r="N2" s="64" t="s">
        <v>285</v>
      </c>
      <c r="O2" s="64" t="s">
        <v>286</v>
      </c>
      <c r="P2" s="64" t="s">
        <v>295</v>
      </c>
      <c r="Q2" s="64" t="s">
        <v>296</v>
      </c>
      <c r="R2" s="64" t="s">
        <v>273</v>
      </c>
      <c r="S2" s="64" t="s">
        <v>274</v>
      </c>
      <c r="T2" s="64" t="s">
        <v>275</v>
      </c>
      <c r="U2" s="64" t="s">
        <v>276</v>
      </c>
      <c r="AG2" s="64" t="s">
        <v>284</v>
      </c>
      <c r="AH2" s="64" t="s">
        <v>297</v>
      </c>
      <c r="AI2" s="64" t="s">
        <v>298</v>
      </c>
    </row>
    <row r="3" customFormat="false" ht="20.25" hidden="false" customHeight="false" outlineLevel="0" collapsed="false">
      <c r="B3" s="6" t="s">
        <v>256</v>
      </c>
      <c r="C3" s="6"/>
      <c r="D3" s="37" t="s">
        <v>257</v>
      </c>
      <c r="E3" s="52" t="s">
        <v>258</v>
      </c>
      <c r="F3" s="37" t="s">
        <v>259</v>
      </c>
      <c r="G3" s="37" t="s">
        <v>260</v>
      </c>
      <c r="H3" s="37" t="s">
        <v>261</v>
      </c>
      <c r="I3" s="53" t="s">
        <v>262</v>
      </c>
      <c r="J3" s="37" t="s">
        <v>263</v>
      </c>
      <c r="K3" s="8" t="s">
        <v>102</v>
      </c>
      <c r="L3" s="7"/>
      <c r="W3" s="6" t="s">
        <v>256</v>
      </c>
      <c r="X3" s="37" t="s">
        <v>257</v>
      </c>
      <c r="Y3" s="52" t="s">
        <v>258</v>
      </c>
      <c r="Z3" s="37" t="s">
        <v>259</v>
      </c>
      <c r="AA3" s="37" t="s">
        <v>260</v>
      </c>
      <c r="AB3" s="37" t="s">
        <v>261</v>
      </c>
      <c r="AC3" s="53" t="s">
        <v>262</v>
      </c>
      <c r="AD3" s="37" t="s">
        <v>263</v>
      </c>
      <c r="AE3" s="8" t="s">
        <v>102</v>
      </c>
      <c r="AF3" s="7"/>
      <c r="AG3" s="51"/>
      <c r="AH3" s="51"/>
      <c r="AI3" s="51"/>
    </row>
    <row r="4" customFormat="false" ht="15.75" hidden="false" customHeight="false" outlineLevel="0" collapsed="false">
      <c r="B4" s="37" t="s">
        <v>83</v>
      </c>
      <c r="C4" s="37" t="s">
        <v>299</v>
      </c>
      <c r="D4" s="54" t="str">
        <f aca="false">HLOOKUP($V$4,'Daten-Zusammensetzung Bauteil'!$B$4:$BC$11,Database!$B4,FALSE())</f>
        <v>Hochbaubeton 25 cm [kg]</v>
      </c>
      <c r="E4" s="55" t="str">
        <f aca="false">MID(HLOOKUP($V$4,'Daten-Funktion'!$B$4:$BC$11,Database!$B4,FALSE()),1,2)</f>
        <v>C4</v>
      </c>
      <c r="F4" s="54" t="n">
        <f aca="false">HLOOKUP($V$4,'Daten-THGE'!$B$4:$BC$11,Database!$B4,FALSE())</f>
        <v>0.00165333333333333</v>
      </c>
      <c r="G4" s="54" t="n">
        <f aca="false">HLOOKUP($V$4,'Daten-Dichte'!$B$4:$BC$11,Database!$B4,FALSE())</f>
        <v>2300</v>
      </c>
      <c r="H4" s="54" t="n">
        <f aca="false">HLOOKUP($V$4,'Daten-Dicke'!$B$4:$BC$11,Database!$B4,FALSE())</f>
        <v>24.7452229299363</v>
      </c>
      <c r="I4" s="9"/>
      <c r="J4" s="20" t="n">
        <f aca="false">IF(I4=0,G4*H4/100*F4,F4*G4*I4/1000)</f>
        <v>0.940978343949044</v>
      </c>
      <c r="K4" s="56" t="n">
        <f aca="false">SUM(J4:J18)*Gebäude!$C$16</f>
        <v>2007.56359829299</v>
      </c>
      <c r="L4" s="37" t="s">
        <v>31</v>
      </c>
      <c r="M4" s="68" t="n">
        <f aca="false">IF(E4="C4",1,0)</f>
        <v>1</v>
      </c>
      <c r="N4" s="68" t="n">
        <f aca="false">IF(E4="G4.1",1,0)</f>
        <v>0</v>
      </c>
      <c r="O4" s="68" t="n">
        <f aca="false">IF(E4="G4.2",1,0)</f>
        <v>0</v>
      </c>
      <c r="P4" s="68" t="n">
        <f aca="false">IF(E4="F1.2",1,0)</f>
        <v>0</v>
      </c>
      <c r="Q4" s="68" t="n">
        <f aca="false">IF(E4="F1.3",1,0)</f>
        <v>0</v>
      </c>
      <c r="R4" s="68" t="n">
        <f aca="false">IF(E4="E2.1",1,0)</f>
        <v>0</v>
      </c>
      <c r="S4" s="68" t="n">
        <f aca="false">IF(E4="E2.2",1,0)</f>
        <v>0</v>
      </c>
      <c r="T4" s="68" t="n">
        <f aca="false">IF(E4="E2.3",1,0)</f>
        <v>0</v>
      </c>
      <c r="U4" s="68" t="n">
        <f aca="false">IF(E4="E2.4",1,0)</f>
        <v>0</v>
      </c>
      <c r="V4" s="76" t="str">
        <f aca="false">IF($B$5=Database!$H$4,VLOOKUP('Dach unter &amp; über Terrain'!$B$6,Database!$D$18:$F$19,2,FALSE()),VLOOKUP('Dach unter &amp; über Terrain'!$B$5,Database!$H$5:$M$6,5,FALSE()))</f>
        <v>4c</v>
      </c>
      <c r="W4" s="37" t="s">
        <v>73</v>
      </c>
      <c r="X4" s="54" t="str">
        <f aca="false">HLOOKUP($AK$4,'Daten-Zusammensetzung Bauteil'!$B$4:$BC$14,Database!$B4,FALSE())</f>
        <v>Hochbaubeton 30 cm [kg]</v>
      </c>
      <c r="Y4" s="55" t="str">
        <f aca="false">MID(HLOOKUP($AK$4,'Daten-Funktion'!$B$4:$BC$14,Database!$B4,FALSE()),1,2)</f>
        <v>C4</v>
      </c>
      <c r="Z4" s="54" t="n">
        <f aca="false">HLOOKUP($AK$4,'Daten-THGE'!$B$4:$BC$14,Database!$B4,FALSE())</f>
        <v>0.00165333333333333</v>
      </c>
      <c r="AA4" s="54" t="n">
        <f aca="false">HLOOKUP($AK$4,'Daten-Dichte'!$B$4:$BC$14,Database!$B4,FALSE())</f>
        <v>2300</v>
      </c>
      <c r="AB4" s="54" t="n">
        <f aca="false">HLOOKUP($AK$4,'Daten-Dicke'!$B$4:$BC$14,Database!$B4,FALSE())</f>
        <v>29.5700636942675</v>
      </c>
      <c r="AC4" s="9"/>
      <c r="AD4" s="20" t="n">
        <f aca="false">IF(AC4=0,AA4*AB4/100*Z4,Z4*AA4*AC4/1000)</f>
        <v>1.12445095541401</v>
      </c>
      <c r="AE4" s="56" t="n">
        <f aca="false">IF(Gebäude!G5=Database!D15,0,SUM(AD4:AD13)*Gebäude!$C$15)</f>
        <v>0</v>
      </c>
      <c r="AF4" s="37" t="s">
        <v>31</v>
      </c>
      <c r="AG4" s="68" t="n">
        <f aca="false">IF(Y4="C4",1,0)</f>
        <v>1</v>
      </c>
      <c r="AH4" s="68" t="n">
        <f aca="false">IF(Y4="F1.1",1,0)</f>
        <v>0</v>
      </c>
      <c r="AI4" s="68" t="n">
        <f aca="false">IF(Y4="F1.2",1,0)</f>
        <v>0</v>
      </c>
      <c r="AK4" s="76" t="str">
        <f aca="false">VLOOKUP($W$5,Database!$H$4:$J$6,3,FALSE())</f>
        <v>8a</v>
      </c>
    </row>
    <row r="5" customFormat="false" ht="15.75" hidden="false" customHeight="false" outlineLevel="0" collapsed="false">
      <c r="B5" s="37" t="str">
        <f aca="false">Gebäude!$G$4</f>
        <v>Mischbauweise</v>
      </c>
      <c r="C5" s="37"/>
      <c r="D5" s="54" t="str">
        <f aca="false">HLOOKUP($V$4,'Daten-Zusammensetzung Bauteil'!$B$4:$BC$11,Database!$B5,FALSE())</f>
        <v>Armierungsstahl (Bewehrungsgehalt 80 kg/m3) [kg]</v>
      </c>
      <c r="E5" s="55" t="str">
        <f aca="false">MID(HLOOKUP($V$4,'Daten-Funktion'!$B$4:$BC$11,Database!$B5,FALSE()),1,2)</f>
        <v>C4</v>
      </c>
      <c r="F5" s="54" t="n">
        <f aca="false">HLOOKUP($V$4,'Daten-THGE'!$B$4:$BC$11,Database!$B5,FALSE())</f>
        <v>0.0113666666666667</v>
      </c>
      <c r="G5" s="54" t="n">
        <f aca="false">HLOOKUP($V$4,'Daten-Dichte'!$B$4:$BC$11,Database!$B5,FALSE())</f>
        <v>7850</v>
      </c>
      <c r="H5" s="54" t="n">
        <f aca="false">HLOOKUP($V$4,'Daten-Dicke'!$B$4:$BC$11,Database!$B5,FALSE())</f>
        <v>0.254777070063694</v>
      </c>
      <c r="I5" s="9"/>
      <c r="J5" s="20" t="n">
        <f aca="false">IF(I5=0,G5*H5/100*F5,F5*G5*I5/1000)</f>
        <v>0.227333333333333</v>
      </c>
      <c r="K5" s="54"/>
      <c r="L5" s="7"/>
      <c r="M5" s="68" t="n">
        <f aca="false">IF(E5="C4",1,0)</f>
        <v>1</v>
      </c>
      <c r="N5" s="68" t="n">
        <f aca="false">IF(E5="G4.1",1,0)</f>
        <v>0</v>
      </c>
      <c r="O5" s="68" t="n">
        <f aca="false">IF(E5="G4.2",1,0)</f>
        <v>0</v>
      </c>
      <c r="P5" s="68" t="n">
        <f aca="false">IF(E5="F1.2",1,0)</f>
        <v>0</v>
      </c>
      <c r="Q5" s="68" t="n">
        <f aca="false">IF(E5="F1.3",1,0)</f>
        <v>0</v>
      </c>
      <c r="R5" s="68" t="n">
        <f aca="false">IF(E5="E2.1",1,0)</f>
        <v>0</v>
      </c>
      <c r="S5" s="68" t="n">
        <f aca="false">IF(E5="E2.2",1,0)</f>
        <v>0</v>
      </c>
      <c r="T5" s="68" t="n">
        <f aca="false">IF(E5="E2.3",1,0)</f>
        <v>0</v>
      </c>
      <c r="U5" s="68" t="n">
        <f aca="false">IF(E5="E2.4",1,0)</f>
        <v>0</v>
      </c>
      <c r="V5" s="76" t="str">
        <f aca="false">IF($B$5=Database!$H$4,VLOOKUP($B$6,Database!$D$18:$F$19,3,FALSE()),VLOOKUP($B$5,Database!$H$5:$M$6,6,FALSE()))</f>
        <v>5a</v>
      </c>
      <c r="W5" s="37" t="str">
        <f aca="false">Gebäude!$G$4</f>
        <v>Mischbauweise</v>
      </c>
      <c r="X5" s="54" t="str">
        <f aca="false">HLOOKUP($AK$4,'Daten-Zusammensetzung Bauteil'!$B$4:$BC$14,Database!$B5,FALSE())</f>
        <v>Armierungsstahl [kg]</v>
      </c>
      <c r="Y5" s="55" t="str">
        <f aca="false">MID(HLOOKUP($AK$4,'Daten-Funktion'!$B$4:$BC$14,Database!$B5,FALSE()),1,2)</f>
        <v>C4</v>
      </c>
      <c r="Z5" s="54" t="n">
        <f aca="false">HLOOKUP($AK$4,'Daten-THGE'!$B$4:$BC$14,Database!$B5,FALSE())</f>
        <v>0.0113666666666667</v>
      </c>
      <c r="AA5" s="54" t="n">
        <f aca="false">HLOOKUP($AK$4,'Daten-Dichte'!$B$4:$BC$14,Database!$B5,FALSE())</f>
        <v>7850</v>
      </c>
      <c r="AB5" s="54" t="n">
        <f aca="false">HLOOKUP($AK$4,'Daten-Dicke'!$B$4:$BC$14,Database!$B5,FALSE())</f>
        <v>0.429936305732484</v>
      </c>
      <c r="AC5" s="9"/>
      <c r="AD5" s="20" t="n">
        <f aca="false">IF(AC5=0,AA5*AB5/100*Z5,Z5*AA5*AC5/1000)</f>
        <v>0.383625</v>
      </c>
      <c r="AE5" s="54"/>
      <c r="AF5" s="7"/>
      <c r="AG5" s="68" t="n">
        <f aca="false">IF(Y5="C4",1,0)</f>
        <v>1</v>
      </c>
      <c r="AH5" s="68" t="n">
        <f aca="false">IF(Y5="F1.1",1,0)</f>
        <v>0</v>
      </c>
      <c r="AI5" s="68" t="n">
        <f aca="false">IF(Y5="F1.2",1,0)</f>
        <v>0</v>
      </c>
      <c r="AK5" s="76" t="n">
        <f aca="false">IF(AE4&gt;0,1,0)</f>
        <v>0</v>
      </c>
    </row>
    <row r="6" customFormat="false" ht="15.75" hidden="false" customHeight="false" outlineLevel="0" collapsed="false">
      <c r="B6" s="7" t="str">
        <f aca="false">Gebäude!$G$13</f>
        <v>Geneigtes Dach</v>
      </c>
      <c r="C6" s="7"/>
      <c r="D6" s="54" t="str">
        <f aca="false">HLOOKUP($V$4,'Daten-Zusammensetzung Bauteil'!$B$4:$BC$11,Database!$B6,FALSE())</f>
        <v>Stahlblech [kg]</v>
      </c>
      <c r="E6" s="55" t="str">
        <f aca="false">MID(HLOOKUP($V$4,'Daten-Funktion'!$B$4:$BC$11,Database!$B6,FALSE()),1,2)</f>
        <v>C4</v>
      </c>
      <c r="F6" s="54" t="n">
        <f aca="false">HLOOKUP($V$4,'Daten-THGE'!$B$4:$BC$11,Database!$B6,FALSE())</f>
        <v>0.0585</v>
      </c>
      <c r="G6" s="54" t="n">
        <f aca="false">HLOOKUP($V$4,'Daten-Dichte'!$B$4:$BC$11,Database!$B6,FALSE())</f>
        <v>7850</v>
      </c>
      <c r="H6" s="54" t="n">
        <f aca="false">HLOOKUP($V$4,'Daten-Dicke'!$B$4:$BC$11,Database!$B6,FALSE())</f>
        <v>0.165605095541401</v>
      </c>
      <c r="I6" s="57"/>
      <c r="J6" s="20" t="n">
        <f aca="false">IF(I6=0,G6*H6/100*F6,F6*G6*I6/1000)</f>
        <v>0.7605</v>
      </c>
      <c r="K6" s="7"/>
      <c r="L6" s="7"/>
      <c r="M6" s="68" t="n">
        <f aca="false">IF(E6="C4",1,0)</f>
        <v>1</v>
      </c>
      <c r="N6" s="68" t="n">
        <f aca="false">IF(E6="G4.1",1,0)</f>
        <v>0</v>
      </c>
      <c r="O6" s="68" t="n">
        <f aca="false">IF(E6="G4.2",1,0)</f>
        <v>0</v>
      </c>
      <c r="P6" s="68" t="n">
        <f aca="false">IF(E6="F1.2",1,0)</f>
        <v>0</v>
      </c>
      <c r="Q6" s="68" t="n">
        <f aca="false">IF(E6="F1.3",1,0)</f>
        <v>0</v>
      </c>
      <c r="R6" s="68" t="n">
        <f aca="false">IF(E6="E2.1",1,0)</f>
        <v>0</v>
      </c>
      <c r="S6" s="68" t="n">
        <f aca="false">IF(E6="E2.2",1,0)</f>
        <v>0</v>
      </c>
      <c r="T6" s="68" t="n">
        <f aca="false">IF(E6="E2.3",1,0)</f>
        <v>0</v>
      </c>
      <c r="U6" s="68" t="n">
        <f aca="false">IF(E6="E2.4",1,0)</f>
        <v>0</v>
      </c>
      <c r="V6" s="76"/>
      <c r="W6" s="7"/>
      <c r="X6" s="54" t="str">
        <f aca="false">HLOOKUP($AK$4,'Daten-Zusammensetzung Bauteil'!$B$4:$BC$14,Database!$B6,FALSE())</f>
        <v>3-SP Schalung 2.5 cm (Annahme 5xverwendet) [kg]</v>
      </c>
      <c r="Y6" s="55" t="str">
        <f aca="false">MID(HLOOKUP($AK$4,'Daten-Funktion'!$B$4:$BC$14,Database!$B6,FALSE()),1,2)</f>
        <v>C4</v>
      </c>
      <c r="Z6" s="54" t="n">
        <f aca="false">HLOOKUP($AK$4,'Daten-THGE'!$B$4:$BC$14,Database!$B6,FALSE())</f>
        <v>0.00871666666666667</v>
      </c>
      <c r="AA6" s="54" t="n">
        <f aca="false">HLOOKUP($AK$4,'Daten-Dichte'!$B$4:$BC$14,Database!$B6,FALSE())</f>
        <v>470</v>
      </c>
      <c r="AB6" s="54" t="n">
        <f aca="false">HLOOKUP($AK$4,'Daten-Dicke'!$B$4:$BC$14,Database!$B6,FALSE())</f>
        <v>1</v>
      </c>
      <c r="AC6" s="57"/>
      <c r="AD6" s="20" t="n">
        <f aca="false">IF(AC6=0,AA6*AB6/100*Z6,Z6*AA6*AC6/1000)</f>
        <v>0.0409683333333333</v>
      </c>
      <c r="AE6" s="7"/>
      <c r="AF6" s="7"/>
      <c r="AG6" s="68" t="n">
        <f aca="false">IF(Y6="C4",1,0)</f>
        <v>1</v>
      </c>
      <c r="AH6" s="68" t="n">
        <f aca="false">IF(Y6="F1.1",1,0)</f>
        <v>0</v>
      </c>
      <c r="AI6" s="68" t="n">
        <f aca="false">IF(Y6="F1.2",1,0)</f>
        <v>0</v>
      </c>
      <c r="AK6" s="76"/>
    </row>
    <row r="7" customFormat="false" ht="15.75" hidden="false" customHeight="false" outlineLevel="0" collapsed="false">
      <c r="B7" s="7"/>
      <c r="C7" s="7"/>
      <c r="D7" s="54" t="str">
        <f aca="false">HLOOKUP($V$4,'Daten-Zusammensetzung Bauteil'!$B$4:$BC$11,Database!$B7,FALSE())</f>
        <v>Stahlträger [kg]</v>
      </c>
      <c r="E7" s="55" t="str">
        <f aca="false">MID(HLOOKUP($V$4,'Daten-Funktion'!$B$4:$BC$11,Database!$B7,FALSE()),1,2)</f>
        <v>C4</v>
      </c>
      <c r="F7" s="54" t="n">
        <f aca="false">HLOOKUP($V$4,'Daten-THGE'!$B$4:$BC$11,Database!$B7,FALSE())</f>
        <v>0.0122333333333333</v>
      </c>
      <c r="G7" s="54" t="n">
        <f aca="false">HLOOKUP($V$4,'Daten-Dichte'!$B$4:$BC$11,Database!$B7,FALSE())</f>
        <v>7850</v>
      </c>
      <c r="H7" s="54" t="n">
        <f aca="false">HLOOKUP($V$4,'Daten-Dicke'!$B$4:$BC$11,Database!$B7,FALSE())</f>
        <v>0.127388535031847</v>
      </c>
      <c r="I7" s="57"/>
      <c r="J7" s="20" t="n">
        <f aca="false">IF(I7=0,G7*H7/100*F7,F7*G7*I7/1000)</f>
        <v>0.122333333333333</v>
      </c>
      <c r="K7" s="7"/>
      <c r="L7" s="7"/>
      <c r="M7" s="68" t="n">
        <f aca="false">IF(E7="C4",1,0)</f>
        <v>1</v>
      </c>
      <c r="N7" s="68" t="n">
        <f aca="false">IF(E7="G4.1",1,0)</f>
        <v>0</v>
      </c>
      <c r="O7" s="68" t="n">
        <f aca="false">IF(E7="G4.2",1,0)</f>
        <v>0</v>
      </c>
      <c r="P7" s="68" t="n">
        <f aca="false">IF(E7="F1.2",1,0)</f>
        <v>0</v>
      </c>
      <c r="Q7" s="68" t="n">
        <f aca="false">IF(E7="F1.3",1,0)</f>
        <v>0</v>
      </c>
      <c r="R7" s="68" t="n">
        <f aca="false">IF(E7="E2.1",1,0)</f>
        <v>0</v>
      </c>
      <c r="S7" s="68" t="n">
        <f aca="false">IF(E7="E2.2",1,0)</f>
        <v>0</v>
      </c>
      <c r="T7" s="68" t="n">
        <f aca="false">IF(E7="E2.3",1,0)</f>
        <v>0</v>
      </c>
      <c r="U7" s="68" t="n">
        <f aca="false">IF(E7="E2.4",1,0)</f>
        <v>0</v>
      </c>
      <c r="V7" s="76"/>
      <c r="W7" s="7"/>
      <c r="X7" s="54" t="str">
        <f aca="false">HLOOKUP($AK$4,'Daten-Zusammensetzung Bauteil'!$B$4:$BC$14,Database!$B7,FALSE())</f>
        <v>Bitumenemulsion [m2]</v>
      </c>
      <c r="Y7" s="55" t="str">
        <f aca="false">HLOOKUP($AK$4,'Daten-Funktion'!$B$4:$BC$14,Database!$B7,FALSE())</f>
        <v>F1.1</v>
      </c>
      <c r="Z7" s="54" t="n">
        <f aca="false">HLOOKUP($AK$4,'Daten-THGE'!$B$4:$BC$14,Database!$B7,FALSE())</f>
        <v>0.0470666666666667</v>
      </c>
      <c r="AA7" s="54" t="n">
        <f aca="false">HLOOKUP($AK$4,'Daten-Dichte'!$B$4:$BC$14,Database!$B7,FALSE())</f>
        <v>250</v>
      </c>
      <c r="AB7" s="54" t="n">
        <f aca="false">HLOOKUP($AK$4,'Daten-Dicke'!$B$4:$BC$14,Database!$B7,FALSE())</f>
        <v>0.1</v>
      </c>
      <c r="AC7" s="57"/>
      <c r="AD7" s="20" t="n">
        <f aca="false">IF(AC7=0,AA7*AB7/100*Z7,Z7*AA7*AC7/1000)</f>
        <v>0.0117666666666667</v>
      </c>
      <c r="AE7" s="7"/>
      <c r="AF7" s="7"/>
      <c r="AG7" s="68" t="n">
        <f aca="false">IF(Y7="C4",1,0)</f>
        <v>0</v>
      </c>
      <c r="AH7" s="68" t="n">
        <f aca="false">IF(Y7="F1.1",1,0)</f>
        <v>1</v>
      </c>
      <c r="AI7" s="68" t="n">
        <f aca="false">IF(Y7="F1.2",1,0)</f>
        <v>0</v>
      </c>
      <c r="AK7" s="76"/>
    </row>
    <row r="8" customFormat="false" ht="15.75" hidden="false" customHeight="false" outlineLevel="0" collapsed="false">
      <c r="B8" s="7"/>
      <c r="C8" s="7"/>
      <c r="D8" s="54" t="n">
        <f aca="false">HLOOKUP($V$4,'Daten-Zusammensetzung Bauteil'!$B$4:$BC$11,Database!$B8,FALSE())</f>
        <v>0</v>
      </c>
      <c r="E8" s="55" t="n">
        <f aca="false">HLOOKUP($V$4,'Daten-Funktion'!$B$4:$BC$11,Database!$B8,FALSE())</f>
        <v>0</v>
      </c>
      <c r="F8" s="54" t="n">
        <f aca="false">HLOOKUP($V$4,'Daten-THGE'!$B$4:$BC$11,Database!$B8,FALSE())</f>
        <v>0</v>
      </c>
      <c r="G8" s="54" t="n">
        <f aca="false">HLOOKUP($V$4,'Daten-Dichte'!$B$4:$BC$11,Database!$B8,FALSE())</f>
        <v>0</v>
      </c>
      <c r="H8" s="54" t="n">
        <f aca="false">HLOOKUP($V$4,'Daten-Dicke'!$B$4:$BC$11,Database!$B8,FALSE())</f>
        <v>0</v>
      </c>
      <c r="I8" s="57"/>
      <c r="J8" s="20" t="n">
        <f aca="false">IF(I8=0,G8*H8/100*F8,F8*G8*I8/1000)</f>
        <v>0</v>
      </c>
      <c r="K8" s="7"/>
      <c r="L8" s="7"/>
      <c r="M8" s="68" t="n">
        <f aca="false">IF(E8="C4",1,0)</f>
        <v>0</v>
      </c>
      <c r="N8" s="68" t="n">
        <f aca="false">IF(E8="G4.1",1,0)</f>
        <v>0</v>
      </c>
      <c r="O8" s="68" t="n">
        <f aca="false">IF(E8="G4.2",1,0)</f>
        <v>0</v>
      </c>
      <c r="P8" s="68" t="n">
        <f aca="false">IF(E8="F1.2",1,0)</f>
        <v>0</v>
      </c>
      <c r="Q8" s="68" t="n">
        <f aca="false">IF(E8="F1.3",1,0)</f>
        <v>0</v>
      </c>
      <c r="R8" s="68" t="n">
        <f aca="false">IF(E8="E2.1",1,0)</f>
        <v>0</v>
      </c>
      <c r="S8" s="68" t="n">
        <f aca="false">IF(E8="E2.2",1,0)</f>
        <v>0</v>
      </c>
      <c r="T8" s="68" t="n">
        <f aca="false">IF(E8="E2.3",1,0)</f>
        <v>0</v>
      </c>
      <c r="U8" s="68" t="n">
        <f aca="false">IF(E8="E2.4",1,0)</f>
        <v>0</v>
      </c>
      <c r="V8" s="76"/>
      <c r="W8" s="7"/>
      <c r="X8" s="54" t="str">
        <f aca="false">HLOOKUP($AK$4,'Daten-Zusammensetzung Bauteil'!$B$4:$BC$14,Database!$B8,FALSE())</f>
        <v>Polymerbitumenbahn EP5 [kg]</v>
      </c>
      <c r="Y8" s="55" t="str">
        <f aca="false">HLOOKUP($AK$4,'Daten-Funktion'!$B$4:$BC$14,Database!$B8,FALSE())</f>
        <v>F1.1</v>
      </c>
      <c r="Z8" s="54" t="n">
        <f aca="false">HLOOKUP($AK$4,'Daten-THGE'!$B$4:$BC$14,Database!$B8,FALSE())</f>
        <v>0.051</v>
      </c>
      <c r="AA8" s="54" t="n">
        <f aca="false">HLOOKUP($AK$4,'Daten-Dichte'!$B$4:$BC$14,Database!$B8,FALSE())</f>
        <v>1180</v>
      </c>
      <c r="AB8" s="54" t="n">
        <f aca="false">HLOOKUP($AK$4,'Daten-Dicke'!$B$4:$BC$14,Database!$B8,FALSE())</f>
        <v>0.5</v>
      </c>
      <c r="AC8" s="57"/>
      <c r="AD8" s="20" t="n">
        <f aca="false">IF(AC8=0,AA8*AB8/100*Z8,Z8*AA8*AC8/1000)</f>
        <v>0.3009</v>
      </c>
      <c r="AE8" s="7"/>
      <c r="AF8" s="7"/>
      <c r="AG8" s="68" t="n">
        <f aca="false">IF(Y8="C4",1,0)</f>
        <v>0</v>
      </c>
      <c r="AH8" s="68" t="n">
        <f aca="false">IF(Y8="F1.1",1,0)</f>
        <v>1</v>
      </c>
      <c r="AI8" s="68" t="n">
        <f aca="false">IF(Y8="F1.2",1,0)</f>
        <v>0</v>
      </c>
      <c r="AK8" s="76"/>
    </row>
    <row r="9" customFormat="false" ht="15.75" hidden="false" customHeight="false" outlineLevel="0" collapsed="false">
      <c r="B9" s="7"/>
      <c r="C9" s="7"/>
      <c r="D9" s="54" t="n">
        <f aca="false">HLOOKUP($V$4,'Daten-Zusammensetzung Bauteil'!$B$4:$BC$11,Database!$B9,FALSE())</f>
        <v>0</v>
      </c>
      <c r="E9" s="55" t="n">
        <f aca="false">HLOOKUP($V$4,'Daten-Funktion'!$B$4:$BC$11,Database!$B9,FALSE())</f>
        <v>0</v>
      </c>
      <c r="F9" s="54" t="n">
        <f aca="false">HLOOKUP($V$4,'Daten-THGE'!$B$4:$BC$11,Database!$B9,FALSE())</f>
        <v>0</v>
      </c>
      <c r="G9" s="54" t="n">
        <f aca="false">HLOOKUP($V$4,'Daten-Dichte'!$B$4:$BC$11,Database!$B9,FALSE())</f>
        <v>0</v>
      </c>
      <c r="H9" s="54" t="n">
        <f aca="false">HLOOKUP($V$4,'Daten-Dicke'!$B$4:$BC$11,Database!$B9,FALSE())</f>
        <v>0</v>
      </c>
      <c r="I9" s="57"/>
      <c r="J9" s="20" t="n">
        <f aca="false">IF(I9=0,G9*H9/100*F9,F9*G9*I9/1000)</f>
        <v>0</v>
      </c>
      <c r="K9" s="7"/>
      <c r="L9" s="7"/>
      <c r="M9" s="68" t="n">
        <f aca="false">IF(E9="C4",1,0)</f>
        <v>0</v>
      </c>
      <c r="N9" s="68" t="n">
        <f aca="false">IF(E9="G4.1",1,0)</f>
        <v>0</v>
      </c>
      <c r="O9" s="68" t="n">
        <f aca="false">IF(E9="G4.2",1,0)</f>
        <v>0</v>
      </c>
      <c r="P9" s="68" t="n">
        <f aca="false">IF(E9="F1.2",1,0)</f>
        <v>0</v>
      </c>
      <c r="Q9" s="68" t="n">
        <f aca="false">IF(E9="F1.3",1,0)</f>
        <v>0</v>
      </c>
      <c r="R9" s="68" t="n">
        <f aca="false">IF(E9="E2.1",1,0)</f>
        <v>0</v>
      </c>
      <c r="S9" s="68" t="n">
        <f aca="false">IF(E9="E2.2",1,0)</f>
        <v>0</v>
      </c>
      <c r="T9" s="68" t="n">
        <f aca="false">IF(E9="E2.3",1,0)</f>
        <v>0</v>
      </c>
      <c r="U9" s="68" t="n">
        <f aca="false">IF(E9="E2.4",1,0)</f>
        <v>0</v>
      </c>
      <c r="W9" s="7"/>
      <c r="X9" s="54" t="str">
        <f aca="false">HLOOKUP($AK$4,'Daten-Zusammensetzung Bauteil'!$B$4:$BC$14,Database!$B9,FALSE())</f>
        <v>Trenn-/Schutzvlies [kg]</v>
      </c>
      <c r="Y9" s="55" t="str">
        <f aca="false">HLOOKUP($AK$4,'Daten-Funktion'!$B$4:$BC$14,Database!$B9,FALSE())</f>
        <v>F1.1</v>
      </c>
      <c r="Z9" s="54" t="n">
        <f aca="false">HLOOKUP($AK$4,'Daten-THGE'!$B$4:$BC$14,Database!$B9,FALSE())</f>
        <v>0.0921666666666667</v>
      </c>
      <c r="AA9" s="54" t="n">
        <f aca="false">HLOOKUP($AK$4,'Daten-Dichte'!$B$4:$BC$14,Database!$B9,FALSE())</f>
        <v>920</v>
      </c>
      <c r="AB9" s="54" t="n">
        <f aca="false">HLOOKUP($AK$4,'Daten-Dicke'!$B$4:$BC$14,Database!$B9,FALSE())</f>
        <v>0.0434782608695652</v>
      </c>
      <c r="AC9" s="57"/>
      <c r="AD9" s="20" t="n">
        <f aca="false">IF(AC9=0,AA9*AB9/100*Z9,Z9*AA9*AC9/1000)</f>
        <v>0.0368666666666667</v>
      </c>
      <c r="AE9" s="7"/>
      <c r="AF9" s="7"/>
      <c r="AG9" s="68" t="n">
        <f aca="false">IF(Y9="C4",1,0)</f>
        <v>0</v>
      </c>
      <c r="AH9" s="68" t="n">
        <f aca="false">IF(Y9="F1.1",1,0)</f>
        <v>1</v>
      </c>
      <c r="AI9" s="68" t="n">
        <f aca="false">IF(Y9="F1.2",1,0)</f>
        <v>0</v>
      </c>
    </row>
    <row r="10" customFormat="false" ht="15.75" hidden="false" customHeight="false" outlineLevel="0" collapsed="false">
      <c r="B10" s="7"/>
      <c r="C10" s="7"/>
      <c r="D10" s="54" t="n">
        <f aca="false">HLOOKUP($V$4,'Daten-Zusammensetzung Bauteil'!$B$4:$BC$11,Database!$B10,FALSE())</f>
        <v>0</v>
      </c>
      <c r="E10" s="55" t="n">
        <f aca="false">HLOOKUP($V$4,'Daten-Funktion'!$B$4:$BC$11,Database!$B10,FALSE())</f>
        <v>0</v>
      </c>
      <c r="F10" s="54" t="n">
        <f aca="false">HLOOKUP($V$4,'Daten-THGE'!$B$4:$BC$11,Database!$B10,FALSE())</f>
        <v>0</v>
      </c>
      <c r="G10" s="54" t="n">
        <f aca="false">HLOOKUP($V$4,'Daten-Dichte'!$B$4:$BC$11,Database!$B10,FALSE())</f>
        <v>0</v>
      </c>
      <c r="H10" s="54" t="n">
        <f aca="false">HLOOKUP($V$4,'Daten-Dicke'!$B$4:$BC$11,Database!$B10,FALSE())</f>
        <v>0</v>
      </c>
      <c r="I10" s="57"/>
      <c r="J10" s="20" t="n">
        <f aca="false">IF(I10=0,G10*H10/100*F10,F10*G10*I10/1000)</f>
        <v>0</v>
      </c>
      <c r="K10" s="7"/>
      <c r="L10" s="7"/>
      <c r="M10" s="68" t="n">
        <f aca="false">IF(E10="C4",1,0)</f>
        <v>0</v>
      </c>
      <c r="N10" s="68" t="n">
        <f aca="false">IF(E10="G4.1",1,0)</f>
        <v>0</v>
      </c>
      <c r="O10" s="68" t="n">
        <f aca="false">IF(E10="G4.2",1,0)</f>
        <v>0</v>
      </c>
      <c r="P10" s="68" t="n">
        <f aca="false">IF(E10="F1.2",1,0)</f>
        <v>0</v>
      </c>
      <c r="Q10" s="68" t="n">
        <f aca="false">IF(E10="F1.3",1,0)</f>
        <v>0</v>
      </c>
      <c r="R10" s="68" t="n">
        <f aca="false">IF(E10="E2.1",1,0)</f>
        <v>0</v>
      </c>
      <c r="S10" s="68" t="n">
        <f aca="false">IF(E10="E2.2",1,0)</f>
        <v>0</v>
      </c>
      <c r="T10" s="68" t="n">
        <f aca="false">IF(E10="E2.3",1,0)</f>
        <v>0</v>
      </c>
      <c r="U10" s="68" t="n">
        <f aca="false">IF(E10="E2.4",1,0)</f>
        <v>0</v>
      </c>
      <c r="W10" s="7"/>
      <c r="X10" s="54" t="str">
        <f aca="false">HLOOKUP($AK$4,'Daten-Zusammensetzung Bauteil'!$B$4:$BC$14,Database!$B10,FALSE())</f>
        <v>Kies 3 cm [kg]</v>
      </c>
      <c r="Y10" s="55" t="str">
        <f aca="false">HLOOKUP($AK$4,'Daten-Funktion'!$B$4:$BC$14,Database!$B10,FALSE())</f>
        <v>F1.2</v>
      </c>
      <c r="Z10" s="54" t="n">
        <f aca="false">HLOOKUP($AK$4,'Daten-THGE'!$B$4:$BC$14,Database!$B10,FALSE())</f>
        <v>0.000195</v>
      </c>
      <c r="AA10" s="54" t="n">
        <f aca="false">HLOOKUP($AK$4,'Daten-Dichte'!$B$4:$BC$14,Database!$B10,FALSE())</f>
        <v>2000</v>
      </c>
      <c r="AB10" s="54" t="n">
        <f aca="false">HLOOKUP($AK$4,'Daten-Dicke'!$B$4:$BC$14,Database!$B10,FALSE())</f>
        <v>3</v>
      </c>
      <c r="AC10" s="57"/>
      <c r="AD10" s="20" t="n">
        <f aca="false">IF(AC10=0,AA10*AB10/100*Z10,Z10*AA10*AC10/1000)</f>
        <v>0.0117</v>
      </c>
      <c r="AE10" s="7"/>
      <c r="AF10" s="7"/>
      <c r="AG10" s="68" t="n">
        <f aca="false">IF(Y10="C4",1,0)</f>
        <v>0</v>
      </c>
      <c r="AH10" s="68" t="n">
        <f aca="false">IF(Y10="F1.1",1,0)</f>
        <v>0</v>
      </c>
      <c r="AI10" s="68" t="n">
        <f aca="false">IF(Y10="F1.2",1,0)</f>
        <v>1</v>
      </c>
    </row>
    <row r="11" customFormat="false" ht="15.75" hidden="false" customHeight="false" outlineLevel="0" collapsed="false">
      <c r="B11" s="7"/>
      <c r="D11" s="54"/>
      <c r="E11" s="55"/>
      <c r="F11" s="54"/>
      <c r="G11" s="54"/>
      <c r="H11" s="54"/>
      <c r="I11" s="54"/>
      <c r="J11" s="20"/>
      <c r="K11" s="7"/>
      <c r="L11" s="74"/>
      <c r="M11" s="79"/>
      <c r="N11" s="79"/>
      <c r="O11" s="79"/>
      <c r="P11" s="79"/>
      <c r="Q11" s="79"/>
      <c r="R11" s="79"/>
      <c r="S11" s="79"/>
      <c r="T11" s="79"/>
      <c r="U11" s="79"/>
      <c r="W11" s="7"/>
      <c r="X11" s="54" t="n">
        <f aca="false">HLOOKUP($AK$4,'Daten-Zusammensetzung Bauteil'!$B$4:$BC$14,Database!$B11,FALSE())</f>
        <v>0</v>
      </c>
      <c r="Y11" s="55" t="n">
        <f aca="false">HLOOKUP($AK$4,'Daten-Funktion'!$B$4:$BC$14,Database!$B11,FALSE())</f>
        <v>0</v>
      </c>
      <c r="Z11" s="54" t="n">
        <f aca="false">HLOOKUP($AK$4,'Daten-THGE'!$B$4:$BC$14,Database!$B11,FALSE())</f>
        <v>0</v>
      </c>
      <c r="AA11" s="54" t="n">
        <f aca="false">HLOOKUP($AK$4,'Daten-Dichte'!$B$4:$BC$14,Database!$B11,FALSE())</f>
        <v>0</v>
      </c>
      <c r="AB11" s="54" t="n">
        <f aca="false">HLOOKUP($AK$4,'Daten-Dicke'!$B$4:$BC$14,Database!$B11,FALSE())</f>
        <v>0</v>
      </c>
      <c r="AC11" s="57"/>
      <c r="AD11" s="20" t="n">
        <f aca="false">IF(AC11=0,AA11*AB11/100*Z11,Z11*AA11*AC11/1000)</f>
        <v>0</v>
      </c>
      <c r="AE11" s="7"/>
      <c r="AF11" s="7"/>
      <c r="AG11" s="68" t="n">
        <f aca="false">IF(Y11="C4",1,0)</f>
        <v>0</v>
      </c>
      <c r="AH11" s="68" t="n">
        <f aca="false">IF(Y11="F1.1",1,0)</f>
        <v>0</v>
      </c>
      <c r="AI11" s="68" t="n">
        <f aca="false">IF(Y11="F1.2",1,0)</f>
        <v>0</v>
      </c>
    </row>
    <row r="12" customFormat="false" ht="15.75" hidden="false" customHeight="false" outlineLevel="0" collapsed="false">
      <c r="B12" s="7"/>
      <c r="C12" s="37" t="s">
        <v>300</v>
      </c>
      <c r="D12" s="54" t="str">
        <f aca="false">HLOOKUP($V$5,'Daten-Zusammensetzung Bauteil'!$B$4:$BC$11,Database!$B4,FALSE())</f>
        <v>EPS 25 Standard, 22 cm, 25 kg/m3 [kg]</v>
      </c>
      <c r="E12" s="55" t="str">
        <f aca="false">HLOOKUP($V$5,'Daten-Funktion'!$B$4:$BC$11,Database!$B4,FALSE())</f>
        <v>F1.2</v>
      </c>
      <c r="F12" s="54" t="n">
        <f aca="false">HLOOKUP($V$5,'Daten-THGE'!$B$4:$BC$11,Database!$B4,FALSE())</f>
        <v>0.254666666666667</v>
      </c>
      <c r="G12" s="54" t="n">
        <f aca="false">HLOOKUP($V$5,'Daten-Dichte'!$B$4:$BC$11,Database!$B4,FALSE())</f>
        <v>25</v>
      </c>
      <c r="H12" s="54" t="n">
        <f aca="false">HLOOKUP($V$5,'Daten-Dicke'!$B$4:$BC$11,Database!$B4,FALSE())</f>
        <v>22</v>
      </c>
      <c r="I12" s="57"/>
      <c r="J12" s="20" t="n">
        <f aca="false">IF(I12=0,G12*H12/100*F12,F12*G12*I12/1000)</f>
        <v>1.40066666666667</v>
      </c>
      <c r="K12" s="7"/>
      <c r="L12" s="7"/>
      <c r="M12" s="68" t="n">
        <v>0</v>
      </c>
      <c r="N12" s="80" t="n">
        <f aca="false">IF(E12="G4.1",1,0)</f>
        <v>0</v>
      </c>
      <c r="O12" s="80" t="n">
        <f aca="false">IF(E12="G4.2",1,0)</f>
        <v>0</v>
      </c>
      <c r="P12" s="68" t="n">
        <f aca="false">IF(E12="F1.2",1,0)</f>
        <v>1</v>
      </c>
      <c r="Q12" s="68" t="n">
        <f aca="false">IF(E12="F1.3",1,0)</f>
        <v>0</v>
      </c>
      <c r="R12" s="68" t="n">
        <f aca="false">IF(E12="E2.1",1,0)</f>
        <v>0</v>
      </c>
      <c r="S12" s="68" t="n">
        <f aca="false">IF(E12="E2.2",1,0)</f>
        <v>0</v>
      </c>
      <c r="T12" s="68" t="n">
        <f aca="false">IF(E12="E2.3",1,0)</f>
        <v>0</v>
      </c>
      <c r="U12" s="68" t="n">
        <f aca="false">IF(E12="E2.4",1,0)</f>
        <v>0</v>
      </c>
      <c r="W12" s="7"/>
      <c r="X12" s="54" t="n">
        <f aca="false">HLOOKUP($AK$4,'Daten-Zusammensetzung Bauteil'!$B$4:$BC$14,Database!$B12,FALSE())</f>
        <v>0</v>
      </c>
      <c r="Y12" s="55" t="n">
        <f aca="false">HLOOKUP($AK$4,'Daten-Funktion'!$B$4:$BC$14,Database!$B12,FALSE())</f>
        <v>0</v>
      </c>
      <c r="Z12" s="54" t="n">
        <f aca="false">HLOOKUP($AK$4,'Daten-THGE'!$B$4:$BC$14,Database!$B12,FALSE())</f>
        <v>0</v>
      </c>
      <c r="AA12" s="54" t="n">
        <f aca="false">HLOOKUP($AK$4,'Daten-Dichte'!$B$4:$BC$14,Database!$B12,FALSE())</f>
        <v>0</v>
      </c>
      <c r="AB12" s="54" t="n">
        <f aca="false">HLOOKUP($AK$4,'Daten-Dicke'!$B$4:$BC$14,Database!$B12,FALSE())</f>
        <v>0</v>
      </c>
      <c r="AC12" s="57"/>
      <c r="AD12" s="20" t="n">
        <f aca="false">IF(AC12=0,AA12*AB12/100*Z12,Z12*AA12*AC12/1000)</f>
        <v>0</v>
      </c>
      <c r="AE12" s="7"/>
      <c r="AF12" s="7"/>
      <c r="AG12" s="68" t="n">
        <f aca="false">IF(Y12="C4",1,0)</f>
        <v>0</v>
      </c>
      <c r="AH12" s="68" t="n">
        <f aca="false">IF(Y12="F1.1",1,0)</f>
        <v>0</v>
      </c>
      <c r="AI12" s="68" t="n">
        <f aca="false">IF(Y12="F1.2",1,0)</f>
        <v>0</v>
      </c>
    </row>
    <row r="13" customFormat="false" ht="15.75" hidden="false" customHeight="false" outlineLevel="0" collapsed="false">
      <c r="B13" s="7"/>
      <c r="D13" s="54" t="str">
        <f aca="false">HLOOKUP($V$5,'Daten-Zusammensetzung Bauteil'!$B$4:$BC$11,Database!$B5,FALSE())</f>
        <v>2 x EGV3 Polymerbitumenbahn [kg]</v>
      </c>
      <c r="E13" s="55" t="str">
        <f aca="false">HLOOKUP($V$5,'Daten-Funktion'!$B$4:$BC$11,Database!$B5,FALSE())</f>
        <v>F1.2</v>
      </c>
      <c r="F13" s="54" t="n">
        <f aca="false">HLOOKUP($V$5,'Daten-THGE'!$B$4:$BC$11,Database!$B5,FALSE())</f>
        <v>0.118</v>
      </c>
      <c r="G13" s="54" t="n">
        <f aca="false">HLOOKUP($V$5,'Daten-Dichte'!$B$4:$BC$11,Database!$B5,FALSE())</f>
        <v>1100</v>
      </c>
      <c r="H13" s="54" t="n">
        <f aca="false">HLOOKUP($V$5,'Daten-Dicke'!$B$4:$BC$11,Database!$B5,FALSE())</f>
        <v>0.654545454545455</v>
      </c>
      <c r="I13" s="57"/>
      <c r="J13" s="20" t="n">
        <f aca="false">IF(I13=0,G13*H13/100*F13,F13*G13*I13/1000)</f>
        <v>0.8496</v>
      </c>
      <c r="K13" s="7"/>
      <c r="L13" s="7"/>
      <c r="M13" s="68" t="n">
        <v>0</v>
      </c>
      <c r="N13" s="80" t="n">
        <f aca="false">IF(E13="G4.1",1,0)</f>
        <v>0</v>
      </c>
      <c r="O13" s="80" t="n">
        <f aca="false">IF(E13="G4.2",1,0)</f>
        <v>0</v>
      </c>
      <c r="P13" s="68" t="n">
        <f aca="false">IF(E13="F1.2",1,0)</f>
        <v>1</v>
      </c>
      <c r="Q13" s="68" t="n">
        <f aca="false">IF(E13="F1.3",1,0)</f>
        <v>0</v>
      </c>
      <c r="R13" s="68" t="n">
        <f aca="false">IF(E13="E2.1",1,0)</f>
        <v>0</v>
      </c>
      <c r="S13" s="68" t="n">
        <f aca="false">IF(E13="E2.2",1,0)</f>
        <v>0</v>
      </c>
      <c r="T13" s="68" t="n">
        <f aca="false">IF(E13="E2.3",1,0)</f>
        <v>0</v>
      </c>
      <c r="U13" s="68" t="n">
        <f aca="false">IF(E13="E2.4",1,0)</f>
        <v>0</v>
      </c>
      <c r="W13" s="7"/>
      <c r="X13" s="54" t="n">
        <f aca="false">HLOOKUP($AK$4,'Daten-Zusammensetzung Bauteil'!$B$4:$BC$14,Database!$B13,FALSE())</f>
        <v>0</v>
      </c>
      <c r="Y13" s="55" t="n">
        <f aca="false">HLOOKUP($AK$4,'Daten-Funktion'!$B$4:$BC$14,Database!$B13,FALSE())</f>
        <v>0</v>
      </c>
      <c r="Z13" s="54" t="n">
        <f aca="false">HLOOKUP($AK$4,'Daten-THGE'!$B$4:$BC$14,Database!$B13,FALSE())</f>
        <v>0</v>
      </c>
      <c r="AA13" s="54" t="n">
        <f aca="false">HLOOKUP($AK$4,'Daten-Dichte'!$B$4:$BC$14,Database!$B13,FALSE())</f>
        <v>0</v>
      </c>
      <c r="AB13" s="54" t="n">
        <f aca="false">HLOOKUP($AK$4,'Daten-Dicke'!$B$4:$BC$14,Database!$B13,FALSE())</f>
        <v>0</v>
      </c>
      <c r="AC13" s="57"/>
      <c r="AD13" s="20" t="n">
        <f aca="false">IF(AC13=0,AA13*AB13/100*Z13,Z13*AA13*AC13/1000)</f>
        <v>0</v>
      </c>
      <c r="AE13" s="7"/>
      <c r="AF13" s="7"/>
      <c r="AG13" s="68" t="n">
        <f aca="false">IF(Y13="C4",1,0)</f>
        <v>0</v>
      </c>
      <c r="AH13" s="68" t="n">
        <f aca="false">IF(Y13="F1.1",1,0)</f>
        <v>0</v>
      </c>
      <c r="AI13" s="68" t="n">
        <f aca="false">IF(Y13="F1.2",1,0)</f>
        <v>0</v>
      </c>
    </row>
    <row r="14" customFormat="false" ht="15.75" hidden="false" customHeight="false" outlineLevel="0" collapsed="false">
      <c r="B14" s="7"/>
      <c r="C14" s="7"/>
      <c r="D14" s="54" t="str">
        <f aca="false">HLOOKUP($V$5,'Daten-Zusammensetzung Bauteil'!$B$4:$BC$11,Database!$B6,FALSE())</f>
        <v>Bitumenemulsion [m2]</v>
      </c>
      <c r="E14" s="55" t="str">
        <f aca="false">HLOOKUP($V$5,'Daten-Funktion'!$B$4:$BC$11,Database!$B6,FALSE())</f>
        <v>F1.2</v>
      </c>
      <c r="F14" s="54" t="n">
        <f aca="false">HLOOKUP($V$5,'Daten-THGE'!$B$4:$BC$11,Database!$B6,FALSE())</f>
        <v>0.0941333333333333</v>
      </c>
      <c r="G14" s="54" t="n">
        <f aca="false">HLOOKUP($V$5,'Daten-Dichte'!$B$4:$BC$11,Database!$B6,FALSE())</f>
        <v>125</v>
      </c>
      <c r="H14" s="54" t="n">
        <f aca="false">HLOOKUP($V$5,'Daten-Dicke'!$B$4:$BC$11,Database!$B6,FALSE())</f>
        <v>0.2</v>
      </c>
      <c r="I14" s="57"/>
      <c r="J14" s="20" t="n">
        <f aca="false">IF(I14=0,G14*H14/100*F14,F14*G14*I14/1000)</f>
        <v>0.0235333333333333</v>
      </c>
      <c r="K14" s="7"/>
      <c r="L14" s="7"/>
      <c r="M14" s="68" t="n">
        <v>0</v>
      </c>
      <c r="N14" s="80" t="n">
        <f aca="false">IF(E14="G4.1",1,0)</f>
        <v>0</v>
      </c>
      <c r="O14" s="80" t="n">
        <f aca="false">IF(E14="G4.2",1,0)</f>
        <v>0</v>
      </c>
      <c r="P14" s="68" t="n">
        <f aca="false">IF(E14="F1.2",1,0)</f>
        <v>1</v>
      </c>
      <c r="Q14" s="68" t="n">
        <f aca="false">IF(E14="F1.3",1,0)</f>
        <v>0</v>
      </c>
      <c r="R14" s="68" t="n">
        <f aca="false">IF(E14="E2.1",1,0)</f>
        <v>0</v>
      </c>
      <c r="S14" s="68" t="n">
        <f aca="false">IF(E14="E2.2",1,0)</f>
        <v>0</v>
      </c>
      <c r="T14" s="68" t="n">
        <f aca="false">IF(E14="E2.3",1,0)</f>
        <v>0</v>
      </c>
      <c r="U14" s="68" t="n">
        <f aca="false">IF(E14="E2.4",1,0)</f>
        <v>0</v>
      </c>
      <c r="W14" s="7"/>
      <c r="X14" s="54"/>
      <c r="Y14" s="55"/>
      <c r="Z14" s="54"/>
      <c r="AA14" s="54"/>
      <c r="AB14" s="54"/>
      <c r="AC14" s="54"/>
      <c r="AD14" s="20"/>
      <c r="AE14" s="7"/>
      <c r="AF14" s="7"/>
      <c r="AG14" s="68" t="n">
        <f aca="false">IF(AK5=0,0,SUMPRODUCT(AD4:AD13*AG4:AG13)/SUM(AD4:AD13))</f>
        <v>0</v>
      </c>
      <c r="AH14" s="68" t="n">
        <f aca="false">IF(AK5=0,0,SUMPRODUCT(AD4:AD13*AH4:AH13)/SUM(AD4:AD13))</f>
        <v>0</v>
      </c>
      <c r="AI14" s="68" t="n">
        <f aca="false">IF(AK5=0,0,SUMPRODUCT(AD4:AD13*AI4:AI13)/SUM(AD4:AD13))</f>
        <v>0</v>
      </c>
      <c r="AJ14" s="68" t="n">
        <f aca="false">SUM(AG14:AI14)</f>
        <v>0</v>
      </c>
    </row>
    <row r="15" customFormat="false" ht="15.75" hidden="false" customHeight="false" outlineLevel="0" collapsed="false">
      <c r="C15" s="7"/>
      <c r="D15" s="54" t="str">
        <f aca="false">HLOOKUP($V$5,'Daten-Zusammensetzung Bauteil'!$B$4:$BC$11,Database!$B7,FALSE())</f>
        <v>1x EP4 Polymerbitumenbahn [kg]</v>
      </c>
      <c r="E15" s="55" t="str">
        <f aca="false">HLOOKUP($V$5,'Daten-Funktion'!$B$4:$BC$11,Database!$B7,FALSE())</f>
        <v>F1.2</v>
      </c>
      <c r="F15" s="54" t="n">
        <f aca="false">HLOOKUP($V$5,'Daten-THGE'!$B$4:$BC$11,Database!$B7,FALSE())</f>
        <v>0.108333333333333</v>
      </c>
      <c r="G15" s="54" t="n">
        <f aca="false">HLOOKUP($V$5,'Daten-Dichte'!$B$4:$BC$11,Database!$B7,FALSE())</f>
        <v>1100</v>
      </c>
      <c r="H15" s="54" t="n">
        <f aca="false">HLOOKUP($V$5,'Daten-Dicke'!$B$4:$BC$11,Database!$B7,FALSE())</f>
        <v>0.472727272727273</v>
      </c>
      <c r="I15" s="57"/>
      <c r="J15" s="20" t="n">
        <f aca="false">IF(I15=0,G15*H15/100*F15,F15*G15*I15/1000)</f>
        <v>0.563333333333333</v>
      </c>
      <c r="M15" s="68" t="n">
        <v>0</v>
      </c>
      <c r="N15" s="80" t="n">
        <f aca="false">IF(E15="G4.1",1,0)</f>
        <v>0</v>
      </c>
      <c r="O15" s="80" t="n">
        <f aca="false">IF(E15="G4.2",1,0)</f>
        <v>0</v>
      </c>
      <c r="P15" s="68" t="n">
        <f aca="false">IF(E15="F1.2",1,0)</f>
        <v>1</v>
      </c>
      <c r="Q15" s="68" t="n">
        <f aca="false">IF(E15="F1.3",1,0)</f>
        <v>0</v>
      </c>
      <c r="R15" s="68" t="n">
        <f aca="false">IF(E15="E2.1",1,0)</f>
        <v>0</v>
      </c>
      <c r="S15" s="68" t="n">
        <f aca="false">IF(E15="E2.2",1,0)</f>
        <v>0</v>
      </c>
      <c r="T15" s="68" t="n">
        <f aca="false">IF(E15="E2.3",1,0)</f>
        <v>0</v>
      </c>
      <c r="U15" s="68" t="n">
        <f aca="false">IF(E15="E2.4",1,0)</f>
        <v>0</v>
      </c>
      <c r="W15" s="59" t="s">
        <v>265</v>
      </c>
      <c r="AG15" s="51"/>
      <c r="AH15" s="51"/>
      <c r="AI15" s="51"/>
    </row>
    <row r="16" customFormat="false" ht="20.25" hidden="false" customHeight="false" outlineLevel="0" collapsed="false">
      <c r="D16" s="54" t="str">
        <f aca="false">HLOOKUP($V$5,'Daten-Zusammensetzung Bauteil'!$B$4:$BC$11,Database!$B8,FALSE())</f>
        <v>PP-Vlies Trenn-/Schutzvlies [kg]</v>
      </c>
      <c r="E16" s="55" t="str">
        <f aca="false">HLOOKUP($V$5,'Daten-Funktion'!$B$4:$BC$11,Database!$B8,FALSE())</f>
        <v>F1.2</v>
      </c>
      <c r="F16" s="54" t="n">
        <f aca="false">HLOOKUP($V$5,'Daten-THGE'!$B$4:$BC$11,Database!$B8,FALSE())</f>
        <v>0.184333333333333</v>
      </c>
      <c r="G16" s="54" t="n">
        <f aca="false">HLOOKUP($V$5,'Daten-Dichte'!$B$4:$BC$11,Database!$B8,FALSE())</f>
        <v>920</v>
      </c>
      <c r="H16" s="54" t="n">
        <f aca="false">HLOOKUP($V$5,'Daten-Dicke'!$B$4:$BC$11,Database!$B8,FALSE())</f>
        <v>0.0152173913043478</v>
      </c>
      <c r="I16" s="57"/>
      <c r="J16" s="20" t="n">
        <f aca="false">IF(I16=0,G16*H16/100*F16,F16*G16*I16/1000)</f>
        <v>0.0258066666666667</v>
      </c>
      <c r="M16" s="68" t="n">
        <v>0</v>
      </c>
      <c r="N16" s="80" t="n">
        <f aca="false">IF(E16="G4.1",1,0)</f>
        <v>0</v>
      </c>
      <c r="O16" s="80" t="n">
        <f aca="false">IF(E16="G4.2",1,0)</f>
        <v>0</v>
      </c>
      <c r="P16" s="68" t="n">
        <f aca="false">IF(E16="F1.2",1,0)</f>
        <v>1</v>
      </c>
      <c r="Q16" s="68" t="n">
        <f aca="false">IF(E16="F1.3",1,0)</f>
        <v>0</v>
      </c>
      <c r="R16" s="68" t="n">
        <f aca="false">IF(E16="E2.1",1,0)</f>
        <v>0</v>
      </c>
      <c r="S16" s="68" t="n">
        <f aca="false">IF(E16="E2.2",1,0)</f>
        <v>0</v>
      </c>
      <c r="T16" s="68" t="n">
        <f aca="false">IF(E16="E2.3",1,0)</f>
        <v>0</v>
      </c>
      <c r="U16" s="68" t="n">
        <f aca="false">IF(E16="E2.4",1,0)</f>
        <v>0</v>
      </c>
      <c r="W16" s="6" t="s">
        <v>256</v>
      </c>
      <c r="X16" s="37" t="s">
        <v>257</v>
      </c>
      <c r="Y16" s="52"/>
      <c r="Z16" s="37" t="s">
        <v>259</v>
      </c>
      <c r="AA16" s="37" t="s">
        <v>260</v>
      </c>
      <c r="AB16" s="37" t="s">
        <v>261</v>
      </c>
      <c r="AC16" s="53" t="s">
        <v>262</v>
      </c>
      <c r="AD16" s="37" t="s">
        <v>263</v>
      </c>
      <c r="AE16" s="8" t="s">
        <v>102</v>
      </c>
      <c r="AF16" s="7"/>
      <c r="AG16" s="51"/>
      <c r="AH16" s="51"/>
      <c r="AI16" s="51"/>
    </row>
    <row r="17" customFormat="false" ht="15.75" hidden="false" customHeight="false" outlineLevel="0" collapsed="false">
      <c r="C17" s="37"/>
      <c r="D17" s="54" t="str">
        <f aca="false">HLOOKUP($V$5,'Daten-Zusammensetzung Bauteil'!$B$4:$BC$11,Database!$B9,FALSE())</f>
        <v>Kies 3 cm [kg]</v>
      </c>
      <c r="E17" s="55" t="str">
        <f aca="false">HLOOKUP($V$5,'Daten-Funktion'!$B$4:$BC$11,Database!$B9,FALSE())</f>
        <v>F1.2</v>
      </c>
      <c r="F17" s="54" t="n">
        <f aca="false">HLOOKUP($V$5,'Daten-THGE'!$B$4:$BC$11,Database!$B9,FALSE())</f>
        <v>0.00039</v>
      </c>
      <c r="G17" s="54" t="n">
        <f aca="false">HLOOKUP($V$5,'Daten-Dichte'!$B$4:$BC$11,Database!$B9,FALSE())</f>
        <v>2000</v>
      </c>
      <c r="H17" s="54" t="n">
        <f aca="false">HLOOKUP($V$5,'Daten-Dicke'!$B$4:$BC$11,Database!$B9,FALSE())</f>
        <v>2.25</v>
      </c>
      <c r="I17" s="57"/>
      <c r="J17" s="20" t="n">
        <f aca="false">IF(I17=0,G17*H17/100*F17,F17*G17*I17/1000)</f>
        <v>0.01755</v>
      </c>
      <c r="M17" s="68" t="n">
        <v>0</v>
      </c>
      <c r="N17" s="80" t="n">
        <f aca="false">IF(E17="G4.1",1,0)</f>
        <v>0</v>
      </c>
      <c r="O17" s="80" t="n">
        <f aca="false">IF(E17="G4.2",1,0)</f>
        <v>0</v>
      </c>
      <c r="P17" s="68" t="n">
        <f aca="false">IF(E17="F1.2",1,0)</f>
        <v>1</v>
      </c>
      <c r="Q17" s="68" t="n">
        <f aca="false">IF(E17="F1.3",1,0)</f>
        <v>0</v>
      </c>
      <c r="R17" s="68" t="n">
        <f aca="false">IF(E17="E2.1",1,0)</f>
        <v>0</v>
      </c>
      <c r="S17" s="68" t="n">
        <f aca="false">IF(E17="E2.2",1,0)</f>
        <v>0</v>
      </c>
      <c r="T17" s="68" t="n">
        <f aca="false">IF(E17="E2.3",1,0)</f>
        <v>0</v>
      </c>
      <c r="U17" s="68" t="n">
        <f aca="false">IF(E17="E2.4",1,0)</f>
        <v>0</v>
      </c>
      <c r="W17" s="37" t="s">
        <v>73</v>
      </c>
      <c r="X17" s="54" t="str">
        <f aca="false">HLOOKUP($AK$17,'Daten-Zusammensetzung Bauteil'!$B$4:$BC$14,Database!$B4,FALSE())</f>
        <v>Hochbaubeton 30 cm [kg]</v>
      </c>
      <c r="Y17" s="55" t="str">
        <f aca="false">MID(HLOOKUP($AK$17,'Daten-Funktion'!$B$4:$BC$14,Database!$B4,FALSE()),1,2)</f>
        <v>C4</v>
      </c>
      <c r="Z17" s="54" t="n">
        <f aca="false">HLOOKUP($AK$17,'Daten-THGE'!$B$4:$BC$14,Database!$B4,FALSE())</f>
        <v>0.00165333333333333</v>
      </c>
      <c r="AA17" s="54" t="n">
        <f aca="false">HLOOKUP($AK$17,'Daten-Dichte'!$B$4:$BC$14,Database!$B4,FALSE())</f>
        <v>2300</v>
      </c>
      <c r="AB17" s="54" t="n">
        <f aca="false">HLOOKUP($AK$17,'Daten-Dicke'!$B$4:$BC$14,Database!$B4,FALSE())</f>
        <v>29.5700636942675</v>
      </c>
      <c r="AC17" s="9"/>
      <c r="AD17" s="20" t="n">
        <f aca="false">IF(AC17=0,AA17*AB17/100*Z17,Z17*AA17*AC17/1000)</f>
        <v>1.12445095541401</v>
      </c>
      <c r="AE17" s="29" t="n">
        <f aca="false">IF(W19=Database!D15,0,SUM(AD17:AD26)*W21)</f>
        <v>725.905496390658</v>
      </c>
      <c r="AF17" s="37" t="s">
        <v>31</v>
      </c>
      <c r="AG17" s="51"/>
      <c r="AH17" s="51"/>
      <c r="AI17" s="51"/>
      <c r="AK17" s="76" t="str">
        <f aca="false">VLOOKUP($W$18,Database!$H$4:$J$6,3,FALSE())</f>
        <v>8a</v>
      </c>
    </row>
    <row r="18" customFormat="false" ht="15.75" hidden="false" customHeight="false" outlineLevel="0" collapsed="false">
      <c r="D18" s="54" t="str">
        <f aca="false">HLOOKUP($V$5,'Daten-Zusammensetzung Bauteil'!$B$4:$BC$11,Database!$B10,FALSE())</f>
        <v>Substrat 7 cm [kg]</v>
      </c>
      <c r="E18" s="55" t="str">
        <f aca="false">HLOOKUP($V$5,'Daten-Funktion'!$B$4:$BC$11,Database!$B10,FALSE())</f>
        <v>F1.2</v>
      </c>
      <c r="F18" s="54" t="n">
        <f aca="false">HLOOKUP($V$5,'Daten-THGE'!$B$4:$BC$11,Database!$B10,FALSE())</f>
        <v>0.000466666666666667</v>
      </c>
      <c r="G18" s="54" t="n">
        <f aca="false">HLOOKUP($V$5,'Daten-Dichte'!$B$4:$BC$11,Database!$B10,FALSE())</f>
        <v>2000</v>
      </c>
      <c r="H18" s="54" t="n">
        <f aca="false">HLOOKUP($V$5,'Daten-Dicke'!$B$4:$BC$11,Database!$B10,FALSE())</f>
        <v>3.5</v>
      </c>
      <c r="I18" s="57"/>
      <c r="J18" s="20" t="n">
        <f aca="false">IF(I18=0,G18*H18/100*F18,F18*G18*I18/1000)</f>
        <v>0.0326666666666667</v>
      </c>
      <c r="M18" s="68" t="n">
        <v>0</v>
      </c>
      <c r="N18" s="80" t="n">
        <f aca="false">IF(E18="G4.1",1,0)</f>
        <v>0</v>
      </c>
      <c r="O18" s="80" t="n">
        <f aca="false">IF(E18="G4.2",1,0)</f>
        <v>0</v>
      </c>
      <c r="P18" s="68" t="n">
        <f aca="false">IF(E18="F1.2",1,0)</f>
        <v>1</v>
      </c>
      <c r="Q18" s="68" t="n">
        <f aca="false">IF(E18="F1.3",1,0)</f>
        <v>0</v>
      </c>
      <c r="R18" s="68" t="n">
        <f aca="false">IF(E18="E2.1",1,0)</f>
        <v>0</v>
      </c>
      <c r="S18" s="68" t="n">
        <f aca="false">IF(E18="E2.2",1,0)</f>
        <v>0</v>
      </c>
      <c r="T18" s="68" t="n">
        <f aca="false">IF(E18="E2.3",1,0)</f>
        <v>0</v>
      </c>
      <c r="U18" s="68" t="n">
        <f aca="false">IF(E18="E2.4",1,0)</f>
        <v>0</v>
      </c>
      <c r="W18" s="53" t="s">
        <v>113</v>
      </c>
      <c r="X18" s="54" t="str">
        <f aca="false">HLOOKUP($AK$17,'Daten-Zusammensetzung Bauteil'!$B$4:$BC$14,Database!$B5,FALSE())</f>
        <v>Armierungsstahl [kg]</v>
      </c>
      <c r="Y18" s="55" t="str">
        <f aca="false">MID(HLOOKUP($AK$17,'Daten-Funktion'!$B$4:$BC$14,Database!$B5,FALSE()),1,2)</f>
        <v>C4</v>
      </c>
      <c r="Z18" s="54" t="n">
        <f aca="false">HLOOKUP($AK$17,'Daten-THGE'!$B$4:$BC$14,Database!$B5,FALSE())</f>
        <v>0.0113666666666667</v>
      </c>
      <c r="AA18" s="54" t="n">
        <f aca="false">HLOOKUP($AK$17,'Daten-Dichte'!$B$4:$BC$14,Database!$B5,FALSE())</f>
        <v>7850</v>
      </c>
      <c r="AB18" s="54" t="n">
        <f aca="false">HLOOKUP($AK$17,'Daten-Dicke'!$B$4:$BC$14,Database!$B5,FALSE())</f>
        <v>0.429936305732484</v>
      </c>
      <c r="AC18" s="9"/>
      <c r="AD18" s="20" t="n">
        <f aca="false">IF(AC18=0,AA18*AB18/100*Z18,Z18*AA18*AC18/1000)</f>
        <v>0.383625</v>
      </c>
      <c r="AE18" s="54"/>
      <c r="AF18" s="7"/>
      <c r="AG18" s="51"/>
      <c r="AH18" s="51"/>
      <c r="AI18" s="51"/>
      <c r="AK18" s="76"/>
    </row>
    <row r="19" customFormat="false" ht="15.75" hidden="false" customHeight="false" outlineLevel="0" collapsed="false">
      <c r="D19" s="54"/>
      <c r="E19" s="55"/>
      <c r="F19" s="54"/>
      <c r="G19" s="54"/>
      <c r="H19" s="54"/>
      <c r="J19" s="20"/>
      <c r="M19" s="68" t="n">
        <f aca="false">SUMPRODUCT(J4:J18*M4:M18)/SUM(J4:J18)</f>
        <v>0.41317896130329</v>
      </c>
      <c r="N19" s="68" t="n">
        <f aca="false">SUMPRODUCT(J4:J18*N4:N18)/SUM(J4:J18)</f>
        <v>0</v>
      </c>
      <c r="O19" s="68" t="n">
        <f aca="false">SUMPRODUCT(J4:J18*O4:O18)/SUM(J4:J18)</f>
        <v>0</v>
      </c>
      <c r="P19" s="68" t="n">
        <f aca="false">SUMPRODUCT(J4:J18*P4:P18)/SUM(J4:J18)</f>
        <v>0.58682103869671</v>
      </c>
      <c r="Q19" s="68" t="n">
        <f aca="false">SUMPRODUCT(J4:J18*Q4:Q18)/SUM(J4:J18)</f>
        <v>0</v>
      </c>
      <c r="R19" s="68" t="n">
        <f aca="false">SUMPRODUCT(J4:J18*R4:R18)/SUM(J4:J18)</f>
        <v>0</v>
      </c>
      <c r="S19" s="68" t="n">
        <f aca="false">SUMPRODUCT(J4:J18*S4:S18)/SUM(J4:J18)</f>
        <v>0</v>
      </c>
      <c r="T19" s="68" t="n">
        <f aca="false">SUMPRODUCT(J4:J18*T4:T18)/SUM(J4:J18)</f>
        <v>0</v>
      </c>
      <c r="U19" s="68" t="n">
        <f aca="false">SUMPRODUCT(J4:J18*U4:U18)/SUM(J4:J18)</f>
        <v>0</v>
      </c>
      <c r="V19" s="81" t="n">
        <f aca="false">SUM(M19:U19)</f>
        <v>1</v>
      </c>
      <c r="W19" s="53" t="s">
        <v>116</v>
      </c>
      <c r="X19" s="54" t="str">
        <f aca="false">HLOOKUP($AK$17,'Daten-Zusammensetzung Bauteil'!$B$4:$BC$14,Database!$B6,FALSE())</f>
        <v>3-SP Schalung 2.5 cm (Annahme 5xverwendet) [kg]</v>
      </c>
      <c r="Y19" s="55" t="str">
        <f aca="false">MID(HLOOKUP($AK$17,'Daten-Funktion'!$B$4:$BC$14,Database!$B6,FALSE()),1,2)</f>
        <v>C4</v>
      </c>
      <c r="Z19" s="54" t="n">
        <f aca="false">HLOOKUP($AK$17,'Daten-THGE'!$B$4:$BC$14,Database!$B6,FALSE())</f>
        <v>0.00871666666666667</v>
      </c>
      <c r="AA19" s="54" t="n">
        <f aca="false">HLOOKUP($AK$17,'Daten-Dichte'!$B$4:$BC$14,Database!$B6,FALSE())</f>
        <v>470</v>
      </c>
      <c r="AB19" s="54" t="n">
        <f aca="false">HLOOKUP($AK$17,'Daten-Dicke'!$B$4:$BC$14,Database!$B6,FALSE())</f>
        <v>1</v>
      </c>
      <c r="AC19" s="57"/>
      <c r="AD19" s="20" t="n">
        <f aca="false">IF(AC19=0,AA19*AB19/100*Z19,Z19*AA19*AC19/1000)</f>
        <v>0.0409683333333333</v>
      </c>
      <c r="AE19" s="7"/>
      <c r="AF19" s="7"/>
    </row>
    <row r="20" customFormat="false" ht="15.75" hidden="false" customHeight="false" outlineLevel="0" collapsed="false">
      <c r="B20" s="59" t="s">
        <v>265</v>
      </c>
      <c r="C20" s="59"/>
      <c r="W20" s="53" t="s">
        <v>301</v>
      </c>
      <c r="X20" s="54" t="str">
        <f aca="false">HLOOKUP($AK$17,'Daten-Zusammensetzung Bauteil'!$B$4:$BC$14,Database!$B7,FALSE())</f>
        <v>Bitumenemulsion [m2]</v>
      </c>
      <c r="Y20" s="55" t="str">
        <f aca="false">HLOOKUP($AK$17,'Daten-Funktion'!$B$4:$BC$14,Database!$B7,FALSE())</f>
        <v>F1.1</v>
      </c>
      <c r="Z20" s="54" t="n">
        <f aca="false">HLOOKUP($AK$17,'Daten-THGE'!$B$4:$BC$14,Database!$B7,FALSE())</f>
        <v>0.0470666666666667</v>
      </c>
      <c r="AA20" s="54" t="n">
        <f aca="false">HLOOKUP($AK$17,'Daten-Dichte'!$B$4:$BC$14,Database!$B7,FALSE())</f>
        <v>250</v>
      </c>
      <c r="AB20" s="54" t="n">
        <f aca="false">HLOOKUP($AK$17,'Daten-Dicke'!$B$4:$BC$14,Database!$B7,FALSE())</f>
        <v>0.1</v>
      </c>
      <c r="AC20" s="57"/>
      <c r="AD20" s="20" t="n">
        <f aca="false">IF(AC20=0,AA20*AB20/100*Z20,Z20*AA20*AC20/1000)</f>
        <v>0.0117666666666667</v>
      </c>
      <c r="AE20" s="7"/>
      <c r="AF20" s="7"/>
    </row>
    <row r="21" customFormat="false" ht="20.25" hidden="false" customHeight="false" outlineLevel="0" collapsed="false">
      <c r="B21" s="6" t="s">
        <v>256</v>
      </c>
      <c r="C21" s="6"/>
      <c r="D21" s="37" t="s">
        <v>257</v>
      </c>
      <c r="E21" s="52"/>
      <c r="F21" s="37" t="s">
        <v>259</v>
      </c>
      <c r="G21" s="37" t="s">
        <v>260</v>
      </c>
      <c r="H21" s="37" t="s">
        <v>261</v>
      </c>
      <c r="I21" s="53" t="s">
        <v>262</v>
      </c>
      <c r="J21" s="37" t="s">
        <v>263</v>
      </c>
      <c r="K21" s="8" t="s">
        <v>102</v>
      </c>
      <c r="L21" s="7"/>
      <c r="W21" s="53" t="n">
        <v>380</v>
      </c>
      <c r="X21" s="54" t="str">
        <f aca="false">HLOOKUP($AK$17,'Daten-Zusammensetzung Bauteil'!$B$4:$BC$14,Database!$B8,FALSE())</f>
        <v>Polymerbitumenbahn EP5 [kg]</v>
      </c>
      <c r="Y21" s="55" t="str">
        <f aca="false">HLOOKUP($AK$17,'Daten-Funktion'!$B$4:$BC$14,Database!$B8,FALSE())</f>
        <v>F1.1</v>
      </c>
      <c r="Z21" s="54" t="n">
        <f aca="false">HLOOKUP($AK$17,'Daten-THGE'!$B$4:$BC$14,Database!$B8,FALSE())</f>
        <v>0.051</v>
      </c>
      <c r="AA21" s="54" t="n">
        <f aca="false">HLOOKUP($AK$17,'Daten-Dichte'!$B$4:$BC$14,Database!$B8,FALSE())</f>
        <v>1180</v>
      </c>
      <c r="AB21" s="54" t="n">
        <f aca="false">HLOOKUP($AK$17,'Daten-Dicke'!$B$4:$BC$14,Database!$B8,FALSE())</f>
        <v>0.5</v>
      </c>
      <c r="AC21" s="57"/>
      <c r="AD21" s="20" t="n">
        <f aca="false">IF(AC21=0,AA21*AB21/100*Z21,Z21*AA21*AC21/1000)</f>
        <v>0.3009</v>
      </c>
      <c r="AE21" s="7"/>
      <c r="AF21" s="7"/>
    </row>
    <row r="22" customFormat="false" ht="15.75" hidden="false" customHeight="false" outlineLevel="0" collapsed="false">
      <c r="B22" s="37" t="s">
        <v>83</v>
      </c>
      <c r="C22" s="37" t="s">
        <v>299</v>
      </c>
      <c r="D22" s="54" t="str">
        <f aca="false">HLOOKUP($V$22,'Daten-Zusammensetzung Bauteil'!$B$4:$BC$11,Database!$B4,FALSE())</f>
        <v>Nadelschnittholz [kg]</v>
      </c>
      <c r="E22" s="55" t="str">
        <f aca="false">MID(HLOOKUP($V$22,'Daten-Funktion'!$B$4:$BC$11,Database!$B4,FALSE()),1,2)</f>
        <v>C4</v>
      </c>
      <c r="F22" s="54" t="n">
        <f aca="false">HLOOKUP($V$22,'Daten-THGE'!$B$4:$BC$11,Database!$B4,FALSE())</f>
        <v>0.00238333333333333</v>
      </c>
      <c r="G22" s="54" t="n">
        <f aca="false">HLOOKUP($V$22,'Daten-Dichte'!$B$4:$BC$11,Database!$B4,FALSE())</f>
        <v>465</v>
      </c>
      <c r="H22" s="54" t="n">
        <f aca="false">HLOOKUP($V$22,'Daten-Dicke'!$B$4:$BC$11,Database!$B4,FALSE())</f>
        <v>5.6</v>
      </c>
      <c r="I22" s="9"/>
      <c r="J22" s="20" t="n">
        <f aca="false">IF(I22=0,G22*H22/100*F22,F22*G22*I22/1000)</f>
        <v>0.062062</v>
      </c>
      <c r="K22" s="29" t="n">
        <f aca="false">SUM(J22:J36)*Gebäude!$C$16</f>
        <v>596.356390007354</v>
      </c>
      <c r="L22" s="37" t="s">
        <v>31</v>
      </c>
      <c r="V22" s="76" t="str">
        <f aca="false">IF($B$23=Database!$H$4,VLOOKUP('Dach unter &amp; über Terrain'!$B$24,Database!$D$18:$F$19,2,FALSE()),VLOOKUP('Dach unter &amp; über Terrain'!$B$23,Database!$H$5:$M$6,5,FALSE()))</f>
        <v>4e</v>
      </c>
      <c r="X22" s="54" t="str">
        <f aca="false">HLOOKUP($AK$17,'Daten-Zusammensetzung Bauteil'!$B$4:$BC$14,Database!$B9,FALSE())</f>
        <v>Trenn-/Schutzvlies [kg]</v>
      </c>
      <c r="Y22" s="55" t="str">
        <f aca="false">HLOOKUP($AK$17,'Daten-Funktion'!$B$4:$BC$14,Database!$B9,FALSE())</f>
        <v>F1.1</v>
      </c>
      <c r="Z22" s="54" t="n">
        <f aca="false">HLOOKUP($AK$17,'Daten-THGE'!$B$4:$BC$14,Database!$B9,FALSE())</f>
        <v>0.0921666666666667</v>
      </c>
      <c r="AA22" s="54" t="n">
        <f aca="false">HLOOKUP($AK$17,'Daten-Dichte'!$B$4:$BC$14,Database!$B9,FALSE())</f>
        <v>920</v>
      </c>
      <c r="AB22" s="54" t="n">
        <f aca="false">HLOOKUP($AK$17,'Daten-Dicke'!$B$4:$BC$14,Database!$B9,FALSE())</f>
        <v>0.0434782608695652</v>
      </c>
      <c r="AC22" s="57"/>
      <c r="AD22" s="20" t="n">
        <f aca="false">IF(AC22=0,AA22*AB22/100*Z22,Z22*AA22*AC22/1000)</f>
        <v>0.0368666666666667</v>
      </c>
      <c r="AE22" s="7"/>
      <c r="AF22" s="7"/>
    </row>
    <row r="23" customFormat="false" ht="15.75" hidden="false" customHeight="false" outlineLevel="0" collapsed="false">
      <c r="B23" s="53" t="s">
        <v>113</v>
      </c>
      <c r="C23" s="37"/>
      <c r="D23" s="54" t="str">
        <f aca="false">HLOOKUP($V$22,'Daten-Zusammensetzung Bauteil'!$B$4:$BC$11,Database!$B5,FALSE())</f>
        <v>Sperrholz für Feuchtebreich [kg]</v>
      </c>
      <c r="E23" s="55" t="str">
        <f aca="false">MID(HLOOKUP($V$22,'Daten-Funktion'!$B$4:$BC$11,Database!$B5,FALSE()),1,2)</f>
        <v>C4</v>
      </c>
      <c r="F23" s="54" t="n">
        <f aca="false">HLOOKUP($V$22,'Daten-THGE'!$B$4:$BC$11,Database!$B5,FALSE())</f>
        <v>0.0243333333333333</v>
      </c>
      <c r="G23" s="54" t="n">
        <f aca="false">HLOOKUP($V$22,'Daten-Dichte'!$B$4:$BC$11,Database!$B5,FALSE())</f>
        <v>500</v>
      </c>
      <c r="H23" s="54" t="n">
        <f aca="false">HLOOKUP($V$22,'Daten-Dicke'!$B$4:$BC$11,Database!$B5,FALSE())</f>
        <v>2.4</v>
      </c>
      <c r="I23" s="9"/>
      <c r="J23" s="20" t="n">
        <f aca="false">IF(I23=0,G23*H23/100*F23,F23*G23*I23/1000)</f>
        <v>0.292</v>
      </c>
      <c r="K23" s="54"/>
      <c r="L23" s="7"/>
      <c r="V23" s="76" t="str">
        <f aca="false">IF($B$23=Database!$H$4,VLOOKUP($B$24,Database!$D$18:$F$19,3,FALSE()),VLOOKUP($B$23,Database!$H$5:$M$6,6,FALSE()))</f>
        <v>5f</v>
      </c>
      <c r="X23" s="54" t="str">
        <f aca="false">HLOOKUP($AK$17,'Daten-Zusammensetzung Bauteil'!$B$4:$BC$14,Database!$B10,FALSE())</f>
        <v>Kies 3 cm [kg]</v>
      </c>
      <c r="Y23" s="55" t="str">
        <f aca="false">HLOOKUP($AK$17,'Daten-Funktion'!$B$4:$BC$14,Database!$B10,FALSE())</f>
        <v>F1.2</v>
      </c>
      <c r="Z23" s="54" t="n">
        <f aca="false">HLOOKUP($AK$17,'Daten-THGE'!$B$4:$BC$14,Database!$B10,FALSE())</f>
        <v>0.000195</v>
      </c>
      <c r="AA23" s="54" t="n">
        <f aca="false">HLOOKUP($AK$17,'Daten-Dichte'!$B$4:$BC$14,Database!$B10,FALSE())</f>
        <v>2000</v>
      </c>
      <c r="AB23" s="54" t="n">
        <f aca="false">HLOOKUP($AK$17,'Daten-Dicke'!$B$4:$BC$14,Database!$B10,FALSE())</f>
        <v>3</v>
      </c>
      <c r="AC23" s="57"/>
      <c r="AD23" s="20" t="n">
        <f aca="false">IF(AC23=0,AA23*AB23/100*Z23,Z23*AA23*AC23/1000)</f>
        <v>0.0117</v>
      </c>
      <c r="AE23" s="7"/>
      <c r="AF23" s="7"/>
    </row>
    <row r="24" customFormat="false" ht="15.75" hidden="false" customHeight="false" outlineLevel="0" collapsed="false">
      <c r="B24" s="53" t="s">
        <v>95</v>
      </c>
      <c r="C24" s="7"/>
      <c r="D24" s="54" t="str">
        <f aca="false">HLOOKUP($V$22,'Daten-Zusammensetzung Bauteil'!$B$4:$BC$11,Database!$B6,FALSE())</f>
        <v>MF-Klebstoff</v>
      </c>
      <c r="E24" s="55" t="str">
        <f aca="false">MID(HLOOKUP($V$22,'Daten-Funktion'!$B$4:$BC$11,Database!$B6,FALSE()),1,2)</f>
        <v>C4</v>
      </c>
      <c r="F24" s="54" t="n">
        <f aca="false">HLOOKUP($V$22,'Daten-THGE'!$B$4:$BC$11,Database!$B6,FALSE())</f>
        <v>0.0991666666666667</v>
      </c>
      <c r="G24" s="54" t="n">
        <f aca="false">HLOOKUP($V$22,'Daten-Dichte'!$B$4:$BC$11,Database!$B6,FALSE())</f>
        <v>1500</v>
      </c>
      <c r="H24" s="54" t="n">
        <f aca="false">HLOOKUP($V$22,'Daten-Dicke'!$B$4:$BC$11,Database!$B6,FALSE())</f>
        <v>0.0186666666666667</v>
      </c>
      <c r="I24" s="57"/>
      <c r="J24" s="20" t="n">
        <f aca="false">IF(I24=0,G24*H24/100*F24,F24*G24*I24/1000)</f>
        <v>0.0277666666666667</v>
      </c>
      <c r="K24" s="7"/>
      <c r="L24" s="7"/>
      <c r="X24" s="54" t="n">
        <f aca="false">HLOOKUP($AK$17,'Daten-Zusammensetzung Bauteil'!$B$4:$BC$14,Database!$B11,FALSE())</f>
        <v>0</v>
      </c>
      <c r="Y24" s="55" t="n">
        <f aca="false">HLOOKUP($AK$17,'Daten-Funktion'!$B$4:$BC$14,Database!$B11,FALSE())</f>
        <v>0</v>
      </c>
      <c r="Z24" s="54" t="n">
        <f aca="false">HLOOKUP($AK$17,'Daten-THGE'!$B$4:$BC$14,Database!$B11,FALSE())</f>
        <v>0</v>
      </c>
      <c r="AA24" s="54" t="n">
        <f aca="false">HLOOKUP($AK$17,'Daten-Dichte'!$B$4:$BC$14,Database!$B11,FALSE())</f>
        <v>0</v>
      </c>
      <c r="AB24" s="54" t="n">
        <f aca="false">HLOOKUP($AK$17,'Daten-Dicke'!$B$4:$BC$14,Database!$B11,FALSE())</f>
        <v>0</v>
      </c>
      <c r="AC24" s="57"/>
      <c r="AD24" s="20" t="n">
        <f aca="false">IF(AC24=0,AA24*AB24/100*Z24,Z24*AA24*AC24/1000)</f>
        <v>0</v>
      </c>
    </row>
    <row r="25" customFormat="false" ht="15.75" hidden="false" customHeight="false" outlineLevel="0" collapsed="false">
      <c r="C25" s="7"/>
      <c r="D25" s="54" t="str">
        <f aca="false">HLOOKUP($V$22,'Daten-Zusammensetzung Bauteil'!$B$4:$BC$11,Database!$B7,FALSE())</f>
        <v>Nadelschnittholz [kg]</v>
      </c>
      <c r="E25" s="55" t="str">
        <f aca="false">HLOOKUP($V$22,'Daten-Funktion'!$B$4:$BC$11,Database!$B7,FALSE())</f>
        <v>G4.1</v>
      </c>
      <c r="F25" s="54" t="n">
        <f aca="false">HLOOKUP($V$22,'Daten-THGE'!$B$4:$BC$11,Database!$B7,FALSE())</f>
        <v>0.00336666666666667</v>
      </c>
      <c r="G25" s="54" t="n">
        <f aca="false">HLOOKUP($V$22,'Daten-Dichte'!$B$4:$BC$11,Database!$B7,FALSE())</f>
        <v>485</v>
      </c>
      <c r="H25" s="54" t="n">
        <f aca="false">HLOOKUP($V$22,'Daten-Dicke'!$B$4:$BC$11,Database!$B7,FALSE())</f>
        <v>0.4</v>
      </c>
      <c r="I25" s="57"/>
      <c r="J25" s="20" t="n">
        <f aca="false">IF(I25=0,G25*H25/100*F25,F25*G25*I25/1000)</f>
        <v>0.00653133333333333</v>
      </c>
      <c r="K25" s="7"/>
      <c r="L25" s="7"/>
      <c r="X25" s="54" t="n">
        <f aca="false">HLOOKUP($AK$17,'Daten-Zusammensetzung Bauteil'!$B$4:$BC$14,Database!$B12,FALSE())</f>
        <v>0</v>
      </c>
      <c r="Y25" s="55" t="n">
        <f aca="false">HLOOKUP($AK$17,'Daten-Funktion'!$B$4:$BC$14,Database!$B12,FALSE())</f>
        <v>0</v>
      </c>
      <c r="Z25" s="54" t="n">
        <f aca="false">HLOOKUP($AK$17,'Daten-THGE'!$B$4:$BC$14,Database!$B12,FALSE())</f>
        <v>0</v>
      </c>
      <c r="AA25" s="54" t="n">
        <f aca="false">HLOOKUP($AK$17,'Daten-Dichte'!$B$4:$BC$14,Database!$B12,FALSE())</f>
        <v>0</v>
      </c>
      <c r="AB25" s="54" t="n">
        <f aca="false">HLOOKUP($AK$17,'Daten-Dicke'!$B$4:$BC$14,Database!$B12,FALSE())</f>
        <v>0</v>
      </c>
      <c r="AC25" s="57"/>
      <c r="AD25" s="20" t="n">
        <f aca="false">IF(AC25=0,AA25*AB25/100*Z25,Z25*AA25*AC25/1000)</f>
        <v>0</v>
      </c>
    </row>
    <row r="26" customFormat="false" ht="15.75" hidden="false" customHeight="false" outlineLevel="0" collapsed="false">
      <c r="C26" s="7"/>
      <c r="D26" s="54" t="str">
        <f aca="false">HLOOKUP($V$22,'Daten-Zusammensetzung Bauteil'!$B$4:$BC$11,Database!$B8,FALSE())</f>
        <v>Gipskartonplatte [kg]</v>
      </c>
      <c r="E26" s="55" t="str">
        <f aca="false">HLOOKUP($V$22,'Daten-Funktion'!$B$4:$BC$11,Database!$B8,FALSE())</f>
        <v>G4.1</v>
      </c>
      <c r="F26" s="54" t="n">
        <f aca="false">HLOOKUP($V$22,'Daten-THGE'!$B$4:$BC$11,Database!$B8,FALSE())</f>
        <v>0.00976666666666667</v>
      </c>
      <c r="G26" s="54" t="n">
        <f aca="false">HLOOKUP($V$22,'Daten-Dichte'!$B$4:$BC$11,Database!$B8,FALSE())</f>
        <v>850</v>
      </c>
      <c r="H26" s="54" t="n">
        <f aca="false">HLOOKUP($V$22,'Daten-Dicke'!$B$4:$BC$11,Database!$B8,FALSE())</f>
        <v>1.25</v>
      </c>
      <c r="I26" s="57"/>
      <c r="J26" s="20" t="n">
        <f aca="false">IF(I26=0,G26*H26/100*F26,F26*G26*I26/1000)</f>
        <v>0.103770833333333</v>
      </c>
      <c r="K26" s="7"/>
      <c r="L26" s="7"/>
      <c r="X26" s="54" t="n">
        <f aca="false">HLOOKUP($AK$17,'Daten-Zusammensetzung Bauteil'!$B$4:$BC$14,Database!$B13,FALSE())</f>
        <v>0</v>
      </c>
      <c r="Y26" s="55" t="n">
        <f aca="false">HLOOKUP($AK$17,'Daten-Funktion'!$B$4:$BC$14,Database!$B13,FALSE())</f>
        <v>0</v>
      </c>
      <c r="Z26" s="54" t="n">
        <f aca="false">HLOOKUP($AK$17,'Daten-THGE'!$B$4:$BC$14,Database!$B13,FALSE())</f>
        <v>0</v>
      </c>
      <c r="AA26" s="54" t="n">
        <f aca="false">HLOOKUP($AK$17,'Daten-Dichte'!$B$4:$BC$14,Database!$B13,FALSE())</f>
        <v>0</v>
      </c>
      <c r="AB26" s="54" t="n">
        <f aca="false">HLOOKUP($AK$17,'Daten-Dicke'!$B$4:$BC$14,Database!$B13,FALSE())</f>
        <v>0</v>
      </c>
      <c r="AC26" s="57"/>
      <c r="AD26" s="20" t="n">
        <f aca="false">IF(AC26=0,AA26*AB26/100*Z26,Z26*AA26*AC26/1000)</f>
        <v>0</v>
      </c>
    </row>
    <row r="27" customFormat="false" ht="15.75" hidden="false" customHeight="false" outlineLevel="0" collapsed="false">
      <c r="C27" s="7"/>
      <c r="D27" s="54" t="str">
        <f aca="false">HLOOKUP($V$22,'Daten-Zusammensetzung Bauteil'!$B$4:$BC$11,Database!$B9,FALSE())</f>
        <v>Spachtel [kg]</v>
      </c>
      <c r="E27" s="55" t="str">
        <f aca="false">HLOOKUP($V$22,'Daten-Funktion'!$B$4:$BC$11,Database!$B9,FALSE())</f>
        <v>G4.2</v>
      </c>
      <c r="F27" s="54" t="n">
        <f aca="false">HLOOKUP($V$22,'Daten-THGE'!$B$4:$BC$11,Database!$B9,FALSE())</f>
        <v>0.00516666666666667</v>
      </c>
      <c r="G27" s="54" t="n">
        <f aca="false">HLOOKUP($V$22,'Daten-Dichte'!$B$4:$BC$11,Database!$B9,FALSE())</f>
        <v>925</v>
      </c>
      <c r="H27" s="54" t="n">
        <f aca="false">HLOOKUP($V$22,'Daten-Dicke'!$B$4:$BC$11,Database!$B9,FALSE())</f>
        <v>0.605405405405405</v>
      </c>
      <c r="I27" s="57"/>
      <c r="J27" s="20" t="n">
        <f aca="false">IF(I27=0,G27*H27/100*F27,F27*G27*I27/1000)</f>
        <v>0.0289333333333333</v>
      </c>
      <c r="K27" s="7"/>
      <c r="L27" s="7"/>
      <c r="AG27" s="64" t="s">
        <v>284</v>
      </c>
      <c r="AH27" s="64" t="s">
        <v>297</v>
      </c>
      <c r="AI27" s="64" t="s">
        <v>298</v>
      </c>
    </row>
    <row r="28" customFormat="false" ht="20.25" hidden="false" customHeight="false" outlineLevel="0" collapsed="false">
      <c r="B28" s="7"/>
      <c r="C28" s="7"/>
      <c r="D28" s="54" t="str">
        <f aca="false">HLOOKUP($V$22,'Daten-Zusammensetzung Bauteil'!$B$4:$BC$11,Database!$B10,FALSE())</f>
        <v>Wanddispersion [m2]</v>
      </c>
      <c r="E28" s="55" t="str">
        <f aca="false">HLOOKUP($V$22,'Daten-Funktion'!$B$4:$BC$11,Database!$B10,FALSE())</f>
        <v>G4.2</v>
      </c>
      <c r="F28" s="54" t="n">
        <f aca="false">HLOOKUP($V$22,'Daten-THGE'!$B$4:$BC$11,Database!$B10,FALSE())</f>
        <v>0.151111111111111</v>
      </c>
      <c r="G28" s="54" t="n">
        <f aca="false">HLOOKUP($V$22,'Daten-Dichte'!$B$4:$BC$11,Database!$B10,FALSE())</f>
        <v>150</v>
      </c>
      <c r="H28" s="54" t="n">
        <f aca="false">HLOOKUP($V$22,'Daten-Dicke'!$B$4:$BC$11,Database!$B10,FALSE())</f>
        <v>0.2</v>
      </c>
      <c r="I28" s="57"/>
      <c r="J28" s="20" t="n">
        <f aca="false">IF(I28=0,G28*H28/100*F28,F28*G28*I28/1000)</f>
        <v>0.0453333333333333</v>
      </c>
      <c r="K28" s="7"/>
      <c r="L28" s="7"/>
      <c r="W28" s="6" t="s">
        <v>266</v>
      </c>
      <c r="X28" s="37" t="s">
        <v>257</v>
      </c>
      <c r="Y28" s="52"/>
      <c r="Z28" s="37" t="s">
        <v>259</v>
      </c>
      <c r="AA28" s="37" t="s">
        <v>260</v>
      </c>
      <c r="AB28" s="37" t="s">
        <v>261</v>
      </c>
      <c r="AC28" s="53" t="s">
        <v>262</v>
      </c>
      <c r="AD28" s="37" t="s">
        <v>263</v>
      </c>
      <c r="AE28" s="8" t="s">
        <v>102</v>
      </c>
      <c r="AF28" s="7"/>
    </row>
    <row r="29" customFormat="false" ht="15.75" hidden="false" customHeight="false" outlineLevel="0" collapsed="false">
      <c r="J29" s="20"/>
      <c r="W29" s="37" t="s">
        <v>73</v>
      </c>
      <c r="X29" s="54" t="str">
        <f aca="false">HLOOKUP($AK$30,'Daten-Zusammensetzung Bauteil'!$B$4:$BC$14,Database!$B4,FALSE())</f>
        <v>Hochbaubeton 30 cm [kg]</v>
      </c>
      <c r="Y29" s="55" t="str">
        <f aca="false">MID(HLOOKUP($AK$30,'Daten-Funktion'!$B$4:$BC$14,Database!$B4,FALSE()),1,2)</f>
        <v>C4</v>
      </c>
      <c r="Z29" s="54" t="n">
        <f aca="false">HLOOKUP($AK$30,'Daten-THGE'!$B$4:$BC$14,Database!$B4,FALSE())</f>
        <v>0.00165333333333333</v>
      </c>
      <c r="AA29" s="54" t="n">
        <f aca="false">HLOOKUP($AK$30,'Daten-Dichte'!$B$4:$BC$14,Database!$B4,FALSE())</f>
        <v>2300</v>
      </c>
      <c r="AB29" s="54" t="n">
        <f aca="false">HLOOKUP($AK$30,'Daten-Dicke'!$B$4:$BC$14,Database!$B4,FALSE())</f>
        <v>29.5700636942675</v>
      </c>
      <c r="AC29" s="9"/>
      <c r="AD29" s="20" t="n">
        <f aca="false">IF(AC29=0,AA29*AB29/100*Z29,Z29*AA29*AC29/1000)</f>
        <v>1.12445095541401</v>
      </c>
      <c r="AE29" s="56" t="n">
        <f aca="false">IF(Gebäude!G26=Database!D15,0,SUM(AD29:AD38)*Gebäude!$C$37)</f>
        <v>0</v>
      </c>
      <c r="AF29" s="37" t="s">
        <v>31</v>
      </c>
      <c r="AG29" s="68" t="n">
        <f aca="false">IF(Y29="C4",1,0)</f>
        <v>1</v>
      </c>
      <c r="AH29" s="68" t="n">
        <f aca="false">IF(Y29="F1.1",1,0)</f>
        <v>0</v>
      </c>
      <c r="AI29" s="68" t="n">
        <f aca="false">IF(Y29="F1.2",1,0)</f>
        <v>0</v>
      </c>
    </row>
    <row r="30" customFormat="false" ht="15.75" hidden="false" customHeight="false" outlineLevel="0" collapsed="false">
      <c r="C30" s="37" t="s">
        <v>300</v>
      </c>
      <c r="D30" s="54" t="str">
        <f aca="false">HLOOKUP($V$23,'Daten-Zusammensetzung Bauteil'!$B$4:$BC$11,Database!$B4,FALSE())</f>
        <v>Konter- und Ziegellattung aus Nadelschnittholz [kg]</v>
      </c>
      <c r="E30" s="55" t="str">
        <f aca="false">HLOOKUP($V$23,'Daten-Funktion'!$B$4:$BC$11,Database!$B4,FALSE())</f>
        <v>F1.3</v>
      </c>
      <c r="F30" s="54" t="n">
        <f aca="false">HLOOKUP($V$23,'Daten-THGE'!$B$4:$BC$11,Database!$B4,FALSE())</f>
        <v>0.002525</v>
      </c>
      <c r="G30" s="54" t="n">
        <f aca="false">HLOOKUP($V$23,'Daten-Dichte'!$B$4:$BC$11,Database!$B4,FALSE())</f>
        <v>485</v>
      </c>
      <c r="H30" s="54" t="n">
        <f aca="false">HLOOKUP($V$23,'Daten-Dicke'!$B$4:$BC$11,Database!$B4,FALSE())</f>
        <v>0.330379970544919</v>
      </c>
      <c r="I30" s="57"/>
      <c r="J30" s="20" t="n">
        <f aca="false">IF(I30=0,G30*H30/100*F30,F30*G30*I30/1000)</f>
        <v>0.00404591571428572</v>
      </c>
      <c r="W30" s="37" t="str">
        <f aca="false">Gebäude!$G$25</f>
        <v>Massivbauweise</v>
      </c>
      <c r="X30" s="54" t="str">
        <f aca="false">HLOOKUP($AK$30,'Daten-Zusammensetzung Bauteil'!$B$4:$BC$14,Database!$B5,FALSE())</f>
        <v>Armierungsstahl [kg]</v>
      </c>
      <c r="Y30" s="55" t="str">
        <f aca="false">MID(HLOOKUP($AK$30,'Daten-Funktion'!$B$4:$BC$14,Database!$B5,FALSE()),1,2)</f>
        <v>C4</v>
      </c>
      <c r="Z30" s="54" t="n">
        <f aca="false">HLOOKUP($AK$30,'Daten-THGE'!$B$4:$BC$14,Database!$B5,FALSE())</f>
        <v>0.0113666666666667</v>
      </c>
      <c r="AA30" s="54" t="n">
        <f aca="false">HLOOKUP($AK$30,'Daten-Dichte'!$B$4:$BC$14,Database!$B5,FALSE())</f>
        <v>7850</v>
      </c>
      <c r="AB30" s="54" t="n">
        <f aca="false">HLOOKUP($AK$30,'Daten-Dicke'!$B$4:$BC$14,Database!$B5,FALSE())</f>
        <v>0.429936305732484</v>
      </c>
      <c r="AC30" s="9"/>
      <c r="AD30" s="20" t="n">
        <f aca="false">IF(AC30=0,AA30*AB30/100*Z30,Z30*AA30*AC30/1000)</f>
        <v>0.383625</v>
      </c>
      <c r="AE30" s="54"/>
      <c r="AF30" s="7"/>
      <c r="AG30" s="68" t="n">
        <f aca="false">IF(Y30="C4",1,0)</f>
        <v>1</v>
      </c>
      <c r="AH30" s="68" t="n">
        <f aca="false">IF(Y30="F1.1",1,0)</f>
        <v>0</v>
      </c>
      <c r="AI30" s="68" t="n">
        <f aca="false">IF(Y30="F1.2",1,0)</f>
        <v>0</v>
      </c>
      <c r="AK30" s="76" t="str">
        <f aca="false">IF($W$30=Database!$Y$29,VLOOKUP($W$31,Database!$V$46:$W$47,2,FALSE()),IF($W$30=Database!$Y$30,VLOOKUP('Dach unter &amp; über Terrain'!$W$31,Database!$U$69:$V$70,2,FALSE()),VLOOKUP('Dach unter &amp; über Terrain'!$W$31,Database!$U$84:$V$85,2,FALSE())))</f>
        <v>8b</v>
      </c>
    </row>
    <row r="31" customFormat="false" ht="15.75" hidden="false" customHeight="false" outlineLevel="0" collapsed="false">
      <c r="D31" s="54" t="str">
        <f aca="false">HLOOKUP($V$23,'Daten-Zusammensetzung Bauteil'!$B$4:$BC$11,Database!$B5,FALSE())</f>
        <v>Unterdachfolie: PP-Vlies [kg]</v>
      </c>
      <c r="E31" s="55" t="str">
        <f aca="false">HLOOKUP($V$23,'Daten-Funktion'!$B$4:$BC$11,Database!$B5,FALSE())</f>
        <v>F1.3</v>
      </c>
      <c r="F31" s="54" t="n">
        <f aca="false">HLOOKUP($V$23,'Daten-THGE'!$B$4:$BC$11,Database!$B5,FALSE())</f>
        <v>0.13825</v>
      </c>
      <c r="G31" s="54" t="n">
        <f aca="false">HLOOKUP($V$23,'Daten-Dichte'!$B$4:$BC$11,Database!$B5,FALSE())</f>
        <v>920</v>
      </c>
      <c r="H31" s="54" t="n">
        <f aca="false">HLOOKUP($V$23,'Daten-Dicke'!$B$4:$BC$11,Database!$B5,FALSE())</f>
        <v>0.0152173913043478</v>
      </c>
      <c r="I31" s="57"/>
      <c r="J31" s="20" t="n">
        <f aca="false">IF(I31=0,G31*H31/100*F31,F31*G31*I31/1000)</f>
        <v>0.019355</v>
      </c>
      <c r="W31" s="37" t="str">
        <f aca="false">Gebäude!$G$27</f>
        <v>Dach unter Terrain 1</v>
      </c>
      <c r="X31" s="54" t="str">
        <f aca="false">HLOOKUP($AK$30,'Daten-Zusammensetzung Bauteil'!$B$4:$BC$14,Database!$B6,FALSE())</f>
        <v>3-SP Schalung 2.5 cm (Annahme 5xverwendet) [kg]</v>
      </c>
      <c r="Y31" s="55" t="str">
        <f aca="false">MID(HLOOKUP($AK$30,'Daten-Funktion'!$B$4:$BC$14,Database!$B6,FALSE()),1,2)</f>
        <v>C4</v>
      </c>
      <c r="Z31" s="54" t="n">
        <f aca="false">HLOOKUP($AK$30,'Daten-THGE'!$B$4:$BC$14,Database!$B6,FALSE())</f>
        <v>0.00871666666666667</v>
      </c>
      <c r="AA31" s="54" t="n">
        <f aca="false">HLOOKUP($AK$30,'Daten-Dichte'!$B$4:$BC$14,Database!$B6,FALSE())</f>
        <v>470</v>
      </c>
      <c r="AB31" s="54" t="n">
        <f aca="false">HLOOKUP($AK$30,'Daten-Dicke'!$B$4:$BC$14,Database!$B6,FALSE())</f>
        <v>1</v>
      </c>
      <c r="AC31" s="57"/>
      <c r="AD31" s="20" t="n">
        <f aca="false">IF(AC31=0,AA31*AB31/100*Z31,Z31*AA31*AC31/1000)</f>
        <v>0.0409683333333333</v>
      </c>
      <c r="AE31" s="7"/>
      <c r="AF31" s="7"/>
      <c r="AG31" s="68" t="n">
        <f aca="false">IF(Y31="C4",1,0)</f>
        <v>1</v>
      </c>
      <c r="AH31" s="68" t="n">
        <f aca="false">IF(Y31="F1.1",1,0)</f>
        <v>0</v>
      </c>
      <c r="AI31" s="68" t="n">
        <f aca="false">IF(Y31="F1.2",1,0)</f>
        <v>0</v>
      </c>
      <c r="AK31" s="76" t="n">
        <f aca="false">IF(AE29&gt;0,1,0)</f>
        <v>0</v>
      </c>
    </row>
    <row r="32" customFormat="false" ht="15.75" hidden="false" customHeight="false" outlineLevel="0" collapsed="false">
      <c r="C32" s="7"/>
      <c r="D32" s="54" t="str">
        <f aca="false">HLOOKUP($V$23,'Daten-Zusammensetzung Bauteil'!$B$4:$BC$11,Database!$B6,FALSE())</f>
        <v>Ziegeleindeckeung [kg]</v>
      </c>
      <c r="E32" s="55" t="str">
        <f aca="false">HLOOKUP($V$23,'Daten-Funktion'!$B$4:$BC$11,Database!$B6,FALSE())</f>
        <v>F1.3</v>
      </c>
      <c r="F32" s="54" t="n">
        <f aca="false">HLOOKUP($V$23,'Daten-THGE'!$B$4:$BC$11,Database!$B6,FALSE())</f>
        <v>0.009375</v>
      </c>
      <c r="G32" s="54" t="n">
        <f aca="false">HLOOKUP($V$23,'Daten-Dichte'!$B$4:$BC$11,Database!$B6,FALSE())</f>
        <v>1700</v>
      </c>
      <c r="H32" s="54" t="n">
        <f aca="false">HLOOKUP($V$23,'Daten-Dicke'!$B$4:$BC$11,Database!$B6,FALSE())</f>
        <v>2.94117647058823</v>
      </c>
      <c r="I32" s="57"/>
      <c r="J32" s="20" t="n">
        <f aca="false">IF(I32=0,G32*H32/100*F32,F32*G32*I32/1000)</f>
        <v>0.46875</v>
      </c>
      <c r="W32" s="7"/>
      <c r="X32" s="54" t="str">
        <f aca="false">HLOOKUP($AK$30,'Daten-Zusammensetzung Bauteil'!$B$4:$BC$14,Database!$B7,FALSE())</f>
        <v>Bitumenemulsion [m2]</v>
      </c>
      <c r="Y32" s="55" t="str">
        <f aca="false">HLOOKUP($AK$30,'Daten-Funktion'!$B$4:$BC$14,Database!$B7,FALSE())</f>
        <v>F1.1</v>
      </c>
      <c r="Z32" s="54" t="n">
        <f aca="false">HLOOKUP($AK$30,'Daten-THGE'!$B$4:$BC$14,Database!$B7,FALSE())</f>
        <v>0.0470666666666667</v>
      </c>
      <c r="AA32" s="54" t="n">
        <f aca="false">HLOOKUP($AK$30,'Daten-Dichte'!$B$4:$BC$14,Database!$B7,FALSE())</f>
        <v>250</v>
      </c>
      <c r="AB32" s="54" t="n">
        <f aca="false">HLOOKUP($AK$30,'Daten-Dicke'!$B$4:$BC$14,Database!$B7,FALSE())</f>
        <v>0.1</v>
      </c>
      <c r="AC32" s="57"/>
      <c r="AD32" s="20" t="n">
        <f aca="false">IF(AC32=0,AA32*AB32/100*Z32,Z32*AA32*AC32/1000)</f>
        <v>0.0117666666666667</v>
      </c>
      <c r="AE32" s="7"/>
      <c r="AF32" s="7"/>
      <c r="AG32" s="68" t="n">
        <f aca="false">IF(Y32="C4",1,0)</f>
        <v>0</v>
      </c>
      <c r="AH32" s="68" t="n">
        <f aca="false">IF(Y32="F1.1",1,0)</f>
        <v>1</v>
      </c>
      <c r="AI32" s="68" t="n">
        <f aca="false">IF(Y32="F1.2",1,0)</f>
        <v>0</v>
      </c>
      <c r="AK32" s="76"/>
    </row>
    <row r="33" customFormat="false" ht="15.75" hidden="false" customHeight="false" outlineLevel="0" collapsed="false">
      <c r="C33" s="7"/>
      <c r="D33" s="54" t="str">
        <f aca="false">HLOOKUP($V$23,'Daten-Zusammensetzung Bauteil'!$B$4:$BC$11,Database!$B7,FALSE())</f>
        <v>Befestigung mit verzinkten Stahlschrauben [kg]</v>
      </c>
      <c r="E33" s="55" t="str">
        <f aca="false">HLOOKUP($V$23,'Daten-Funktion'!$B$4:$BC$11,Database!$B7,FALSE())</f>
        <v>F1.3</v>
      </c>
      <c r="F33" s="54" t="n">
        <f aca="false">HLOOKUP($V$23,'Daten-THGE'!$B$4:$BC$11,Database!$B7,FALSE())</f>
        <v>0.08775</v>
      </c>
      <c r="G33" s="54" t="n">
        <f aca="false">HLOOKUP($V$23,'Daten-Dichte'!$B$4:$BC$11,Database!$B7,FALSE())</f>
        <v>7850</v>
      </c>
      <c r="H33" s="54" t="n">
        <f aca="false">HLOOKUP($V$23,'Daten-Dicke'!$B$4:$BC$11,Database!$B7,FALSE())</f>
        <v>0.002792559</v>
      </c>
      <c r="I33" s="57"/>
      <c r="J33" s="20" t="n">
        <f aca="false">IF(I33=0,G33*H33/100*F33,F33*G33*I33/1000)</f>
        <v>0.019236193601625</v>
      </c>
      <c r="W33" s="7"/>
      <c r="X33" s="54" t="str">
        <f aca="false">HLOOKUP($AK$30,'Daten-Zusammensetzung Bauteil'!$B$4:$BC$14,Database!$B8,FALSE())</f>
        <v>Polymerbitumenbahn EP4 [kg]</v>
      </c>
      <c r="Y33" s="55" t="str">
        <f aca="false">HLOOKUP($AK$30,'Daten-Funktion'!$B$4:$BC$14,Database!$B8,FALSE())</f>
        <v>F1.1</v>
      </c>
      <c r="Z33" s="54" t="n">
        <f aca="false">HLOOKUP($AK$30,'Daten-THGE'!$B$4:$BC$14,Database!$B8,FALSE())</f>
        <v>0.0511666666666667</v>
      </c>
      <c r="AA33" s="54" t="n">
        <f aca="false">HLOOKUP($AK$30,'Daten-Dichte'!$B$4:$BC$14,Database!$B8,FALSE())</f>
        <v>1175</v>
      </c>
      <c r="AB33" s="54" t="n">
        <f aca="false">HLOOKUP($AK$30,'Daten-Dicke'!$B$4:$BC$14,Database!$B8,FALSE())</f>
        <v>0.4</v>
      </c>
      <c r="AC33" s="57"/>
      <c r="AD33" s="20" t="n">
        <f aca="false">IF(AC33=0,AA33*AB33/100*Z33,Z33*AA33*AC33/1000)</f>
        <v>0.240483333333333</v>
      </c>
      <c r="AE33" s="7"/>
      <c r="AF33" s="7"/>
      <c r="AG33" s="68" t="n">
        <f aca="false">IF(Y33="C4",1,0)</f>
        <v>0</v>
      </c>
      <c r="AH33" s="68" t="n">
        <f aca="false">IF(Y33="F1.1",1,0)</f>
        <v>1</v>
      </c>
      <c r="AI33" s="68" t="n">
        <f aca="false">IF(Y33="F1.2",1,0)</f>
        <v>0</v>
      </c>
      <c r="AK33" s="76"/>
    </row>
    <row r="34" customFormat="false" ht="15.75" hidden="false" customHeight="false" outlineLevel="0" collapsed="false">
      <c r="D34" s="54" t="str">
        <f aca="false">HLOOKUP($V$23,'Daten-Zusammensetzung Bauteil'!$B$4:$BC$11,Database!$B8,FALSE())</f>
        <v>Glaswolle (60 kg/m3)</v>
      </c>
      <c r="E34" s="55" t="str">
        <f aca="false">HLOOKUP($V$23,'Daten-Funktion'!$B$4:$BC$11,Database!$B8,FALSE())</f>
        <v>F1.3</v>
      </c>
      <c r="F34" s="54" t="n">
        <f aca="false">HLOOKUP($V$23,'Daten-THGE'!$B$4:$BC$11,Database!$B8,FALSE())</f>
        <v>0.02825</v>
      </c>
      <c r="G34" s="54" t="n">
        <f aca="false">HLOOKUP($V$23,'Daten-Dichte'!$B$4:$BC$11,Database!$B8,FALSE())</f>
        <v>60</v>
      </c>
      <c r="H34" s="54" t="n">
        <f aca="false">HLOOKUP($V$23,'Daten-Dicke'!$B$4:$BC$11,Database!$B8,FALSE())</f>
        <v>22</v>
      </c>
      <c r="I34" s="57"/>
      <c r="J34" s="20" t="n">
        <f aca="false">IF(I34=0,G34*H34/100*F34,F34*G34*I34/1000)</f>
        <v>0.3729</v>
      </c>
      <c r="W34" s="7"/>
      <c r="X34" s="54" t="str">
        <f aca="false">HLOOKUP($AK$30,'Daten-Zusammensetzung Bauteil'!$B$4:$BC$14,Database!$B9,FALSE())</f>
        <v>Polystyrol extrudiert, 33 kg/m3, lamdaD 0.033 W/mK, 20 cm [kg]</v>
      </c>
      <c r="Y34" s="55" t="str">
        <f aca="false">HLOOKUP($AK$30,'Daten-Funktion'!$B$4:$BC$14,Database!$B9,FALSE())</f>
        <v>F1.1</v>
      </c>
      <c r="Z34" s="54" t="n">
        <f aca="false">HLOOKUP($AK$30,'Daten-THGE'!$B$4:$BC$14,Database!$B9,FALSE())</f>
        <v>0.241666666666667</v>
      </c>
      <c r="AA34" s="54" t="n">
        <f aca="false">HLOOKUP($AK$30,'Daten-Dichte'!$B$4:$BC$14,Database!$B9,FALSE())</f>
        <v>33</v>
      </c>
      <c r="AB34" s="54" t="n">
        <f aca="false">HLOOKUP($AK$30,'Daten-Dicke'!$B$4:$BC$14,Database!$B9,FALSE())</f>
        <v>20</v>
      </c>
      <c r="AC34" s="57"/>
      <c r="AD34" s="20" t="n">
        <f aca="false">IF(AC34=0,AA34*AB34/100*Z34,Z34*AA34*AC34/1000)</f>
        <v>1.595</v>
      </c>
      <c r="AE34" s="7"/>
      <c r="AF34" s="7"/>
      <c r="AG34" s="68" t="n">
        <f aca="false">IF(Y34="C4",1,0)</f>
        <v>0</v>
      </c>
      <c r="AH34" s="68" t="n">
        <f aca="false">IF(Y34="F1.1",1,0)</f>
        <v>1</v>
      </c>
      <c r="AI34" s="68" t="n">
        <f aca="false">IF(Y34="F1.2",1,0)</f>
        <v>0</v>
      </c>
      <c r="AK34" s="76"/>
    </row>
    <row r="35" customFormat="false" ht="15.75" hidden="false" customHeight="false" outlineLevel="0" collapsed="false">
      <c r="D35" s="54" t="str">
        <f aca="false">HLOOKUP($V$23,'Daten-Zusammensetzung Bauteil'!$B$4:$BC$11,Database!$B9,FALSE())</f>
        <v>PE Dampfbremse [kg]</v>
      </c>
      <c r="E35" s="55" t="str">
        <f aca="false">HLOOKUP($V$23,'Daten-Funktion'!$B$4:$BC$11,Database!$B9,FALSE())</f>
        <v>F1.3</v>
      </c>
      <c r="F35" s="54" t="n">
        <f aca="false">HLOOKUP($V$23,'Daten-THGE'!$B$4:$BC$11,Database!$B9,FALSE())</f>
        <v>0.13325</v>
      </c>
      <c r="G35" s="54" t="n">
        <f aca="false">HLOOKUP($V$23,'Daten-Dichte'!$B$4:$BC$11,Database!$B9,FALSE())</f>
        <v>920</v>
      </c>
      <c r="H35" s="54" t="n">
        <f aca="false">HLOOKUP($V$23,'Daten-Dicke'!$B$4:$BC$11,Database!$B9,FALSE())</f>
        <v>0.0195652173913043</v>
      </c>
      <c r="I35" s="57"/>
      <c r="J35" s="20" t="n">
        <f aca="false">IF(I35=0,G35*H35/100*F35,F35*G35*I35/1000)</f>
        <v>0.023985</v>
      </c>
      <c r="W35" s="7"/>
      <c r="X35" s="54" t="str">
        <f aca="false">HLOOKUP($AK$30,'Daten-Zusammensetzung Bauteil'!$B$4:$BC$14,Database!$B10,FALSE())</f>
        <v>2xPolymerbitumenbahn EGV3 [kg]</v>
      </c>
      <c r="Y35" s="55" t="str">
        <f aca="false">HLOOKUP($AK$30,'Daten-Funktion'!$B$4:$BC$14,Database!$B10,FALSE())</f>
        <v>F1.1</v>
      </c>
      <c r="Z35" s="54" t="n">
        <f aca="false">HLOOKUP($AK$30,'Daten-THGE'!$B$4:$BC$14,Database!$B10,FALSE())</f>
        <v>0.0496666666666667</v>
      </c>
      <c r="AA35" s="54" t="n">
        <f aca="false">HLOOKUP($AK$30,'Daten-Dichte'!$B$4:$BC$14,Database!$B10,FALSE())</f>
        <v>1200</v>
      </c>
      <c r="AB35" s="54" t="n">
        <f aca="false">HLOOKUP($AK$30,'Daten-Dicke'!$B$4:$BC$14,Database!$B10,FALSE())</f>
        <v>0.6</v>
      </c>
      <c r="AC35" s="57"/>
      <c r="AD35" s="20" t="n">
        <f aca="false">IF(AC35=0,AA35*AB35/100*Z35,Z35*AA35*AC35/1000)</f>
        <v>0.3576</v>
      </c>
      <c r="AE35" s="7"/>
      <c r="AF35" s="7"/>
      <c r="AG35" s="68" t="n">
        <f aca="false">IF(Y35="C4",1,0)</f>
        <v>0</v>
      </c>
      <c r="AH35" s="68" t="n">
        <f aca="false">IF(Y35="F1.1",1,0)</f>
        <v>1</v>
      </c>
      <c r="AI35" s="68" t="n">
        <f aca="false">IF(Y35="F1.2",1,0)</f>
        <v>0</v>
      </c>
    </row>
    <row r="36" customFormat="false" ht="15.75" hidden="false" customHeight="false" outlineLevel="0" collapsed="false">
      <c r="D36" s="54" t="n">
        <f aca="false">HLOOKUP($V$23,'Daten-Zusammensetzung Bauteil'!$B$4:$BC$11,Database!$B10,FALSE())</f>
        <v>0</v>
      </c>
      <c r="E36" s="55" t="n">
        <f aca="false">HLOOKUP($V$23,'Daten-Funktion'!$B$4:$BC$11,Database!$B10,FALSE())</f>
        <v>0</v>
      </c>
      <c r="F36" s="54" t="n">
        <f aca="false">HLOOKUP($V$23,'Daten-THGE'!$B$4:$BC$11,Database!$B10,FALSE())</f>
        <v>0</v>
      </c>
      <c r="G36" s="54" t="n">
        <f aca="false">HLOOKUP($V$23,'Daten-Dichte'!$B$4:$BC$11,Database!$B10,FALSE())</f>
        <v>0</v>
      </c>
      <c r="H36" s="54" t="n">
        <f aca="false">HLOOKUP($V$23,'Daten-Dicke'!$B$4:$BC$11,Database!$B10,FALSE())</f>
        <v>0</v>
      </c>
      <c r="I36" s="57"/>
      <c r="J36" s="20" t="n">
        <f aca="false">IF(I36=0,G36*H36/100*F36,F36*G36*I36/1000)</f>
        <v>0</v>
      </c>
      <c r="W36" s="7"/>
      <c r="X36" s="54" t="str">
        <f aca="false">HLOOKUP($AK$30,'Daten-Zusammensetzung Bauteil'!$B$4:$BC$14,Database!$B11,FALSE())</f>
        <v>Trenn-/Schutzvlies [kg]</v>
      </c>
      <c r="Y36" s="55" t="str">
        <f aca="false">HLOOKUP($AK$30,'Daten-Funktion'!$B$4:$BC$14,Database!$B11,FALSE())</f>
        <v>F1.1</v>
      </c>
      <c r="Z36" s="54" t="n">
        <f aca="false">HLOOKUP($AK$30,'Daten-THGE'!$B$4:$BC$14,Database!$B11,FALSE())</f>
        <v>0.0921666666666667</v>
      </c>
      <c r="AA36" s="54" t="n">
        <f aca="false">HLOOKUP($AK$30,'Daten-Dichte'!$B$4:$BC$14,Database!$B11,FALSE())</f>
        <v>920</v>
      </c>
      <c r="AB36" s="54" t="n">
        <f aca="false">HLOOKUP($AK$30,'Daten-Dicke'!$B$4:$BC$14,Database!$B11,FALSE())</f>
        <v>0.0434782608695652</v>
      </c>
      <c r="AC36" s="57"/>
      <c r="AD36" s="20" t="n">
        <f aca="false">IF(AC36=0,AA36*AB36/100*Z36,Z36*AA36*AC36/1000)</f>
        <v>0.0368666666666667</v>
      </c>
      <c r="AE36" s="7"/>
      <c r="AF36" s="7"/>
      <c r="AG36" s="68" t="n">
        <f aca="false">IF(Y36="C4",1,0)</f>
        <v>0</v>
      </c>
      <c r="AH36" s="68" t="n">
        <f aca="false">IF(Y36="F1.1",1,0)</f>
        <v>1</v>
      </c>
      <c r="AI36" s="68" t="n">
        <f aca="false">IF(Y36="F1.2",1,0)</f>
        <v>0</v>
      </c>
    </row>
    <row r="37" customFormat="false" ht="15.75" hidden="false" customHeight="false" outlineLevel="0" collapsed="false">
      <c r="D37" s="54"/>
      <c r="E37" s="55"/>
      <c r="F37" s="54"/>
      <c r="G37" s="54"/>
      <c r="H37" s="54"/>
      <c r="M37" s="64" t="s">
        <v>284</v>
      </c>
      <c r="N37" s="64" t="s">
        <v>285</v>
      </c>
      <c r="O37" s="64" t="s">
        <v>286</v>
      </c>
      <c r="P37" s="64" t="s">
        <v>295</v>
      </c>
      <c r="Q37" s="64" t="s">
        <v>296</v>
      </c>
      <c r="R37" s="64" t="s">
        <v>273</v>
      </c>
      <c r="S37" s="64" t="s">
        <v>274</v>
      </c>
      <c r="T37" s="64" t="s">
        <v>275</v>
      </c>
      <c r="U37" s="64" t="s">
        <v>276</v>
      </c>
      <c r="W37" s="7"/>
      <c r="X37" s="54" t="str">
        <f aca="false">HLOOKUP($AK$30,'Daten-Zusammensetzung Bauteil'!$B$4:$BC$14,Database!$B12,FALSE())</f>
        <v>Kies 3 cm [kg]</v>
      </c>
      <c r="Y37" s="55" t="str">
        <f aca="false">HLOOKUP($AK$30,'Daten-Funktion'!$B$4:$BC$14,Database!$B12,FALSE())</f>
        <v>F1.2</v>
      </c>
      <c r="Z37" s="54" t="n">
        <f aca="false">HLOOKUP($AK$30,'Daten-THGE'!$B$4:$BC$14,Database!$B12,FALSE())</f>
        <v>0.000195</v>
      </c>
      <c r="AA37" s="54" t="n">
        <f aca="false">HLOOKUP($AK$30,'Daten-Dichte'!$B$4:$BC$14,Database!$B12,FALSE())</f>
        <v>2000</v>
      </c>
      <c r="AB37" s="54" t="n">
        <f aca="false">HLOOKUP($AK$30,'Daten-Dicke'!$B$4:$BC$14,Database!$B12,FALSE())</f>
        <v>3</v>
      </c>
      <c r="AC37" s="57"/>
      <c r="AD37" s="20" t="n">
        <f aca="false">IF(AC37=0,AA37*AB37/100*Z37,Z37*AA37*AC37/1000)</f>
        <v>0.0117</v>
      </c>
      <c r="AE37" s="7"/>
      <c r="AF37" s="7"/>
      <c r="AG37" s="68" t="n">
        <f aca="false">IF(Y37="C4",1,0)</f>
        <v>0</v>
      </c>
      <c r="AH37" s="68" t="n">
        <f aca="false">IF(Y37="F1.1",1,0)</f>
        <v>0</v>
      </c>
      <c r="AI37" s="68" t="n">
        <f aca="false">IF(Y37="F1.2",1,0)</f>
        <v>1</v>
      </c>
    </row>
    <row r="38" customFormat="false" ht="20.25" hidden="false" customHeight="false" outlineLevel="0" collapsed="false">
      <c r="B38" s="6" t="s">
        <v>266</v>
      </c>
      <c r="C38" s="6"/>
      <c r="D38" s="37" t="s">
        <v>257</v>
      </c>
      <c r="E38" s="52"/>
      <c r="F38" s="37" t="s">
        <v>259</v>
      </c>
      <c r="G38" s="37" t="s">
        <v>260</v>
      </c>
      <c r="H38" s="37" t="s">
        <v>261</v>
      </c>
      <c r="I38" s="53" t="s">
        <v>262</v>
      </c>
      <c r="J38" s="37" t="s">
        <v>263</v>
      </c>
      <c r="K38" s="8" t="s">
        <v>102</v>
      </c>
      <c r="L38" s="7"/>
      <c r="W38" s="7"/>
      <c r="X38" s="54" t="n">
        <f aca="false">HLOOKUP($AK$30,'Daten-Zusammensetzung Bauteil'!$B$4:$BC$14,Database!$B13,FALSE())</f>
        <v>0</v>
      </c>
      <c r="Y38" s="55" t="n">
        <f aca="false">HLOOKUP($AK$30,'Daten-Funktion'!$B$4:$BC$14,Database!$B13,FALSE())</f>
        <v>0</v>
      </c>
      <c r="Z38" s="54" t="n">
        <f aca="false">HLOOKUP($AK$30,'Daten-THGE'!$B$4:$BC$14,Database!$B13,FALSE())</f>
        <v>0</v>
      </c>
      <c r="AA38" s="54" t="n">
        <f aca="false">HLOOKUP($AK$30,'Daten-Dichte'!$B$4:$BC$14,Database!$B13,FALSE())</f>
        <v>0</v>
      </c>
      <c r="AB38" s="54" t="n">
        <f aca="false">HLOOKUP($AK$30,'Daten-Dicke'!$B$4:$BC$14,Database!$B13,FALSE())</f>
        <v>0</v>
      </c>
      <c r="AC38" s="57"/>
      <c r="AD38" s="20" t="n">
        <f aca="false">IF(AC38=0,AA38*AB38/100*Z38,Z38*AA38*AC38/1000)</f>
        <v>0</v>
      </c>
      <c r="AE38" s="7"/>
      <c r="AF38" s="7"/>
      <c r="AG38" s="82" t="n">
        <f aca="false">IF(Y38="C4",1,0)</f>
        <v>0</v>
      </c>
      <c r="AH38" s="82" t="n">
        <f aca="false">IF(Y38="F1.1",1,0)</f>
        <v>0</v>
      </c>
      <c r="AI38" s="82" t="n">
        <f aca="false">IF(Y38="F1.2",1,0)</f>
        <v>0</v>
      </c>
    </row>
    <row r="39" customFormat="false" ht="15.75" hidden="false" customHeight="false" outlineLevel="0" collapsed="false">
      <c r="B39" s="37" t="s">
        <v>83</v>
      </c>
      <c r="C39" s="37" t="s">
        <v>299</v>
      </c>
      <c r="D39" s="54" t="str">
        <f aca="false">HLOOKUP($V$40,'Daten-Zusammensetzung Bauteil'!$B$4:$BC$14,Database!$B4,FALSE())</f>
        <v>Hochbaubeton 25 cm [kg]</v>
      </c>
      <c r="E39" s="55" t="str">
        <f aca="false">MID(HLOOKUP($V$40,'Daten-Funktion'!$B$4:$BC$14,Database!$B4,FALSE()),1,2)</f>
        <v>C4</v>
      </c>
      <c r="F39" s="54" t="n">
        <f aca="false">HLOOKUP($V$40,'Daten-THGE'!$B$4:$BC$14,Database!$B4,FALSE())</f>
        <v>0.00165333333333333</v>
      </c>
      <c r="G39" s="54" t="n">
        <f aca="false">HLOOKUP($V$40,'Daten-Dichte'!$B$4:$BC$14,Database!$B4,FALSE())</f>
        <v>2300</v>
      </c>
      <c r="H39" s="54" t="n">
        <f aca="false">HLOOKUP($V$40,'Daten-Dicke'!$B$4:$BC$14,Database!$B4,FALSE())</f>
        <v>24.7133757961783</v>
      </c>
      <c r="I39" s="9"/>
      <c r="J39" s="20" t="n">
        <f aca="false">IF(I39=0,G39*H39/100*F39,F39*G39*I39/1000)</f>
        <v>0.939767303609342</v>
      </c>
      <c r="K39" s="56" t="n">
        <f aca="false">SUM(J39:J53)*Gebäude!$C$38</f>
        <v>1879.29760757962</v>
      </c>
      <c r="L39" s="37" t="s">
        <v>31</v>
      </c>
      <c r="M39" s="68" t="n">
        <f aca="false">IF(E39="C4",1,0)</f>
        <v>1</v>
      </c>
      <c r="N39" s="68" t="n">
        <f aca="false">IF(E39="G4.1",1,0)</f>
        <v>0</v>
      </c>
      <c r="O39" s="68" t="n">
        <f aca="false">IF(E39="G4.2",1,0)</f>
        <v>0</v>
      </c>
      <c r="P39" s="68" t="n">
        <f aca="false">IF(E39="F1.2",1,0)</f>
        <v>0</v>
      </c>
      <c r="Q39" s="68" t="n">
        <f aca="false">IF(E39="F1.3",1,0)</f>
        <v>0</v>
      </c>
      <c r="R39" s="68" t="n">
        <f aca="false">IF(E39="E2.1",1,0)</f>
        <v>0</v>
      </c>
      <c r="S39" s="68" t="n">
        <f aca="false">IF(E39="E2.2",1,0)</f>
        <v>0</v>
      </c>
      <c r="T39" s="68" t="n">
        <f aca="false">IF(E39="E2.3",1,0)</f>
        <v>0</v>
      </c>
      <c r="U39" s="68" t="n">
        <f aca="false">IF(E39="E2.4",1,0)</f>
        <v>0</v>
      </c>
      <c r="AG39" s="68" t="n">
        <f aca="false">IF(AK31=0,0,SUMPRODUCT(AD29:AD38*AG29:AG38)/SUM(AD29:AD38))</f>
        <v>0</v>
      </c>
      <c r="AH39" s="68" t="n">
        <f aca="false">IF(AK31=0,0,SUMPRODUCT(AD29:AD38*AH29:AH38)/SUM(AD29:AD38))</f>
        <v>0</v>
      </c>
      <c r="AI39" s="68" t="n">
        <f aca="false">IF(AK31=0,0,SUMPRODUCT(AD29:AD38*AI29:AI38)/SUM(AD29:AD38))</f>
        <v>0</v>
      </c>
      <c r="AJ39" s="68" t="n">
        <f aca="false">SUM(AG39:AI39)</f>
        <v>0</v>
      </c>
    </row>
    <row r="40" customFormat="false" ht="15.75" hidden="false" customHeight="false" outlineLevel="0" collapsed="false">
      <c r="B40" s="37" t="str">
        <f aca="false">Gebäude!$G$25</f>
        <v>Massivbauweise</v>
      </c>
      <c r="C40" s="37"/>
      <c r="D40" s="54" t="str">
        <f aca="false">HLOOKUP($V$40,'Daten-Zusammensetzung Bauteil'!$B$4:$BC$14,Database!$B5,FALSE())</f>
        <v>Armierungsstahl (Bewehurngsgehalt 90 kg/m3) [kg]</v>
      </c>
      <c r="E40" s="55" t="str">
        <f aca="false">MID(HLOOKUP($V$40,'Daten-Funktion'!$B$4:$BC$14,Database!$B5,FALSE()),1,2)</f>
        <v>C4</v>
      </c>
      <c r="F40" s="54" t="n">
        <f aca="false">HLOOKUP($V$40,'Daten-THGE'!$B$4:$BC$14,Database!$B5,FALSE())</f>
        <v>0.0113666666666667</v>
      </c>
      <c r="G40" s="54" t="n">
        <f aca="false">HLOOKUP($V$40,'Daten-Dichte'!$B$4:$BC$14,Database!$B5,FALSE())</f>
        <v>7850</v>
      </c>
      <c r="H40" s="54" t="n">
        <f aca="false">HLOOKUP($V$40,'Daten-Dicke'!$B$4:$BC$14,Database!$B5,FALSE())</f>
        <v>0.286624203821656</v>
      </c>
      <c r="I40" s="9"/>
      <c r="J40" s="20" t="n">
        <f aca="false">IF(I40=0,G40*H40/100*F40,F40*G40*I40/1000)</f>
        <v>0.25575</v>
      </c>
      <c r="K40" s="54"/>
      <c r="L40" s="7"/>
      <c r="M40" s="68" t="n">
        <f aca="false">IF(E40="C4",1,0)</f>
        <v>1</v>
      </c>
      <c r="N40" s="68" t="n">
        <f aca="false">IF(E40="G4.1",1,0)</f>
        <v>0</v>
      </c>
      <c r="O40" s="68" t="n">
        <f aca="false">IF(E40="G4.2",1,0)</f>
        <v>0</v>
      </c>
      <c r="P40" s="68" t="n">
        <f aca="false">IF(E40="F1.2",1,0)</f>
        <v>0</v>
      </c>
      <c r="Q40" s="68" t="n">
        <f aca="false">IF(E40="F1.3",1,0)</f>
        <v>0</v>
      </c>
      <c r="R40" s="68" t="n">
        <f aca="false">IF(E40="E2.1",1,0)</f>
        <v>0</v>
      </c>
      <c r="S40" s="68" t="n">
        <f aca="false">IF(E40="E2.2",1,0)</f>
        <v>0</v>
      </c>
      <c r="T40" s="68" t="n">
        <f aca="false">IF(E40="E2.3",1,0)</f>
        <v>0</v>
      </c>
      <c r="U40" s="68" t="n">
        <f aca="false">IF(E40="E2.4",1,0)</f>
        <v>0</v>
      </c>
      <c r="V40" s="76" t="str">
        <f aca="false">IF($B$40=Database!$Y$29,VLOOKUP('Dach unter &amp; über Terrain'!$B$42,Database!$S$46:$U$49,IF('Dach unter &amp; über Terrain'!$B$41=Database!$T$45,2,3),FALSE()),VLOOKUP($B$40,Database!$Y$30:$AI$31,11,FALSE()))</f>
        <v>4a</v>
      </c>
      <c r="W40" s="59" t="s">
        <v>265</v>
      </c>
    </row>
    <row r="41" customFormat="false" ht="20.25" hidden="false" customHeight="false" outlineLevel="0" collapsed="false">
      <c r="B41" s="37" t="str">
        <f aca="false">Gebäude!$G$35</f>
        <v>Flachdach</v>
      </c>
      <c r="C41" s="7"/>
      <c r="D41" s="54" t="str">
        <f aca="false">HLOOKUP($V$40,'Daten-Zusammensetzung Bauteil'!$B$4:$BC$14,Database!$B6,FALSE())</f>
        <v>3-SP Schalung 2.5cm (Annahme 5xverwendet) [kg]</v>
      </c>
      <c r="E41" s="55" t="str">
        <f aca="false">MID(HLOOKUP($V$40,'Daten-Funktion'!$B$4:$BC$14,Database!$B6,FALSE()),1,2)</f>
        <v>C4</v>
      </c>
      <c r="F41" s="54" t="n">
        <f aca="false">HLOOKUP($V$40,'Daten-THGE'!$B$4:$BC$14,Database!$B6,FALSE())</f>
        <v>0.00871666666666667</v>
      </c>
      <c r="G41" s="54" t="n">
        <f aca="false">HLOOKUP($V$40,'Daten-Dichte'!$B$4:$BC$14,Database!$B6,FALSE())</f>
        <v>470</v>
      </c>
      <c r="H41" s="54" t="n">
        <f aca="false">HLOOKUP($V$40,'Daten-Dicke'!$B$4:$BC$14,Database!$B6,FALSE())</f>
        <v>1</v>
      </c>
      <c r="I41" s="57"/>
      <c r="J41" s="20" t="n">
        <f aca="false">IF(I41=0,G41*H41/100*F41,F41*G41*I41/1000)</f>
        <v>0.0409683333333333</v>
      </c>
      <c r="K41" s="7"/>
      <c r="L41" s="7"/>
      <c r="M41" s="68" t="n">
        <f aca="false">IF(E41="C4",1,0)</f>
        <v>1</v>
      </c>
      <c r="N41" s="68" t="n">
        <f aca="false">IF(E41="G4.1",1,0)</f>
        <v>0</v>
      </c>
      <c r="O41" s="68" t="n">
        <f aca="false">IF(E41="G4.2",1,0)</f>
        <v>0</v>
      </c>
      <c r="P41" s="68" t="n">
        <f aca="false">IF(E41="F1.2",1,0)</f>
        <v>0</v>
      </c>
      <c r="Q41" s="68" t="n">
        <f aca="false">IF(E41="F1.3",1,0)</f>
        <v>0</v>
      </c>
      <c r="R41" s="68" t="n">
        <f aca="false">IF(E41="E2.1",1,0)</f>
        <v>0</v>
      </c>
      <c r="S41" s="68" t="n">
        <f aca="false">IF(E41="E2.2",1,0)</f>
        <v>0</v>
      </c>
      <c r="T41" s="68" t="n">
        <f aca="false">IF(E41="E2.3",1,0)</f>
        <v>0</v>
      </c>
      <c r="U41" s="68" t="n">
        <f aca="false">IF(E41="E2.4",1,0)</f>
        <v>0</v>
      </c>
      <c r="V41" s="76" t="str">
        <f aca="false">IF($B$40=Database!$Y$29,VLOOKUP('Dach unter &amp; über Terrain'!$B$43,Database!$S$46:$U$49,IF('Dach unter &amp; über Terrain'!$B$41=Database!$T$45,2,3),FALSE()),VLOOKUP($B$43,Database!$S$69:$T$70,2,FALSE()))</f>
        <v>5c</v>
      </c>
      <c r="W41" s="6" t="s">
        <v>266</v>
      </c>
      <c r="X41" s="37" t="s">
        <v>257</v>
      </c>
      <c r="Y41" s="52"/>
      <c r="Z41" s="37" t="s">
        <v>259</v>
      </c>
      <c r="AA41" s="37" t="s">
        <v>260</v>
      </c>
      <c r="AB41" s="37" t="s">
        <v>261</v>
      </c>
      <c r="AC41" s="53" t="s">
        <v>262</v>
      </c>
      <c r="AD41" s="37" t="s">
        <v>263</v>
      </c>
      <c r="AE41" s="8" t="s">
        <v>102</v>
      </c>
      <c r="AF41" s="7"/>
    </row>
    <row r="42" customFormat="false" ht="15.75" hidden="false" customHeight="false" outlineLevel="0" collapsed="false">
      <c r="B42" s="37" t="str">
        <f aca="false">Gebäude!$G$36</f>
        <v>Dach 1</v>
      </c>
      <c r="C42" s="7"/>
      <c r="D42" s="54" t="str">
        <f aca="false">HLOOKUP($V$40,'Daten-Zusammensetzung Bauteil'!$B$4:$BC$14,Database!$B7,FALSE())</f>
        <v>Kalk-Zementgrundputz [kg]</v>
      </c>
      <c r="E42" s="55" t="str">
        <f aca="false">MID(HLOOKUP($V$40,'Daten-Funktion'!$B$4:$BC$14,Database!$B7,FALSE()),1,2)</f>
        <v>G4</v>
      </c>
      <c r="F42" s="54" t="n">
        <f aca="false">HLOOKUP($V$40,'Daten-THGE'!$B$4:$BC$14,Database!$B7,FALSE())</f>
        <v>0.00823333333333333</v>
      </c>
      <c r="G42" s="54" t="n">
        <f aca="false">HLOOKUP($V$40,'Daten-Dichte'!$B$4:$BC$14,Database!$B7,FALSE())</f>
        <v>1550</v>
      </c>
      <c r="H42" s="54" t="n">
        <f aca="false">HLOOKUP($V$40,'Daten-Dicke'!$B$4:$BC$14,Database!$B7,FALSE())</f>
        <v>1.16129032258065</v>
      </c>
      <c r="I42" s="57"/>
      <c r="J42" s="20" t="n">
        <f aca="false">IF(I42=0,G42*H42/100*F42,F42*G42*I42/1000)</f>
        <v>0.1482</v>
      </c>
      <c r="K42" s="7"/>
      <c r="L42" s="7"/>
      <c r="M42" s="68" t="n">
        <f aca="false">IF(E42="C4",1,0)</f>
        <v>0</v>
      </c>
      <c r="N42" s="68" t="n">
        <f aca="false">IF(E42="G4.1",1,0)</f>
        <v>0</v>
      </c>
      <c r="O42" s="68" t="n">
        <f aca="false">IF(E42="G4.2",1,0)</f>
        <v>0</v>
      </c>
      <c r="P42" s="68" t="n">
        <f aca="false">IF(E42="F1.2",1,0)</f>
        <v>0</v>
      </c>
      <c r="Q42" s="68" t="n">
        <f aca="false">IF(E42="F1.3",1,0)</f>
        <v>0</v>
      </c>
      <c r="R42" s="68" t="n">
        <f aca="false">IF(E42="E2.1",1,0)</f>
        <v>0</v>
      </c>
      <c r="S42" s="68" t="n">
        <f aca="false">IF(E42="E2.2",1,0)</f>
        <v>0</v>
      </c>
      <c r="T42" s="68" t="n">
        <f aca="false">IF(E42="E2.3",1,0)</f>
        <v>0</v>
      </c>
      <c r="U42" s="68" t="n">
        <f aca="false">IF(E42="E2.4",1,0)</f>
        <v>0</v>
      </c>
      <c r="W42" s="37" t="s">
        <v>73</v>
      </c>
      <c r="X42" s="54" t="str">
        <f aca="false">HLOOKUP($AK$43,'Daten-Zusammensetzung Bauteil'!$B$4:$BC$14,Database!$B4,FALSE())</f>
        <v>Hochbaubeton 30 cm [kg]</v>
      </c>
      <c r="Y42" s="55" t="str">
        <f aca="false">MID(HLOOKUP($AK$43,'Daten-Funktion'!$B$4:$BC$14,Database!$B4,FALSE()),1,2)</f>
        <v>C4</v>
      </c>
      <c r="Z42" s="54" t="n">
        <f aca="false">HLOOKUP($AK$43,'Daten-THGE'!$B$4:$BC$14,Database!$B4,FALSE())</f>
        <v>0.00165333333333333</v>
      </c>
      <c r="AA42" s="54" t="n">
        <f aca="false">HLOOKUP($AK$43,'Daten-Dichte'!$B$4:$BC$14,Database!$B4,FALSE())</f>
        <v>2300</v>
      </c>
      <c r="AB42" s="54" t="n">
        <f aca="false">HLOOKUP($AK$43,'Daten-Dicke'!$B$4:$BC$14,Database!$B4,FALSE())</f>
        <v>29.5700636942675</v>
      </c>
      <c r="AC42" s="9"/>
      <c r="AD42" s="20" t="n">
        <f aca="false">IF(AC42=0,AA42*AB42/100*Z42,Z42*AA42*AC42/1000)</f>
        <v>1.12445095541401</v>
      </c>
      <c r="AE42" s="56" t="n">
        <f aca="false">IF(W44=Database!D15,0,SUM(AD42:AD51)*W47)</f>
        <v>0</v>
      </c>
      <c r="AF42" s="37" t="s">
        <v>31</v>
      </c>
    </row>
    <row r="43" customFormat="false" ht="15.75" hidden="false" customHeight="false" outlineLevel="0" collapsed="false">
      <c r="B43" s="37" t="str">
        <f aca="false">Gebäude!$G$37</f>
        <v>Dach Eindeckung 2</v>
      </c>
      <c r="C43" s="7"/>
      <c r="D43" s="54" t="str">
        <f aca="false">HLOOKUP($V$40,'Daten-Zusammensetzung Bauteil'!$B$4:$BC$14,Database!$B8,FALSE())</f>
        <v>Deckputz (Weissputz) [kg]</v>
      </c>
      <c r="E43" s="55" t="str">
        <f aca="false">HLOOKUP($V$40,'Daten-Funktion'!$B$4:$BC$14,Database!$B8,FALSE())</f>
        <v>G4.2</v>
      </c>
      <c r="F43" s="54" t="n">
        <f aca="false">HLOOKUP($V$40,'Daten-THGE'!$B$4:$BC$14,Database!$B8,FALSE())</f>
        <v>0.0049</v>
      </c>
      <c r="G43" s="54" t="n">
        <f aca="false">HLOOKUP($V$40,'Daten-Dichte'!$B$4:$BC$14,Database!$B8,FALSE())</f>
        <v>1100</v>
      </c>
      <c r="H43" s="54" t="n">
        <f aca="false">HLOOKUP($V$40,'Daten-Dicke'!$B$4:$BC$14,Database!$B8,FALSE())</f>
        <v>0.318181818181818</v>
      </c>
      <c r="I43" s="57"/>
      <c r="J43" s="20" t="n">
        <f aca="false">IF(I43=0,G43*H43/100*F43,F43*G43*I43/1000)</f>
        <v>0.01715</v>
      </c>
      <c r="K43" s="7"/>
      <c r="L43" s="7"/>
      <c r="M43" s="68" t="n">
        <f aca="false">IF(E43="C4",1,0)</f>
        <v>0</v>
      </c>
      <c r="N43" s="68" t="n">
        <f aca="false">IF(E43="G4.1",1,0)</f>
        <v>0</v>
      </c>
      <c r="O43" s="68" t="n">
        <f aca="false">IF(E43="G4.2",1,0)</f>
        <v>1</v>
      </c>
      <c r="P43" s="68" t="n">
        <f aca="false">IF(E43="F1.2",1,0)</f>
        <v>0</v>
      </c>
      <c r="Q43" s="68" t="n">
        <f aca="false">IF(E43="F1.3",1,0)</f>
        <v>0</v>
      </c>
      <c r="R43" s="68" t="n">
        <f aca="false">IF(E43="E2.1",1,0)</f>
        <v>0</v>
      </c>
      <c r="S43" s="68" t="n">
        <f aca="false">IF(E43="E2.2",1,0)</f>
        <v>0</v>
      </c>
      <c r="T43" s="68" t="n">
        <f aca="false">IF(E43="E2.3",1,0)</f>
        <v>0</v>
      </c>
      <c r="U43" s="68" t="n">
        <f aca="false">IF(E43="E2.4",1,0)</f>
        <v>0</v>
      </c>
      <c r="W43" s="53" t="s">
        <v>104</v>
      </c>
      <c r="X43" s="54" t="str">
        <f aca="false">HLOOKUP($AK$43,'Daten-Zusammensetzung Bauteil'!$B$4:$BC$14,Database!$B5,FALSE())</f>
        <v>Armierungsstahl [kg]</v>
      </c>
      <c r="Y43" s="55" t="str">
        <f aca="false">MID(HLOOKUP($AK$43,'Daten-Funktion'!$B$4:$BC$14,Database!$B5,FALSE()),1,2)</f>
        <v>C4</v>
      </c>
      <c r="Z43" s="54" t="n">
        <f aca="false">HLOOKUP($AK$43,'Daten-THGE'!$B$4:$BC$14,Database!$B5,FALSE())</f>
        <v>0.0113666666666667</v>
      </c>
      <c r="AA43" s="54" t="n">
        <f aca="false">HLOOKUP($AK$43,'Daten-Dichte'!$B$4:$BC$14,Database!$B5,FALSE())</f>
        <v>7850</v>
      </c>
      <c r="AB43" s="54" t="n">
        <f aca="false">HLOOKUP($AK$43,'Daten-Dicke'!$B$4:$BC$14,Database!$B5,FALSE())</f>
        <v>0.429936305732484</v>
      </c>
      <c r="AC43" s="9"/>
      <c r="AD43" s="20" t="n">
        <f aca="false">IF(AC43=0,AA43*AB43/100*Z43,Z43*AA43*AC43/1000)</f>
        <v>0.383625</v>
      </c>
      <c r="AE43" s="54"/>
      <c r="AF43" s="7"/>
      <c r="AK43" s="76" t="str">
        <f aca="false">IF($W$43=Database!$Y$29,VLOOKUP($W$45,Database!$V$46:$W$47,2,FALSE()),IF($W$43=Database!$Y$30,VLOOKUP('Dach unter &amp; über Terrain'!$W$45,Database!$U$69:$V$70,2,FALSE()),VLOOKUP('Dach unter &amp; über Terrain'!$W$45,Database!$U$84:$V$85,2,FALSE())))</f>
        <v>8b</v>
      </c>
    </row>
    <row r="44" customFormat="false" ht="15.75" hidden="false" customHeight="false" outlineLevel="0" collapsed="false">
      <c r="B44" s="7"/>
      <c r="C44" s="7"/>
      <c r="D44" s="54" t="str">
        <f aca="false">HLOOKUP($V$40,'Daten-Zusammensetzung Bauteil'!$B$4:$BC$14,Database!$B9,FALSE())</f>
        <v>Wanddispersion [m2]</v>
      </c>
      <c r="E44" s="55" t="str">
        <f aca="false">HLOOKUP($V$40,'Daten-Funktion'!$B$4:$BC$14,Database!$B9,FALSE())</f>
        <v>G4.2</v>
      </c>
      <c r="F44" s="54" t="n">
        <f aca="false">HLOOKUP($V$40,'Daten-THGE'!$B$4:$BC$14,Database!$B9,FALSE())</f>
        <v>0.151111111111111</v>
      </c>
      <c r="G44" s="54" t="n">
        <f aca="false">HLOOKUP($V$40,'Daten-Dichte'!$B$4:$BC$14,Database!$B9,FALSE())</f>
        <v>150</v>
      </c>
      <c r="H44" s="54" t="n">
        <f aca="false">HLOOKUP($V$40,'Daten-Dicke'!$B$4:$BC$14,Database!$B9,FALSE())</f>
        <v>0.2</v>
      </c>
      <c r="I44" s="57"/>
      <c r="J44" s="20" t="n">
        <f aca="false">IF(I44=0,G44*H44/100*F44,F44*G44*I44/1000)</f>
        <v>0.0453333333333333</v>
      </c>
      <c r="K44" s="7"/>
      <c r="L44" s="7"/>
      <c r="M44" s="68" t="n">
        <f aca="false">IF(E44="C4",1,0)</f>
        <v>0</v>
      </c>
      <c r="N44" s="68" t="n">
        <f aca="false">IF(E44="G4.1",1,0)</f>
        <v>0</v>
      </c>
      <c r="O44" s="68" t="n">
        <f aca="false">IF(E44="G4.2",1,0)</f>
        <v>1</v>
      </c>
      <c r="P44" s="68" t="n">
        <f aca="false">IF(E44="F1.2",1,0)</f>
        <v>0</v>
      </c>
      <c r="Q44" s="68" t="n">
        <f aca="false">IF(E44="F1.3",1,0)</f>
        <v>0</v>
      </c>
      <c r="R44" s="68" t="n">
        <f aca="false">IF(E44="E2.1",1,0)</f>
        <v>0</v>
      </c>
      <c r="S44" s="68" t="n">
        <f aca="false">IF(E44="E2.2",1,0)</f>
        <v>0</v>
      </c>
      <c r="T44" s="68" t="n">
        <f aca="false">IF(E44="E2.3",1,0)</f>
        <v>0</v>
      </c>
      <c r="U44" s="68" t="n">
        <f aca="false">IF(E44="E2.4",1,0)</f>
        <v>0</v>
      </c>
      <c r="W44" s="53" t="s">
        <v>62</v>
      </c>
      <c r="X44" s="54" t="str">
        <f aca="false">HLOOKUP($AK$43,'Daten-Zusammensetzung Bauteil'!$B$4:$BC$14,Database!$B6,FALSE())</f>
        <v>3-SP Schalung 2.5 cm (Annahme 5xverwendet) [kg]</v>
      </c>
      <c r="Y44" s="55" t="str">
        <f aca="false">MID(HLOOKUP($AK$43,'Daten-Funktion'!$B$4:$BC$14,Database!$B6,FALSE()),1,2)</f>
        <v>C4</v>
      </c>
      <c r="Z44" s="54" t="n">
        <f aca="false">HLOOKUP($AK$43,'Daten-THGE'!$B$4:$BC$14,Database!$B6,FALSE())</f>
        <v>0.00871666666666667</v>
      </c>
      <c r="AA44" s="54" t="n">
        <f aca="false">HLOOKUP($AK$43,'Daten-Dichte'!$B$4:$BC$14,Database!$B6,FALSE())</f>
        <v>470</v>
      </c>
      <c r="AB44" s="54" t="n">
        <f aca="false">HLOOKUP($AK$43,'Daten-Dicke'!$B$4:$BC$14,Database!$B6,FALSE())</f>
        <v>1</v>
      </c>
      <c r="AC44" s="57"/>
      <c r="AD44" s="20" t="n">
        <f aca="false">IF(AC44=0,AA44*AB44/100*Z44,Z44*AA44*AC44/1000)</f>
        <v>0.0409683333333333</v>
      </c>
      <c r="AE44" s="7"/>
      <c r="AF44" s="7"/>
      <c r="AK44" s="76"/>
    </row>
    <row r="45" customFormat="false" ht="15.75" hidden="false" customHeight="false" outlineLevel="0" collapsed="false">
      <c r="B45" s="7"/>
      <c r="C45" s="7"/>
      <c r="D45" s="54" t="n">
        <f aca="false">HLOOKUP($V$40,'Daten-Zusammensetzung Bauteil'!$B$4:$BC$14,Database!$B10,FALSE())</f>
        <v>0</v>
      </c>
      <c r="E45" s="55" t="n">
        <f aca="false">HLOOKUP($V$40,'Daten-Funktion'!$B$4:$BC$14,Database!$B10,FALSE())</f>
        <v>0</v>
      </c>
      <c r="F45" s="54" t="n">
        <f aca="false">HLOOKUP($V$40,'Daten-THGE'!$B$4:$BC$14,Database!$B10,FALSE())</f>
        <v>0</v>
      </c>
      <c r="G45" s="54" t="n">
        <f aca="false">HLOOKUP($V$40,'Daten-Dichte'!$B$4:$BC$14,Database!$B10,FALSE())</f>
        <v>0</v>
      </c>
      <c r="H45" s="54" t="n">
        <f aca="false">HLOOKUP($V$40,'Daten-Dicke'!$B$4:$BC$14,Database!$B10,FALSE())</f>
        <v>0</v>
      </c>
      <c r="I45" s="57"/>
      <c r="J45" s="20" t="n">
        <f aca="false">IF(I45=0,G45*H45/100*F45,F45*G45*I45/1000)</f>
        <v>0</v>
      </c>
      <c r="K45" s="7"/>
      <c r="L45" s="7"/>
      <c r="M45" s="68" t="n">
        <f aca="false">IF(E45="C4",1,0)</f>
        <v>0</v>
      </c>
      <c r="N45" s="68" t="n">
        <f aca="false">IF(E45="G4.1",1,0)</f>
        <v>0</v>
      </c>
      <c r="O45" s="68" t="n">
        <f aca="false">IF(E45="G4.2",1,0)</f>
        <v>0</v>
      </c>
      <c r="P45" s="68" t="n">
        <f aca="false">IF(E45="F1.2",1,0)</f>
        <v>0</v>
      </c>
      <c r="Q45" s="68" t="n">
        <f aca="false">IF(E45="F1.3",1,0)</f>
        <v>0</v>
      </c>
      <c r="R45" s="68" t="n">
        <f aca="false">IF(E45="E2.1",1,0)</f>
        <v>0</v>
      </c>
      <c r="S45" s="68" t="n">
        <f aca="false">IF(E45="E2.2",1,0)</f>
        <v>0</v>
      </c>
      <c r="T45" s="68" t="n">
        <f aca="false">IF(E45="E2.3",1,0)</f>
        <v>0</v>
      </c>
      <c r="U45" s="68" t="n">
        <f aca="false">IF(E45="E2.4",1,0)</f>
        <v>0</v>
      </c>
      <c r="W45" s="53" t="s">
        <v>117</v>
      </c>
      <c r="X45" s="54" t="str">
        <f aca="false">HLOOKUP($AK$43,'Daten-Zusammensetzung Bauteil'!$B$4:$BC$14,Database!$B7,FALSE())</f>
        <v>Bitumenemulsion [m2]</v>
      </c>
      <c r="Y45" s="55" t="str">
        <f aca="false">HLOOKUP($AK$43,'Daten-Funktion'!$B$4:$BC$14,Database!$B7,FALSE())</f>
        <v>F1.1</v>
      </c>
      <c r="Z45" s="54" t="n">
        <f aca="false">HLOOKUP($AK$43,'Daten-THGE'!$B$4:$BC$14,Database!$B7,FALSE())</f>
        <v>0.0470666666666667</v>
      </c>
      <c r="AA45" s="54" t="n">
        <f aca="false">HLOOKUP($AK$43,'Daten-Dichte'!$B$4:$BC$14,Database!$B7,FALSE())</f>
        <v>250</v>
      </c>
      <c r="AB45" s="54" t="n">
        <f aca="false">HLOOKUP($AK$43,'Daten-Dicke'!$B$4:$BC$14,Database!$B7,FALSE())</f>
        <v>0.1</v>
      </c>
      <c r="AC45" s="57"/>
      <c r="AD45" s="20" t="n">
        <f aca="false">IF(AC45=0,AA45*AB45/100*Z45,Z45*AA45*AC45/1000)</f>
        <v>0.0117666666666667</v>
      </c>
      <c r="AE45" s="7"/>
      <c r="AF45" s="7"/>
      <c r="AK45" s="76"/>
    </row>
    <row r="46" customFormat="false" ht="15.75" hidden="false" customHeight="false" outlineLevel="0" collapsed="false">
      <c r="B46" s="7"/>
      <c r="D46" s="54"/>
      <c r="E46" s="55"/>
      <c r="F46" s="54"/>
      <c r="G46" s="54"/>
      <c r="H46" s="54"/>
      <c r="I46" s="54"/>
      <c r="J46" s="20"/>
      <c r="K46" s="7"/>
      <c r="L46" s="7"/>
      <c r="N46" s="79"/>
      <c r="O46" s="79"/>
      <c r="P46" s="79"/>
      <c r="Q46" s="79"/>
      <c r="R46" s="79"/>
      <c r="S46" s="79"/>
      <c r="T46" s="79"/>
      <c r="U46" s="79"/>
      <c r="W46" s="53" t="s">
        <v>301</v>
      </c>
      <c r="X46" s="54" t="str">
        <f aca="false">HLOOKUP($AK$43,'Daten-Zusammensetzung Bauteil'!$B$4:$BC$14,Database!$B8,FALSE())</f>
        <v>Polymerbitumenbahn EP4 [kg]</v>
      </c>
      <c r="Y46" s="55" t="str">
        <f aca="false">HLOOKUP($AK$43,'Daten-Funktion'!$B$4:$BC$14,Database!$B8,FALSE())</f>
        <v>F1.1</v>
      </c>
      <c r="Z46" s="54" t="n">
        <f aca="false">HLOOKUP($AK$43,'Daten-THGE'!$B$4:$BC$14,Database!$B8,FALSE())</f>
        <v>0.0511666666666667</v>
      </c>
      <c r="AA46" s="54" t="n">
        <f aca="false">HLOOKUP($AK$43,'Daten-Dichte'!$B$4:$BC$14,Database!$B8,FALSE())</f>
        <v>1175</v>
      </c>
      <c r="AB46" s="54" t="n">
        <f aca="false">HLOOKUP($AK$43,'Daten-Dicke'!$B$4:$BC$14,Database!$B8,FALSE())</f>
        <v>0.4</v>
      </c>
      <c r="AC46" s="57"/>
      <c r="AD46" s="20" t="n">
        <f aca="false">IF(AC46=0,AA46*AB46/100*Z46,Z46*AA46*AC46/1000)</f>
        <v>0.240483333333333</v>
      </c>
      <c r="AE46" s="7"/>
      <c r="AF46" s="7"/>
      <c r="AK46" s="76"/>
    </row>
    <row r="47" customFormat="false" ht="15.75" hidden="false" customHeight="false" outlineLevel="0" collapsed="false">
      <c r="B47" s="7"/>
      <c r="C47" s="37" t="s">
        <v>300</v>
      </c>
      <c r="D47" s="54" t="str">
        <f aca="false">HLOOKUP($V$41,'Daten-Zusammensetzung Bauteil'!$B$4:$BC$14,Database!$B4,FALSE())</f>
        <v>Steinwolle 28 cm, 160kg/m3 [kg]</v>
      </c>
      <c r="E47" s="55" t="str">
        <f aca="false">HLOOKUP($V$41,'Daten-Funktion'!$B$4:$BC$14,Database!$B4,FALSE())</f>
        <v>F1.2</v>
      </c>
      <c r="F47" s="54" t="n">
        <f aca="false">HLOOKUP($V$41,'Daten-THGE'!$B$4:$BC$14,Database!$B4,FALSE())</f>
        <v>0.0376666666666667</v>
      </c>
      <c r="G47" s="54" t="n">
        <f aca="false">HLOOKUP($V$41,'Daten-Dichte'!$B$4:$BC$14,Database!$B4,FALSE())</f>
        <v>160</v>
      </c>
      <c r="H47" s="54" t="n">
        <f aca="false">HLOOKUP($V$41,'Daten-Dicke'!$B$4:$BC$14,Database!$B4,FALSE())</f>
        <v>28</v>
      </c>
      <c r="I47" s="57"/>
      <c r="J47" s="20" t="n">
        <f aca="false">IF(I47=0,G47*H47/100*F47,F47*G47*I47/1000)</f>
        <v>1.68746666666667</v>
      </c>
      <c r="K47" s="7"/>
      <c r="L47" s="7"/>
      <c r="M47" s="68" t="n">
        <v>0</v>
      </c>
      <c r="N47" s="80" t="n">
        <f aca="false">IF(E47="G4.1",1,0)</f>
        <v>0</v>
      </c>
      <c r="O47" s="80" t="n">
        <f aca="false">IF(E47="G4.2",1,0)</f>
        <v>0</v>
      </c>
      <c r="P47" s="68" t="n">
        <f aca="false">IF(E47="F1.2",1,0)</f>
        <v>1</v>
      </c>
      <c r="Q47" s="68" t="n">
        <f aca="false">IF(E47="F1.3",1,0)</f>
        <v>0</v>
      </c>
      <c r="R47" s="68" t="n">
        <f aca="false">IF(E47="E2.1",1,0)</f>
        <v>0</v>
      </c>
      <c r="S47" s="68" t="n">
        <f aca="false">IF(E47="E2.2",1,0)</f>
        <v>0</v>
      </c>
      <c r="T47" s="68" t="n">
        <f aca="false">IF(E47="E2.3",1,0)</f>
        <v>0</v>
      </c>
      <c r="U47" s="68" t="n">
        <f aca="false">IF(E47="E2.4",1,0)</f>
        <v>0</v>
      </c>
      <c r="W47" s="53" t="n">
        <v>380</v>
      </c>
      <c r="X47" s="54" t="str">
        <f aca="false">HLOOKUP($AK$43,'Daten-Zusammensetzung Bauteil'!$B$4:$BC$14,Database!$B9,FALSE())</f>
        <v>Polystyrol extrudiert, 33 kg/m3, lamdaD 0.033 W/mK, 20 cm [kg]</v>
      </c>
      <c r="Y47" s="55" t="str">
        <f aca="false">HLOOKUP($AK$43,'Daten-Funktion'!$B$4:$BC$14,Database!$B9,FALSE())</f>
        <v>F1.1</v>
      </c>
      <c r="Z47" s="54" t="n">
        <f aca="false">HLOOKUP($AK$43,'Daten-THGE'!$B$4:$BC$14,Database!$B9,FALSE())</f>
        <v>0.241666666666667</v>
      </c>
      <c r="AA47" s="54" t="n">
        <f aca="false">HLOOKUP($AK$43,'Daten-Dichte'!$B$4:$BC$14,Database!$B9,FALSE())</f>
        <v>33</v>
      </c>
      <c r="AB47" s="54" t="n">
        <f aca="false">HLOOKUP($AK$43,'Daten-Dicke'!$B$4:$BC$14,Database!$B9,FALSE())</f>
        <v>20</v>
      </c>
      <c r="AC47" s="57"/>
      <c r="AD47" s="20" t="n">
        <f aca="false">IF(AC47=0,AA47*AB47/100*Z47,Z47*AA47*AC47/1000)</f>
        <v>1.595</v>
      </c>
      <c r="AE47" s="7"/>
      <c r="AF47" s="7"/>
      <c r="AK47" s="76"/>
    </row>
    <row r="48" customFormat="false" ht="15.75" hidden="false" customHeight="false" outlineLevel="0" collapsed="false">
      <c r="B48" s="7"/>
      <c r="D48" s="54" t="str">
        <f aca="false">HLOOKUP($V$41,'Daten-Zusammensetzung Bauteil'!$B$4:$BC$14,Database!$B5,FALSE())</f>
        <v>2 x EGV3 Polymerbitumenbahn [kg]</v>
      </c>
      <c r="E48" s="55" t="str">
        <f aca="false">HLOOKUP($V$41,'Daten-Funktion'!$B$4:$BC$14,Database!$B5,FALSE())</f>
        <v>F1.2</v>
      </c>
      <c r="F48" s="54" t="n">
        <f aca="false">HLOOKUP($V$41,'Daten-THGE'!$B$4:$BC$14,Database!$B5,FALSE())</f>
        <v>0.118</v>
      </c>
      <c r="G48" s="54" t="n">
        <f aca="false">HLOOKUP($V$41,'Daten-Dichte'!$B$4:$BC$14,Database!$B5,FALSE())</f>
        <v>1100</v>
      </c>
      <c r="H48" s="54" t="n">
        <f aca="false">HLOOKUP($V$41,'Daten-Dicke'!$B$4:$BC$14,Database!$B5,FALSE())</f>
        <v>0.654545454545455</v>
      </c>
      <c r="I48" s="57"/>
      <c r="J48" s="20" t="n">
        <f aca="false">IF(I48=0,G48*H48/100*F48,F48*G48*I48/1000)</f>
        <v>0.8496</v>
      </c>
      <c r="K48" s="7"/>
      <c r="L48" s="7"/>
      <c r="M48" s="68" t="n">
        <v>0</v>
      </c>
      <c r="N48" s="80" t="n">
        <f aca="false">IF(E48="G4.1",1,0)</f>
        <v>0</v>
      </c>
      <c r="O48" s="80" t="n">
        <f aca="false">IF(E48="G4.2",1,0)</f>
        <v>0</v>
      </c>
      <c r="P48" s="68" t="n">
        <f aca="false">IF(E48="F1.2",1,0)</f>
        <v>1</v>
      </c>
      <c r="Q48" s="68" t="n">
        <f aca="false">IF(E48="F1.3",1,0)</f>
        <v>0</v>
      </c>
      <c r="R48" s="68" t="n">
        <f aca="false">IF(E48="E2.1",1,0)</f>
        <v>0</v>
      </c>
      <c r="S48" s="68" t="n">
        <f aca="false">IF(E48="E2.2",1,0)</f>
        <v>0</v>
      </c>
      <c r="T48" s="68" t="n">
        <f aca="false">IF(E48="E2.3",1,0)</f>
        <v>0</v>
      </c>
      <c r="U48" s="68" t="n">
        <f aca="false">IF(E48="E2.4",1,0)</f>
        <v>0</v>
      </c>
      <c r="X48" s="54" t="str">
        <f aca="false">HLOOKUP($AK$43,'Daten-Zusammensetzung Bauteil'!$B$4:$BC$14,Database!$B10,FALSE())</f>
        <v>2xPolymerbitumenbahn EGV3 [kg]</v>
      </c>
      <c r="Y48" s="55" t="str">
        <f aca="false">HLOOKUP($AK$43,'Daten-Funktion'!$B$4:$BC$14,Database!$B10,FALSE())</f>
        <v>F1.1</v>
      </c>
      <c r="Z48" s="54" t="n">
        <f aca="false">HLOOKUP($AK$43,'Daten-THGE'!$B$4:$BC$14,Database!$B10,FALSE())</f>
        <v>0.0496666666666667</v>
      </c>
      <c r="AA48" s="54" t="n">
        <f aca="false">HLOOKUP($AK$43,'Daten-Dichte'!$B$4:$BC$14,Database!$B10,FALSE())</f>
        <v>1200</v>
      </c>
      <c r="AB48" s="54" t="n">
        <f aca="false">HLOOKUP($AK$43,'Daten-Dicke'!$B$4:$BC$14,Database!$B10,FALSE())</f>
        <v>0.6</v>
      </c>
      <c r="AC48" s="57"/>
      <c r="AD48" s="20" t="n">
        <f aca="false">IF(AC48=0,AA48*AB48/100*Z48,Z48*AA48*AC48/1000)</f>
        <v>0.3576</v>
      </c>
      <c r="AE48" s="7"/>
      <c r="AF48" s="7"/>
    </row>
    <row r="49" customFormat="false" ht="15.75" hidden="false" customHeight="false" outlineLevel="0" collapsed="false">
      <c r="B49" s="7"/>
      <c r="C49" s="7"/>
      <c r="D49" s="54" t="str">
        <f aca="false">HLOOKUP($V$41,'Daten-Zusammensetzung Bauteil'!$B$4:$BC$14,Database!$B6,FALSE())</f>
        <v>Bitumenemulsion [m2]</v>
      </c>
      <c r="E49" s="55" t="str">
        <f aca="false">HLOOKUP($V$41,'Daten-Funktion'!$B$4:$BC$14,Database!$B6,FALSE())</f>
        <v>F1.2</v>
      </c>
      <c r="F49" s="54" t="n">
        <f aca="false">HLOOKUP($V$41,'Daten-THGE'!$B$4:$BC$14,Database!$B6,FALSE())</f>
        <v>0.0941333333333333</v>
      </c>
      <c r="G49" s="54" t="n">
        <f aca="false">HLOOKUP($V$41,'Daten-Dichte'!$B$4:$BC$14,Database!$B6,FALSE())</f>
        <v>125</v>
      </c>
      <c r="H49" s="54" t="n">
        <f aca="false">HLOOKUP($V$41,'Daten-Dicke'!$B$4:$BC$14,Database!$B6,FALSE())</f>
        <v>0.2</v>
      </c>
      <c r="I49" s="57"/>
      <c r="J49" s="20" t="n">
        <f aca="false">IF(I49=0,G49*H49/100*F49,F49*G49*I49/1000)</f>
        <v>0.0235333333333333</v>
      </c>
      <c r="K49" s="7"/>
      <c r="L49" s="7"/>
      <c r="M49" s="68" t="n">
        <v>0</v>
      </c>
      <c r="N49" s="80" t="n">
        <f aca="false">IF(E49="G4.1",1,0)</f>
        <v>0</v>
      </c>
      <c r="O49" s="80" t="n">
        <f aca="false">IF(E49="G4.2",1,0)</f>
        <v>0</v>
      </c>
      <c r="P49" s="68" t="n">
        <f aca="false">IF(E49="F1.2",1,0)</f>
        <v>1</v>
      </c>
      <c r="Q49" s="68" t="n">
        <f aca="false">IF(E49="F1.3",1,0)</f>
        <v>0</v>
      </c>
      <c r="R49" s="68" t="n">
        <f aca="false">IF(E49="E2.1",1,0)</f>
        <v>0</v>
      </c>
      <c r="S49" s="68" t="n">
        <f aca="false">IF(E49="E2.2",1,0)</f>
        <v>0</v>
      </c>
      <c r="T49" s="68" t="n">
        <f aca="false">IF(E49="E2.3",1,0)</f>
        <v>0</v>
      </c>
      <c r="U49" s="68" t="n">
        <f aca="false">IF(E49="E2.4",1,0)</f>
        <v>0</v>
      </c>
      <c r="X49" s="54" t="str">
        <f aca="false">HLOOKUP($AK$43,'Daten-Zusammensetzung Bauteil'!$B$4:$BC$14,Database!$B11,FALSE())</f>
        <v>Trenn-/Schutzvlies [kg]</v>
      </c>
      <c r="Y49" s="55" t="str">
        <f aca="false">HLOOKUP($AK$43,'Daten-Funktion'!$B$4:$BC$14,Database!$B11,FALSE())</f>
        <v>F1.1</v>
      </c>
      <c r="Z49" s="54" t="n">
        <f aca="false">HLOOKUP($AK$43,'Daten-THGE'!$B$4:$BC$14,Database!$B11,FALSE())</f>
        <v>0.0921666666666667</v>
      </c>
      <c r="AA49" s="54" t="n">
        <f aca="false">HLOOKUP($AK$43,'Daten-Dichte'!$B$4:$BC$14,Database!$B11,FALSE())</f>
        <v>920</v>
      </c>
      <c r="AB49" s="54" t="n">
        <f aca="false">HLOOKUP($AK$43,'Daten-Dicke'!$B$4:$BC$14,Database!$B11,FALSE())</f>
        <v>0.0434782608695652</v>
      </c>
      <c r="AC49" s="57"/>
      <c r="AD49" s="20" t="n">
        <f aca="false">IF(AC49=0,AA49*AB49/100*Z49,Z49*AA49*AC49/1000)</f>
        <v>0.0368666666666667</v>
      </c>
      <c r="AE49" s="7"/>
      <c r="AF49" s="7"/>
    </row>
    <row r="50" customFormat="false" ht="15.75" hidden="false" customHeight="false" outlineLevel="0" collapsed="false">
      <c r="C50" s="7"/>
      <c r="D50" s="54" t="str">
        <f aca="false">HLOOKUP($V$41,'Daten-Zusammensetzung Bauteil'!$B$4:$BC$14,Database!$B7,FALSE())</f>
        <v>1x EP4 Polymerbitumenbahn [kg]</v>
      </c>
      <c r="E50" s="55" t="str">
        <f aca="false">HLOOKUP($V$41,'Daten-Funktion'!$B$4:$BC$14,Database!$B7,FALSE())</f>
        <v>F1.2</v>
      </c>
      <c r="F50" s="54" t="n">
        <f aca="false">HLOOKUP($V$41,'Daten-THGE'!$B$4:$BC$14,Database!$B7,FALSE())</f>
        <v>0.108333333333333</v>
      </c>
      <c r="G50" s="54" t="n">
        <f aca="false">HLOOKUP($V$41,'Daten-Dichte'!$B$4:$BC$14,Database!$B7,FALSE())</f>
        <v>1100</v>
      </c>
      <c r="H50" s="54" t="n">
        <f aca="false">HLOOKUP($V$41,'Daten-Dicke'!$B$4:$BC$14,Database!$B7,FALSE())</f>
        <v>0.472727272727273</v>
      </c>
      <c r="I50" s="57"/>
      <c r="J50" s="20" t="n">
        <f aca="false">IF(I50=0,G50*H50/100*F50,F50*G50*I50/1000)</f>
        <v>0.563333333333333</v>
      </c>
      <c r="M50" s="68" t="n">
        <v>0</v>
      </c>
      <c r="N50" s="80" t="n">
        <f aca="false">IF(E50="G4.1",1,0)</f>
        <v>0</v>
      </c>
      <c r="O50" s="80" t="n">
        <f aca="false">IF(E50="G4.2",1,0)</f>
        <v>0</v>
      </c>
      <c r="P50" s="68" t="n">
        <f aca="false">IF(E50="F1.2",1,0)</f>
        <v>1</v>
      </c>
      <c r="Q50" s="68" t="n">
        <f aca="false">IF(E50="F1.3",1,0)</f>
        <v>0</v>
      </c>
      <c r="R50" s="68" t="n">
        <f aca="false">IF(E50="E2.1",1,0)</f>
        <v>0</v>
      </c>
      <c r="S50" s="68" t="n">
        <f aca="false">IF(E50="E2.2",1,0)</f>
        <v>0</v>
      </c>
      <c r="T50" s="68" t="n">
        <f aca="false">IF(E50="E2.3",1,0)</f>
        <v>0</v>
      </c>
      <c r="U50" s="68" t="n">
        <f aca="false">IF(E50="E2.4",1,0)</f>
        <v>0</v>
      </c>
      <c r="X50" s="54" t="str">
        <f aca="false">HLOOKUP($AK$43,'Daten-Zusammensetzung Bauteil'!$B$4:$BC$14,Database!$B12,FALSE())</f>
        <v>Kies 3 cm [kg]</v>
      </c>
      <c r="Y50" s="55" t="str">
        <f aca="false">HLOOKUP($AK$43,'Daten-Funktion'!$B$4:$BC$14,Database!$B12,FALSE())</f>
        <v>F1.2</v>
      </c>
      <c r="Z50" s="54" t="n">
        <f aca="false">HLOOKUP($AK$43,'Daten-THGE'!$B$4:$BC$14,Database!$B12,FALSE())</f>
        <v>0.000195</v>
      </c>
      <c r="AA50" s="54" t="n">
        <f aca="false">HLOOKUP($AK$43,'Daten-Dichte'!$B$4:$BC$14,Database!$B12,FALSE())</f>
        <v>2000</v>
      </c>
      <c r="AB50" s="54" t="n">
        <f aca="false">HLOOKUP($AK$43,'Daten-Dicke'!$B$4:$BC$14,Database!$B12,FALSE())</f>
        <v>3</v>
      </c>
      <c r="AC50" s="57"/>
      <c r="AD50" s="20" t="n">
        <f aca="false">IF(AC50=0,AA50*AB50/100*Z50,Z50*AA50*AC50/1000)</f>
        <v>0.0117</v>
      </c>
      <c r="AE50" s="7"/>
      <c r="AF50" s="7"/>
    </row>
    <row r="51" customFormat="false" ht="15.75" hidden="false" customHeight="false" outlineLevel="0" collapsed="false">
      <c r="D51" s="54" t="str">
        <f aca="false">HLOOKUP($V$41,'Daten-Zusammensetzung Bauteil'!$B$4:$BC$14,Database!$B8,FALSE())</f>
        <v>PP-Vlies Trenn-/Schutzvlies [kg]</v>
      </c>
      <c r="E51" s="55" t="str">
        <f aca="false">HLOOKUP($V$41,'Daten-Funktion'!$B$4:$BC$14,Database!$B8,FALSE())</f>
        <v>F1.2</v>
      </c>
      <c r="F51" s="54" t="n">
        <f aca="false">HLOOKUP($V$41,'Daten-THGE'!$B$4:$BC$14,Database!$B8,FALSE())</f>
        <v>0.184333333333333</v>
      </c>
      <c r="G51" s="54" t="n">
        <f aca="false">HLOOKUP($V$41,'Daten-Dichte'!$B$4:$BC$14,Database!$B8,FALSE())</f>
        <v>920</v>
      </c>
      <c r="H51" s="54" t="n">
        <f aca="false">HLOOKUP($V$41,'Daten-Dicke'!$B$4:$BC$14,Database!$B8,FALSE())</f>
        <v>0.0152173913043478</v>
      </c>
      <c r="I51" s="57"/>
      <c r="J51" s="20" t="n">
        <f aca="false">IF(I51=0,G51*H51/100*F51,F51*G51*I51/1000)</f>
        <v>0.0258066666666667</v>
      </c>
      <c r="M51" s="68" t="n">
        <v>0</v>
      </c>
      <c r="N51" s="80" t="n">
        <f aca="false">IF(E51="G4.1",1,0)</f>
        <v>0</v>
      </c>
      <c r="O51" s="80" t="n">
        <f aca="false">IF(E51="G4.2",1,0)</f>
        <v>0</v>
      </c>
      <c r="P51" s="68" t="n">
        <f aca="false">IF(E51="F1.2",1,0)</f>
        <v>1</v>
      </c>
      <c r="Q51" s="68" t="n">
        <f aca="false">IF(E51="F1.3",1,0)</f>
        <v>0</v>
      </c>
      <c r="R51" s="68" t="n">
        <f aca="false">IF(E51="E2.1",1,0)</f>
        <v>0</v>
      </c>
      <c r="S51" s="68" t="n">
        <f aca="false">IF(E51="E2.2",1,0)</f>
        <v>0</v>
      </c>
      <c r="T51" s="68" t="n">
        <f aca="false">IF(E51="E2.3",1,0)</f>
        <v>0</v>
      </c>
      <c r="U51" s="68" t="n">
        <f aca="false">IF(E51="E2.4",1,0)</f>
        <v>0</v>
      </c>
      <c r="W51" s="7"/>
      <c r="X51" s="54" t="n">
        <f aca="false">HLOOKUP($AK$43,'Daten-Zusammensetzung Bauteil'!$B$4:$BC$14,Database!$B13,FALSE())</f>
        <v>0</v>
      </c>
      <c r="Y51" s="55" t="n">
        <f aca="false">HLOOKUP($AK$43,'Daten-Funktion'!$B$4:$BC$14,Database!$B13,FALSE())</f>
        <v>0</v>
      </c>
      <c r="Z51" s="54" t="n">
        <f aca="false">HLOOKUP($AK$43,'Daten-THGE'!$B$4:$BC$14,Database!$B13,FALSE())</f>
        <v>0</v>
      </c>
      <c r="AA51" s="54" t="n">
        <f aca="false">HLOOKUP($AK$43,'Daten-Dichte'!$B$4:$BC$14,Database!$B13,FALSE())</f>
        <v>0</v>
      </c>
      <c r="AB51" s="54" t="n">
        <f aca="false">HLOOKUP($AK$43,'Daten-Dicke'!$B$4:$BC$14,Database!$B13,FALSE())</f>
        <v>0</v>
      </c>
      <c r="AC51" s="57"/>
      <c r="AD51" s="20" t="n">
        <f aca="false">IF(AC51=0,AA51*AB51/100*Z51,Z51*AA51*AC51/1000)</f>
        <v>0</v>
      </c>
      <c r="AE51" s="7"/>
      <c r="AF51" s="7"/>
    </row>
    <row r="52" customFormat="false" ht="15.75" hidden="false" customHeight="false" outlineLevel="0" collapsed="false">
      <c r="C52" s="37"/>
      <c r="D52" s="54" t="str">
        <f aca="false">HLOOKUP($V$41,'Daten-Zusammensetzung Bauteil'!$B$4:$BC$14,Database!$B9,FALSE())</f>
        <v>Kies 3 cm [kg]</v>
      </c>
      <c r="E52" s="55" t="str">
        <f aca="false">HLOOKUP($V$41,'Daten-Funktion'!$B$4:$BC$14,Database!$B9,FALSE())</f>
        <v>F1.2</v>
      </c>
      <c r="F52" s="54" t="n">
        <f aca="false">HLOOKUP($V$41,'Daten-THGE'!$B$4:$BC$14,Database!$B9,FALSE())</f>
        <v>0.00039</v>
      </c>
      <c r="G52" s="54" t="n">
        <f aca="false">HLOOKUP($V$41,'Daten-Dichte'!$B$4:$BC$14,Database!$B9,FALSE())</f>
        <v>2000</v>
      </c>
      <c r="H52" s="54" t="n">
        <f aca="false">HLOOKUP($V$41,'Daten-Dicke'!$B$4:$BC$14,Database!$B9,FALSE())</f>
        <v>2.25</v>
      </c>
      <c r="I52" s="57"/>
      <c r="J52" s="20" t="n">
        <f aca="false">IF(I52=0,G52*H52/100*F52,F52*G52*I52/1000)</f>
        <v>0.01755</v>
      </c>
      <c r="M52" s="68" t="n">
        <v>0</v>
      </c>
      <c r="N52" s="80" t="n">
        <f aca="false">IF(E52="G4.1",1,0)</f>
        <v>0</v>
      </c>
      <c r="O52" s="80" t="n">
        <f aca="false">IF(E52="G4.2",1,0)</f>
        <v>0</v>
      </c>
      <c r="P52" s="68" t="n">
        <f aca="false">IF(E52="F1.2",1,0)</f>
        <v>1</v>
      </c>
      <c r="Q52" s="68" t="n">
        <f aca="false">IF(E52="F1.3",1,0)</f>
        <v>0</v>
      </c>
      <c r="R52" s="68" t="n">
        <f aca="false">IF(E52="E2.1",1,0)</f>
        <v>0</v>
      </c>
      <c r="S52" s="68" t="n">
        <f aca="false">IF(E52="E2.2",1,0)</f>
        <v>0</v>
      </c>
      <c r="T52" s="68" t="n">
        <f aca="false">IF(E52="E2.3",1,0)</f>
        <v>0</v>
      </c>
      <c r="U52" s="68" t="n">
        <f aca="false">IF(E52="E2.4",1,0)</f>
        <v>0</v>
      </c>
    </row>
    <row r="53" customFormat="false" ht="15.75" hidden="false" customHeight="false" outlineLevel="0" collapsed="false">
      <c r="D53" s="54" t="str">
        <f aca="false">HLOOKUP($V$41,'Daten-Zusammensetzung Bauteil'!$B$4:$BC$14,Database!$B10,FALSE())</f>
        <v>Substrat 7cm [kg]</v>
      </c>
      <c r="E53" s="55" t="str">
        <f aca="false">HLOOKUP($V$41,'Daten-Funktion'!$B$4:$BC$14,Database!$B10,FALSE())</f>
        <v>F1.2</v>
      </c>
      <c r="F53" s="54" t="n">
        <f aca="false">HLOOKUP($V$41,'Daten-THGE'!$B$4:$BC$14,Database!$B10,FALSE())</f>
        <v>0.000466666666666667</v>
      </c>
      <c r="G53" s="54" t="n">
        <f aca="false">HLOOKUP($V$41,'Daten-Dichte'!$B$4:$BC$14,Database!$B10,FALSE())</f>
        <v>2000</v>
      </c>
      <c r="H53" s="54" t="n">
        <f aca="false">HLOOKUP($V$41,'Daten-Dicke'!$B$4:$BC$14,Database!$B10,FALSE())</f>
        <v>3.5</v>
      </c>
      <c r="I53" s="57"/>
      <c r="J53" s="20" t="n">
        <f aca="false">IF(I53=0,G53*H53/100*F53,F53*G53*I53/1000)</f>
        <v>0.0326666666666667</v>
      </c>
      <c r="M53" s="68" t="n">
        <v>0</v>
      </c>
      <c r="N53" s="80" t="n">
        <f aca="false">IF(E53="G4.1",1,0)</f>
        <v>0</v>
      </c>
      <c r="O53" s="80" t="n">
        <f aca="false">IF(E53="G4.2",1,0)</f>
        <v>0</v>
      </c>
      <c r="P53" s="68" t="n">
        <f aca="false">IF(E53="F1.2",1,0)</f>
        <v>1</v>
      </c>
      <c r="Q53" s="68" t="n">
        <f aca="false">IF(E53="F1.3",1,0)</f>
        <v>0</v>
      </c>
      <c r="R53" s="68" t="n">
        <f aca="false">IF(E53="E2.1",1,0)</f>
        <v>0</v>
      </c>
      <c r="S53" s="68" t="n">
        <f aca="false">IF(E53="E2.2",1,0)</f>
        <v>0</v>
      </c>
      <c r="T53" s="68" t="n">
        <f aca="false">IF(E53="E2.3",1,0)</f>
        <v>0</v>
      </c>
      <c r="U53" s="68" t="n">
        <f aca="false">IF(E53="E2.4",1,0)</f>
        <v>0</v>
      </c>
    </row>
    <row r="54" customFormat="false" ht="15" hidden="false" customHeight="false" outlineLevel="0" collapsed="false">
      <c r="M54" s="68" t="n">
        <f aca="false">SUMPRODUCT(J39:J53*M39:M53)/SUM(J39:J53)</f>
        <v>0.266075362179395</v>
      </c>
      <c r="N54" s="68" t="n">
        <f aca="false">SUMPRODUCT(J39:J53*N39:N53)/SUM(J39:J53)</f>
        <v>0</v>
      </c>
      <c r="O54" s="68" t="n">
        <f aca="false">SUMPRODUCT(J39:J53*O39:O53)/SUM(J39:J53)</f>
        <v>0.0134455872758458</v>
      </c>
      <c r="P54" s="68" t="n">
        <f aca="false">SUMPRODUCT(J39:J53*P39:P53)/SUM(J39:J53)</f>
        <v>0.688588369814745</v>
      </c>
      <c r="Q54" s="68" t="n">
        <f aca="false">SUMPRODUCT(J39:J53*Q39:Q53)/SUM(J39:J53)</f>
        <v>0</v>
      </c>
      <c r="R54" s="68" t="n">
        <f aca="false">SUMPRODUCT(J39:J53*R39:R53)/SUM(J39:J53)</f>
        <v>0</v>
      </c>
      <c r="S54" s="68" t="n">
        <f aca="false">SUMPRODUCT(J39:J53*S39:S53)/SUM(J39:J53)</f>
        <v>0</v>
      </c>
      <c r="T54" s="68" t="n">
        <f aca="false">SUMPRODUCT(J39:J53*T39:T53)/SUM(J39:J53)</f>
        <v>0</v>
      </c>
      <c r="U54" s="68" t="n">
        <f aca="false">SUMPRODUCT(J39:J53*U39:U53)/SUM(J39:J53)</f>
        <v>0</v>
      </c>
      <c r="V54" s="81" t="n">
        <f aca="false">SUM(M54:U54)</f>
        <v>0.968109319269986</v>
      </c>
    </row>
    <row r="55" customFormat="false" ht="15" hidden="false" customHeight="false" outlineLevel="0" collapsed="false">
      <c r="B55" s="59" t="s">
        <v>265</v>
      </c>
      <c r="M55" s="58"/>
      <c r="N55" s="58"/>
      <c r="O55" s="58"/>
      <c r="P55" s="58"/>
      <c r="Q55" s="58"/>
      <c r="R55" s="58"/>
      <c r="S55" s="58"/>
      <c r="T55" s="58"/>
      <c r="U55" s="58"/>
    </row>
    <row r="56" customFormat="false" ht="20.25" hidden="false" customHeight="false" outlineLevel="0" collapsed="false">
      <c r="B56" s="6" t="s">
        <v>266</v>
      </c>
      <c r="C56" s="6"/>
      <c r="D56" s="37" t="s">
        <v>257</v>
      </c>
      <c r="E56" s="52"/>
      <c r="F56" s="37" t="s">
        <v>259</v>
      </c>
      <c r="G56" s="37" t="s">
        <v>260</v>
      </c>
      <c r="H56" s="37" t="s">
        <v>261</v>
      </c>
      <c r="I56" s="53" t="s">
        <v>262</v>
      </c>
      <c r="J56" s="37" t="s">
        <v>263</v>
      </c>
      <c r="K56" s="8" t="s">
        <v>102</v>
      </c>
      <c r="L56" s="7"/>
    </row>
    <row r="57" customFormat="false" ht="15.75" hidden="false" customHeight="false" outlineLevel="0" collapsed="false">
      <c r="B57" s="37" t="s">
        <v>83</v>
      </c>
      <c r="C57" s="37" t="s">
        <v>299</v>
      </c>
      <c r="D57" s="54" t="str">
        <f aca="false">HLOOKUP($V$58,'Daten-Zusammensetzung Bauteil'!$B$4:$BC$14,Database!$B4,FALSE())</f>
        <v>Hochbaubeton 25 cm [kg]</v>
      </c>
      <c r="E57" s="55" t="str">
        <f aca="false">MID(HLOOKUP($V$58,'Daten-Funktion'!$B$4:$BC$14,Database!$B4,FALSE()),1,2)</f>
        <v>C4</v>
      </c>
      <c r="F57" s="54" t="n">
        <f aca="false">HLOOKUP($V$58,'Daten-THGE'!$B$4:$BC$14,Database!$B4,FALSE())</f>
        <v>0.00165333333333333</v>
      </c>
      <c r="G57" s="54" t="n">
        <f aca="false">HLOOKUP($V$58,'Daten-Dichte'!$B$4:$BC$14,Database!$B4,FALSE())</f>
        <v>2300</v>
      </c>
      <c r="H57" s="54" t="n">
        <f aca="false">HLOOKUP($V$58,'Daten-Dicke'!$B$4:$BC$14,Database!$B4,FALSE())</f>
        <v>24.7133757961783</v>
      </c>
      <c r="I57" s="9"/>
      <c r="J57" s="20" t="n">
        <f aca="false">IF(I57=0,G57*H57/100*F57,F57*G57*I57/1000)</f>
        <v>0.939767303609342</v>
      </c>
      <c r="K57" s="56" t="n">
        <f aca="false">SUM(J57:J71)*Gebäude!$C$38</f>
        <v>1683.46016757962</v>
      </c>
      <c r="L57" s="37" t="s">
        <v>31</v>
      </c>
    </row>
    <row r="58" customFormat="false" ht="15.75" hidden="false" customHeight="false" outlineLevel="0" collapsed="false">
      <c r="B58" s="53" t="s">
        <v>113</v>
      </c>
      <c r="C58" s="37"/>
      <c r="D58" s="54" t="str">
        <f aca="false">HLOOKUP($V$58,'Daten-Zusammensetzung Bauteil'!$B$4:$BC$14,Database!$B5,FALSE())</f>
        <v>Armierungsstahl (Bewehurngsgehalt 90 kg/m3) [kg]</v>
      </c>
      <c r="E58" s="55" t="str">
        <f aca="false">MID(HLOOKUP($V$58,'Daten-Funktion'!$B$4:$BC$14,Database!$B5,FALSE()),1,2)</f>
        <v>C4</v>
      </c>
      <c r="F58" s="54" t="n">
        <f aca="false">HLOOKUP($V$58,'Daten-THGE'!$B$4:$BC$14,Database!$B5,FALSE())</f>
        <v>0.0113666666666667</v>
      </c>
      <c r="G58" s="54" t="n">
        <f aca="false">HLOOKUP($V$58,'Daten-Dichte'!$B$4:$BC$14,Database!$B5,FALSE())</f>
        <v>7850</v>
      </c>
      <c r="H58" s="54" t="n">
        <f aca="false">HLOOKUP($V$58,'Daten-Dicke'!$B$4:$BC$14,Database!$B5,FALSE())</f>
        <v>0.286624203821656</v>
      </c>
      <c r="I58" s="9"/>
      <c r="J58" s="20" t="n">
        <f aca="false">IF(I58=0,G58*H58/100*F58,F58*G58*I58/1000)</f>
        <v>0.25575</v>
      </c>
      <c r="K58" s="54"/>
      <c r="L58" s="7"/>
      <c r="V58" s="76" t="str">
        <f aca="false">IF($B$58=Database!$Y$29,VLOOKUP('Dach unter &amp; über Terrain'!$B$60,Database!$S$46:$U$49,IF('Dach unter &amp; über Terrain'!$B$59=Database!$T$45,2,3),FALSE()),VLOOKUP($B$58,Database!$Y$30:$AI$31,11,FALSE()))</f>
        <v>4a</v>
      </c>
    </row>
    <row r="59" customFormat="false" ht="15.75" hidden="false" customHeight="false" outlineLevel="0" collapsed="false">
      <c r="B59" s="53" t="s">
        <v>125</v>
      </c>
      <c r="C59" s="7"/>
      <c r="D59" s="54" t="str">
        <f aca="false">HLOOKUP($V$58,'Daten-Zusammensetzung Bauteil'!$B$4:$BC$14,Database!$B6,FALSE())</f>
        <v>3-SP Schalung 2.5cm (Annahme 5xverwendet) [kg]</v>
      </c>
      <c r="E59" s="55" t="str">
        <f aca="false">MID(HLOOKUP($V$58,'Daten-Funktion'!$B$4:$BC$14,Database!$B6,FALSE()),1,2)</f>
        <v>C4</v>
      </c>
      <c r="F59" s="54" t="n">
        <f aca="false">HLOOKUP($V$58,'Daten-THGE'!$B$4:$BC$14,Database!$B6,FALSE())</f>
        <v>0.00871666666666667</v>
      </c>
      <c r="G59" s="54" t="n">
        <f aca="false">HLOOKUP($V$58,'Daten-Dichte'!$B$4:$BC$14,Database!$B6,FALSE())</f>
        <v>470</v>
      </c>
      <c r="H59" s="54" t="n">
        <f aca="false">HLOOKUP($V$58,'Daten-Dicke'!$B$4:$BC$14,Database!$B6,FALSE())</f>
        <v>1</v>
      </c>
      <c r="I59" s="57"/>
      <c r="J59" s="20" t="n">
        <f aca="false">IF(I59=0,G59*H59/100*F59,F59*G59*I59/1000)</f>
        <v>0.0409683333333333</v>
      </c>
      <c r="K59" s="7"/>
      <c r="L59" s="7"/>
      <c r="V59" s="76" t="str">
        <f aca="false">IF($B$58=Database!$Y$29,VLOOKUP('Dach unter &amp; über Terrain'!$B$61,Database!$S$46:$U$49,IF('Dach unter &amp; über Terrain'!$B$59=Database!$T$45,2,3),FALSE()),VLOOKUP($B$61,Database!$S$69:$T$70,2,FALSE()))</f>
        <v>5b</v>
      </c>
    </row>
    <row r="60" customFormat="false" ht="15.75" hidden="false" customHeight="false" outlineLevel="0" collapsed="false">
      <c r="B60" s="53" t="s">
        <v>127</v>
      </c>
      <c r="C60" s="7"/>
      <c r="D60" s="54" t="str">
        <f aca="false">HLOOKUP($V$58,'Daten-Zusammensetzung Bauteil'!$B$4:$BC$14,Database!$B7,FALSE())</f>
        <v>Kalk-Zementgrundputz [kg]</v>
      </c>
      <c r="E60" s="55" t="str">
        <f aca="false">HLOOKUP($V$58,'Daten-Funktion'!$B$4:$BC$14,Database!$B7,FALSE())</f>
        <v>G4.1</v>
      </c>
      <c r="F60" s="54" t="n">
        <f aca="false">HLOOKUP($V$58,'Daten-THGE'!$B$4:$BC$14,Database!$B7,FALSE())</f>
        <v>0.00823333333333333</v>
      </c>
      <c r="G60" s="54" t="n">
        <f aca="false">HLOOKUP($V$58,'Daten-Dichte'!$B$4:$BC$14,Database!$B7,FALSE())</f>
        <v>1550</v>
      </c>
      <c r="H60" s="54" t="n">
        <f aca="false">HLOOKUP($V$58,'Daten-Dicke'!$B$4:$BC$14,Database!$B7,FALSE())</f>
        <v>1.16129032258065</v>
      </c>
      <c r="I60" s="57"/>
      <c r="J60" s="20" t="n">
        <f aca="false">IF(I60=0,G60*H60/100*F60,F60*G60*I60/1000)</f>
        <v>0.1482</v>
      </c>
      <c r="K60" s="7"/>
      <c r="L60" s="7"/>
    </row>
    <row r="61" customFormat="false" ht="15.75" hidden="false" customHeight="false" outlineLevel="0" collapsed="false">
      <c r="B61" s="53" t="s">
        <v>202</v>
      </c>
      <c r="C61" s="7"/>
      <c r="D61" s="54" t="str">
        <f aca="false">HLOOKUP($V$58,'Daten-Zusammensetzung Bauteil'!$B$4:$BC$14,Database!$B8,FALSE())</f>
        <v>Deckputz (Weissputz) [kg]</v>
      </c>
      <c r="E61" s="55" t="str">
        <f aca="false">HLOOKUP($V$58,'Daten-Funktion'!$B$4:$BC$14,Database!$B8,FALSE())</f>
        <v>G4.2</v>
      </c>
      <c r="F61" s="54" t="n">
        <f aca="false">HLOOKUP($V$58,'Daten-THGE'!$B$4:$BC$14,Database!$B8,FALSE())</f>
        <v>0.0049</v>
      </c>
      <c r="G61" s="54" t="n">
        <f aca="false">HLOOKUP($V$58,'Daten-Dichte'!$B$4:$BC$14,Database!$B8,FALSE())</f>
        <v>1100</v>
      </c>
      <c r="H61" s="54" t="n">
        <f aca="false">HLOOKUP($V$58,'Daten-Dicke'!$B$4:$BC$14,Database!$B8,FALSE())</f>
        <v>0.318181818181818</v>
      </c>
      <c r="I61" s="57"/>
      <c r="J61" s="20" t="n">
        <f aca="false">IF(I61=0,G61*H61/100*F61,F61*G61*I61/1000)</f>
        <v>0.01715</v>
      </c>
      <c r="K61" s="7"/>
      <c r="L61" s="7"/>
    </row>
    <row r="62" customFormat="false" ht="15.75" hidden="false" customHeight="false" outlineLevel="0" collapsed="false">
      <c r="B62" s="7"/>
      <c r="C62" s="7"/>
      <c r="D62" s="54" t="str">
        <f aca="false">HLOOKUP($V$58,'Daten-Zusammensetzung Bauteil'!$B$4:$BC$14,Database!$B9,FALSE())</f>
        <v>Wanddispersion [m2]</v>
      </c>
      <c r="E62" s="55" t="str">
        <f aca="false">HLOOKUP($V$58,'Daten-Funktion'!$B$4:$BC$14,Database!$B9,FALSE())</f>
        <v>G4.2</v>
      </c>
      <c r="F62" s="54" t="n">
        <f aca="false">HLOOKUP($V$58,'Daten-THGE'!$B$4:$BC$14,Database!$B9,FALSE())</f>
        <v>0.151111111111111</v>
      </c>
      <c r="G62" s="54" t="n">
        <f aca="false">HLOOKUP($V$58,'Daten-Dichte'!$B$4:$BC$14,Database!$B9,FALSE())</f>
        <v>150</v>
      </c>
      <c r="H62" s="54" t="n">
        <f aca="false">HLOOKUP($V$58,'Daten-Dicke'!$B$4:$BC$14,Database!$B9,FALSE())</f>
        <v>0.2</v>
      </c>
      <c r="I62" s="57"/>
      <c r="J62" s="20" t="n">
        <f aca="false">IF(I62=0,G62*H62/100*F62,F62*G62*I62/1000)</f>
        <v>0.0453333333333333</v>
      </c>
      <c r="K62" s="7"/>
      <c r="L62" s="7"/>
    </row>
    <row r="63" customFormat="false" ht="15.75" hidden="false" customHeight="false" outlineLevel="0" collapsed="false">
      <c r="B63" s="7"/>
      <c r="C63" s="7"/>
      <c r="D63" s="54" t="n">
        <f aca="false">HLOOKUP($V$58,'Daten-Zusammensetzung Bauteil'!$B$4:$BC$14,Database!$B10,FALSE())</f>
        <v>0</v>
      </c>
      <c r="E63" s="55" t="n">
        <f aca="false">HLOOKUP($V$58,'Daten-Funktion'!$B$4:$BC$14,Database!$B10,FALSE())</f>
        <v>0</v>
      </c>
      <c r="F63" s="54" t="n">
        <f aca="false">HLOOKUP($V$58,'Daten-THGE'!$B$4:$BC$14,Database!$B10,FALSE())</f>
        <v>0</v>
      </c>
      <c r="G63" s="54" t="n">
        <f aca="false">HLOOKUP($V$58,'Daten-Dichte'!$B$4:$BC$14,Database!$B10,FALSE())</f>
        <v>0</v>
      </c>
      <c r="H63" s="54" t="n">
        <f aca="false">HLOOKUP($V$58,'Daten-Dicke'!$B$4:$BC$14,Database!$B10,FALSE())</f>
        <v>0</v>
      </c>
      <c r="I63" s="57"/>
      <c r="J63" s="20" t="n">
        <f aca="false">IF(I63=0,G63*H63/100*F63,F63*G63*I63/1000)</f>
        <v>0</v>
      </c>
      <c r="K63" s="7"/>
      <c r="L63" s="7"/>
    </row>
    <row r="64" customFormat="false" ht="15.75" hidden="false" customHeight="false" outlineLevel="0" collapsed="false">
      <c r="B64" s="7"/>
      <c r="D64" s="54"/>
      <c r="E64" s="55"/>
      <c r="F64" s="54"/>
      <c r="G64" s="54"/>
      <c r="H64" s="54"/>
      <c r="I64" s="54"/>
      <c r="J64" s="20"/>
      <c r="K64" s="7"/>
      <c r="L64" s="7"/>
    </row>
    <row r="65" customFormat="false" ht="15.75" hidden="false" customHeight="false" outlineLevel="0" collapsed="false">
      <c r="B65" s="7"/>
      <c r="C65" s="37" t="s">
        <v>300</v>
      </c>
      <c r="D65" s="54" t="str">
        <f aca="false">HLOOKUP($V$59,'Daten-Zusammensetzung Bauteil'!$B$4:$BC$14,Database!$B4,FALSE())</f>
        <v>PUR, 16 cm, 30 kg/m3 [kg]</v>
      </c>
      <c r="E65" s="55" t="str">
        <f aca="false">HLOOKUP($V$59,'Daten-Funktion'!$B$4:$BC$14,Database!$B4,FALSE())</f>
        <v>F1.2</v>
      </c>
      <c r="F65" s="54" t="n">
        <f aca="false">HLOOKUP($V$59,'Daten-THGE'!$B$4:$BC$14,Database!$B4,FALSE())</f>
        <v>0.250666666666667</v>
      </c>
      <c r="G65" s="54" t="n">
        <f aca="false">HLOOKUP($V$59,'Daten-Dichte'!$B$4:$BC$14,Database!$B4,FALSE())</f>
        <v>30</v>
      </c>
      <c r="H65" s="54" t="n">
        <f aca="false">HLOOKUP($V$59,'Daten-Dicke'!$B$4:$BC$14,Database!$B4,FALSE())</f>
        <v>16</v>
      </c>
      <c r="I65" s="57"/>
      <c r="J65" s="20" t="n">
        <f aca="false">IF(I65=0,G65*H65/100*F65,F65*G65*I65/1000)</f>
        <v>1.2032</v>
      </c>
      <c r="K65" s="7"/>
      <c r="L65" s="7"/>
    </row>
    <row r="66" customFormat="false" ht="15.75" hidden="false" customHeight="false" outlineLevel="0" collapsed="false">
      <c r="B66" s="7"/>
      <c r="D66" s="54" t="str">
        <f aca="false">HLOOKUP($V$59,'Daten-Zusammensetzung Bauteil'!$B$4:$BC$14,Database!$B5,FALSE())</f>
        <v>2 x EGV3 Polymerbitumenbahn [kg]</v>
      </c>
      <c r="E66" s="55" t="str">
        <f aca="false">HLOOKUP($V$59,'Daten-Funktion'!$B$4:$BC$14,Database!$B5,FALSE())</f>
        <v>F1.2</v>
      </c>
      <c r="F66" s="54" t="n">
        <f aca="false">HLOOKUP($V$59,'Daten-THGE'!$B$4:$BC$14,Database!$B5,FALSE())</f>
        <v>0.118</v>
      </c>
      <c r="G66" s="54" t="n">
        <f aca="false">HLOOKUP($V$59,'Daten-Dichte'!$B$4:$BC$14,Database!$B5,FALSE())</f>
        <v>1100</v>
      </c>
      <c r="H66" s="54" t="n">
        <f aca="false">HLOOKUP($V$59,'Daten-Dicke'!$B$4:$BC$14,Database!$B5,FALSE())</f>
        <v>0.654545454545455</v>
      </c>
      <c r="I66" s="57"/>
      <c r="J66" s="20" t="n">
        <f aca="false">IF(I66=0,G66*H66/100*F66,F66*G66*I66/1000)</f>
        <v>0.8496</v>
      </c>
      <c r="K66" s="7"/>
      <c r="L66" s="7"/>
    </row>
    <row r="67" customFormat="false" ht="15.75" hidden="false" customHeight="false" outlineLevel="0" collapsed="false">
      <c r="B67" s="7"/>
      <c r="C67" s="7"/>
      <c r="D67" s="54" t="str">
        <f aca="false">HLOOKUP($V$59,'Daten-Zusammensetzung Bauteil'!$B$4:$BC$14,Database!$B6,FALSE())</f>
        <v>Bitumenemulsion [m2]</v>
      </c>
      <c r="E67" s="55" t="str">
        <f aca="false">HLOOKUP($V$59,'Daten-Funktion'!$B$4:$BC$14,Database!$B6,FALSE())</f>
        <v>F1.2</v>
      </c>
      <c r="F67" s="54" t="n">
        <f aca="false">HLOOKUP($V$59,'Daten-THGE'!$B$4:$BC$14,Database!$B6,FALSE())</f>
        <v>0.0941333333333333</v>
      </c>
      <c r="G67" s="54" t="n">
        <f aca="false">HLOOKUP($V$59,'Daten-Dichte'!$B$4:$BC$14,Database!$B6,FALSE())</f>
        <v>125</v>
      </c>
      <c r="H67" s="54" t="n">
        <f aca="false">HLOOKUP($V$59,'Daten-Dicke'!$B$4:$BC$14,Database!$B6,FALSE())</f>
        <v>0.2</v>
      </c>
      <c r="I67" s="57"/>
      <c r="J67" s="20" t="n">
        <f aca="false">IF(I67=0,G67*H67/100*F67,F67*G67*I67/1000)</f>
        <v>0.0235333333333333</v>
      </c>
      <c r="K67" s="7"/>
      <c r="L67" s="7"/>
    </row>
    <row r="68" customFormat="false" ht="15.75" hidden="false" customHeight="false" outlineLevel="0" collapsed="false">
      <c r="C68" s="7"/>
      <c r="D68" s="54" t="str">
        <f aca="false">HLOOKUP($V$59,'Daten-Zusammensetzung Bauteil'!$B$4:$BC$14,Database!$B7,FALSE())</f>
        <v>1x EP4 Polymerbitumenbahn [kg]</v>
      </c>
      <c r="E68" s="55" t="str">
        <f aca="false">HLOOKUP($V$59,'Daten-Funktion'!$B$4:$BC$14,Database!$B7,FALSE())</f>
        <v>F1.2</v>
      </c>
      <c r="F68" s="54" t="n">
        <f aca="false">HLOOKUP($V$59,'Daten-THGE'!$B$4:$BC$14,Database!$B7,FALSE())</f>
        <v>0.108333333333333</v>
      </c>
      <c r="G68" s="54" t="n">
        <f aca="false">HLOOKUP($V$59,'Daten-Dichte'!$B$4:$BC$14,Database!$B7,FALSE())</f>
        <v>1100</v>
      </c>
      <c r="H68" s="54" t="n">
        <f aca="false">HLOOKUP($V$59,'Daten-Dicke'!$B$4:$BC$14,Database!$B7,FALSE())</f>
        <v>0.472727272727273</v>
      </c>
      <c r="I68" s="57"/>
      <c r="J68" s="20" t="n">
        <f aca="false">IF(I68=0,G68*H68/100*F68,F68*G68*I68/1000)</f>
        <v>0.563333333333333</v>
      </c>
    </row>
    <row r="69" customFormat="false" ht="15.75" hidden="false" customHeight="false" outlineLevel="0" collapsed="false">
      <c r="D69" s="54" t="str">
        <f aca="false">HLOOKUP($V$59,'Daten-Zusammensetzung Bauteil'!$B$4:$BC$14,Database!$B8,FALSE())</f>
        <v>PP-Vlies Trenn-/Schutzvlies [kg]</v>
      </c>
      <c r="E69" s="55" t="str">
        <f aca="false">HLOOKUP($V$59,'Daten-Funktion'!$B$4:$BC$14,Database!$B8,FALSE())</f>
        <v>F1.2</v>
      </c>
      <c r="F69" s="54" t="n">
        <f aca="false">HLOOKUP($V$59,'Daten-THGE'!$B$4:$BC$14,Database!$B8,FALSE())</f>
        <v>0.184333333333333</v>
      </c>
      <c r="G69" s="54" t="n">
        <f aca="false">HLOOKUP($V$59,'Daten-Dichte'!$B$4:$BC$14,Database!$B8,FALSE())</f>
        <v>920</v>
      </c>
      <c r="H69" s="54" t="n">
        <f aca="false">HLOOKUP($V$59,'Daten-Dicke'!$B$4:$BC$14,Database!$B8,FALSE())</f>
        <v>0.0152173913043478</v>
      </c>
      <c r="I69" s="57"/>
      <c r="J69" s="20" t="n">
        <f aca="false">IF(I69=0,G69*H69/100*F69,F69*G69*I69/1000)</f>
        <v>0.0258066666666667</v>
      </c>
    </row>
    <row r="70" customFormat="false" ht="15.75" hidden="false" customHeight="false" outlineLevel="0" collapsed="false">
      <c r="C70" s="37"/>
      <c r="D70" s="54" t="str">
        <f aca="false">HLOOKUP($V$59,'Daten-Zusammensetzung Bauteil'!$B$4:$BC$14,Database!$B9,FALSE())</f>
        <v>Kies 3 cm [kg]</v>
      </c>
      <c r="E70" s="55" t="str">
        <f aca="false">HLOOKUP($V$59,'Daten-Funktion'!$B$4:$BC$14,Database!$B9,FALSE())</f>
        <v>F1.2</v>
      </c>
      <c r="F70" s="54" t="n">
        <f aca="false">HLOOKUP($V$59,'Daten-THGE'!$B$4:$BC$14,Database!$B9,FALSE())</f>
        <v>0.00039</v>
      </c>
      <c r="G70" s="54" t="n">
        <f aca="false">HLOOKUP($V$59,'Daten-Dichte'!$B$4:$BC$14,Database!$B9,FALSE())</f>
        <v>2000</v>
      </c>
      <c r="H70" s="54" t="n">
        <f aca="false">HLOOKUP($V$59,'Daten-Dicke'!$B$4:$BC$14,Database!$B9,FALSE())</f>
        <v>2.25</v>
      </c>
      <c r="I70" s="57"/>
      <c r="J70" s="20" t="n">
        <f aca="false">IF(I70=0,G70*H70/100*F70,F70*G70*I70/1000)</f>
        <v>0.01755</v>
      </c>
    </row>
    <row r="71" customFormat="false" ht="15.75" hidden="false" customHeight="false" outlineLevel="0" collapsed="false">
      <c r="D71" s="54" t="str">
        <f aca="false">HLOOKUP($V$59,'Daten-Zusammensetzung Bauteil'!$B$4:$BC$14,Database!$B10,FALSE())</f>
        <v>Substrat 7 cm [kg]</v>
      </c>
      <c r="E71" s="55" t="str">
        <f aca="false">HLOOKUP($V$59,'Daten-Funktion'!$B$4:$BC$14,Database!$B10,FALSE())</f>
        <v>F1.2</v>
      </c>
      <c r="F71" s="54" t="n">
        <f aca="false">HLOOKUP($V$59,'Daten-THGE'!$B$4:$BC$14,Database!$B10,FALSE())</f>
        <v>0.000466666666666667</v>
      </c>
      <c r="G71" s="54" t="n">
        <f aca="false">HLOOKUP($V$59,'Daten-Dichte'!$B$4:$BC$14,Database!$B10,FALSE())</f>
        <v>2000</v>
      </c>
      <c r="H71" s="54" t="n">
        <f aca="false">HLOOKUP($V$59,'Daten-Dicke'!$B$4:$BC$14,Database!$B10,FALSE())</f>
        <v>3.5</v>
      </c>
      <c r="I71" s="57"/>
      <c r="J71" s="20" t="n">
        <f aca="false">IF(I71=0,G71*H71/100*F71,F71*G71*I71/1000)</f>
        <v>0.0326666666666667</v>
      </c>
    </row>
    <row r="73" customFormat="false" ht="15" hidden="false" customHeight="false" outlineLevel="0" collapsed="false">
      <c r="M73" s="58"/>
      <c r="N73" s="58"/>
      <c r="O73" s="58"/>
      <c r="P73" s="58"/>
      <c r="Q73" s="58"/>
      <c r="R73" s="58"/>
      <c r="S73" s="58"/>
      <c r="T73" s="58"/>
      <c r="U73" s="58"/>
    </row>
  </sheetData>
  <dataValidations count="6">
    <dataValidation allowBlank="true" errorStyle="stop" operator="between" showDropDown="false" showErrorMessage="true" showInputMessage="true" sqref="C5 W18 B23:C23 C40 W43 B58:C58" type="list">
      <formula1>Database!$H$4:$H$6</formula1>
      <formula2>0</formula2>
    </dataValidation>
    <dataValidation allowBlank="true" errorStyle="stop" operator="between" showDropDown="false" showErrorMessage="true" showInputMessage="true" sqref="B60" type="list">
      <formula1>IF($C$30=Database!$S$28,Database!$S$46:$S$47,Database!$S$46)</formula1>
      <formula2>0</formula2>
    </dataValidation>
    <dataValidation allowBlank="true" errorStyle="stop" operator="between" showDropDown="false" showErrorMessage="true" showInputMessage="true" sqref="B61" type="list">
      <formula1>Database!$S$48:$S$49</formula1>
      <formula2>0</formula2>
    </dataValidation>
    <dataValidation allowBlank="true" errorStyle="stop" operator="between" showDropDown="false" showErrorMessage="true" showInputMessage="true" sqref="W45" type="list">
      <formula1>Database!$V$46:$V$47</formula1>
      <formula2>0</formula2>
    </dataValidation>
    <dataValidation allowBlank="true" errorStyle="stop" operator="between" showDropDown="false" showErrorMessage="true" showInputMessage="true" sqref="B24 B59" type="list">
      <formula1>Database!$D$18:$D$19</formula1>
      <formula2>0</formula2>
    </dataValidation>
    <dataValidation allowBlank="true" errorStyle="stop" operator="between" showDropDown="false" showErrorMessage="true" showInputMessage="true" sqref="W19 W44" type="list">
      <formula1>Database!$D$14:$D$15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B2:P5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O12" activeCellId="0" sqref="O12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45.14"/>
    <col collapsed="false" customWidth="true" hidden="false" outlineLevel="0" max="4" min="4" style="51" width="8.86"/>
    <col collapsed="false" customWidth="true" hidden="false" outlineLevel="0" max="5" min="5" style="0" width="15.42"/>
    <col collapsed="false" customWidth="true" hidden="false" outlineLevel="0" max="6" min="6" style="0" width="13.43"/>
    <col collapsed="false" customWidth="true" hidden="false" outlineLevel="0" max="7" min="7" style="0" width="10.42"/>
    <col collapsed="false" customWidth="true" hidden="false" outlineLevel="0" max="8" min="8" style="0" width="19.85"/>
    <col collapsed="false" customWidth="true" hidden="false" outlineLevel="0" max="9" min="9" style="0" width="17.4"/>
    <col collapsed="false" customWidth="true" hidden="false" outlineLevel="0" max="10" min="10" style="0" width="18.42"/>
    <col collapsed="false" customWidth="true" hidden="false" outlineLevel="0" max="11" min="11" style="0" width="11.86"/>
    <col collapsed="false" customWidth="true" hidden="false" outlineLevel="0" max="12" min="12" style="51" width="25.86"/>
    <col collapsed="false" customWidth="true" hidden="false" outlineLevel="0" max="14" min="13" style="51" width="27.99"/>
    <col collapsed="false" customWidth="true" hidden="false" outlineLevel="0" max="15" min="15" style="51" width="11.86"/>
    <col collapsed="false" customWidth="true" hidden="false" outlineLevel="0" max="17" min="16" style="0" width="3.14"/>
  </cols>
  <sheetData>
    <row r="2" customFormat="false" ht="15" hidden="false" customHeight="false" outlineLevel="0" collapsed="false">
      <c r="L2" s="64" t="s">
        <v>267</v>
      </c>
      <c r="M2" s="64" t="s">
        <v>302</v>
      </c>
      <c r="N2" s="64" t="s">
        <v>303</v>
      </c>
    </row>
    <row r="3" customFormat="false" ht="20.25" hidden="false" customHeight="false" outlineLevel="0" collapsed="false">
      <c r="B3" s="6" t="s">
        <v>256</v>
      </c>
      <c r="C3" s="37" t="s">
        <v>257</v>
      </c>
      <c r="D3" s="52" t="s">
        <v>258</v>
      </c>
      <c r="E3" s="37" t="s">
        <v>259</v>
      </c>
      <c r="F3" s="37" t="s">
        <v>260</v>
      </c>
      <c r="G3" s="37" t="s">
        <v>261</v>
      </c>
      <c r="H3" s="53" t="s">
        <v>262</v>
      </c>
      <c r="I3" s="37" t="s">
        <v>263</v>
      </c>
      <c r="J3" s="8" t="s">
        <v>102</v>
      </c>
      <c r="K3" s="7"/>
    </row>
    <row r="4" customFormat="false" ht="15.75" hidden="false" customHeight="false" outlineLevel="0" collapsed="false">
      <c r="B4" s="37" t="s">
        <v>91</v>
      </c>
      <c r="C4" s="54" t="str">
        <f aca="false">HLOOKUP($P$4,'Daten-Zusammensetzung Bauteil'!$B$4:$BC$10,Database!$B4,FALSE())</f>
        <v>15 cm Backstein [kg]</v>
      </c>
      <c r="D4" s="55" t="str">
        <f aca="false">MID(HLOOKUP($P$4,'Daten-Funktion'!$B$4:$BC$10,Database!$B4,FALSE()),1,2)</f>
        <v>C2</v>
      </c>
      <c r="E4" s="54" t="n">
        <f aca="false">HLOOKUP($P$4,'Daten-THGE'!$B$4:$BC$10,Database!$B4,FALSE())</f>
        <v>0.0043</v>
      </c>
      <c r="F4" s="54" t="n">
        <f aca="false">HLOOKUP($P$4,'Daten-Dichte'!$B$4:$BC$10,Database!$B4,FALSE())</f>
        <v>900</v>
      </c>
      <c r="G4" s="54" t="n">
        <f aca="false">HLOOKUP($P$4,'Daten-Dicke'!$B$4:$BC$10,Database!$B4,FALSE())</f>
        <v>15</v>
      </c>
      <c r="H4" s="9"/>
      <c r="I4" s="20" t="n">
        <f aca="false">IF(H4=0,F4*G4/100*E4,E4*F4*H4/1000)</f>
        <v>0.5805</v>
      </c>
      <c r="J4" s="56" t="n">
        <f aca="false">SUM(I4:I9)*Gebäude!$C$19</f>
        <v>652.717683455</v>
      </c>
      <c r="K4" s="37" t="s">
        <v>31</v>
      </c>
      <c r="L4" s="68" t="n">
        <f aca="false">IF(D4="C2",1,0)</f>
        <v>1</v>
      </c>
      <c r="M4" s="68" t="n">
        <f aca="false">IF(D4="G3.1",1,0)</f>
        <v>0</v>
      </c>
      <c r="N4" s="68" t="n">
        <f aca="false">IF(D4="G3.2",1,0)</f>
        <v>0</v>
      </c>
      <c r="P4" s="76" t="str">
        <f aca="false">IF($B$5=Database!$H$4,VLOOKUP($B$6,Database!$D$18:$G$19,4,FALSE()),VLOOKUP(Innenwand!$B$5,Database!$H$5:$P$6,9,FALSE()))</f>
        <v>9b</v>
      </c>
    </row>
    <row r="5" customFormat="false" ht="15.75" hidden="false" customHeight="false" outlineLevel="0" collapsed="false">
      <c r="B5" s="37" t="s">
        <v>113</v>
      </c>
      <c r="C5" s="54" t="str">
        <f aca="false">HLOOKUP($P$4,'Daten-Zusammensetzung Bauteil'!$B$4:$BC$10,Database!$B5,FALSE())</f>
        <v>Mörtel [kg]</v>
      </c>
      <c r="D5" s="55" t="str">
        <f aca="false">MID(HLOOKUP($P$4,'Daten-Funktion'!$B$4:$BC$10,Database!$B5,FALSE()),1,2)</f>
        <v>C2</v>
      </c>
      <c r="E5" s="54" t="n">
        <f aca="false">HLOOKUP($P$4,'Daten-THGE'!$B$4:$BC$10,Database!$B5,FALSE())</f>
        <v>0.00448333333333333</v>
      </c>
      <c r="F5" s="54" t="n">
        <f aca="false">HLOOKUP($P$4,'Daten-Dichte'!$B$4:$BC$10,Database!$B5,FALSE())</f>
        <v>1550</v>
      </c>
      <c r="G5" s="54" t="n">
        <f aca="false">HLOOKUP($P$4,'Daten-Dicke'!$B$4:$BC$10,Database!$B5,FALSE())</f>
        <v>2.80974193548387</v>
      </c>
      <c r="H5" s="9"/>
      <c r="I5" s="20" t="n">
        <f aca="false">IF(H5=0,F5*G5/100*E5,E5*F5*H5/1000)</f>
        <v>0.19525365</v>
      </c>
      <c r="J5" s="54"/>
      <c r="K5" s="7"/>
      <c r="L5" s="68" t="n">
        <f aca="false">IF(D5="C2",1,0)</f>
        <v>1</v>
      </c>
      <c r="M5" s="68" t="n">
        <f aca="false">IF(D5="G3.1",1,0)</f>
        <v>0</v>
      </c>
      <c r="N5" s="68" t="n">
        <f aca="false">IF(D5="G3.2",1,0)</f>
        <v>0</v>
      </c>
      <c r="P5" s="76"/>
    </row>
    <row r="6" customFormat="false" ht="15.75" hidden="false" customHeight="false" outlineLevel="0" collapsed="false">
      <c r="B6" s="37" t="str">
        <f aca="false">IF(B14="Massivbauweise",Gebäude!$G$13,"Geneigtes Dach")</f>
        <v>Geneigtes Dach</v>
      </c>
      <c r="C6" s="54" t="str">
        <f aca="false">HLOOKUP($P$4,'Daten-Zusammensetzung Bauteil'!$B$4:$BC$10,Database!$B6,FALSE())</f>
        <v>Kalk-Zementgrundputz [kg]</v>
      </c>
      <c r="D6" s="55" t="str">
        <f aca="false">HLOOKUP($P$4,'Daten-Funktion'!$B$4:$BC$10,Database!$B6,FALSE())</f>
        <v>G3.1</v>
      </c>
      <c r="E6" s="54" t="n">
        <f aca="false">HLOOKUP($P$4,'Daten-THGE'!$B$4:$BC$10,Database!$B6,FALSE())</f>
        <v>0.00823333333333333</v>
      </c>
      <c r="F6" s="54" t="n">
        <f aca="false">HLOOKUP($P$4,'Daten-Dichte'!$B$4:$BC$10,Database!$B6,FALSE())</f>
        <v>1550</v>
      </c>
      <c r="G6" s="54" t="n">
        <f aca="false">HLOOKUP($P$4,'Daten-Dicke'!$B$4:$BC$10,Database!$B6,FALSE())</f>
        <v>2.32258064516129</v>
      </c>
      <c r="H6" s="57"/>
      <c r="I6" s="20" t="n">
        <f aca="false">IF(H6=0,F6*G6/100*E6,E6*F6*H6/1000)</f>
        <v>0.2964</v>
      </c>
      <c r="J6" s="7"/>
      <c r="K6" s="7"/>
      <c r="L6" s="68" t="n">
        <f aca="false">IF(D6="C2",1,0)</f>
        <v>0</v>
      </c>
      <c r="M6" s="68" t="n">
        <f aca="false">IF(D6="G3.1",1,0)</f>
        <v>1</v>
      </c>
      <c r="N6" s="68" t="n">
        <f aca="false">IF(D6="G3.2",1,0)</f>
        <v>0</v>
      </c>
      <c r="P6" s="76"/>
    </row>
    <row r="7" customFormat="false" ht="15.75" hidden="false" customHeight="false" outlineLevel="0" collapsed="false">
      <c r="B7" s="7"/>
      <c r="C7" s="54" t="str">
        <f aca="false">HLOOKUP($P$4,'Daten-Zusammensetzung Bauteil'!$B$4:$BC$10,Database!$B7,FALSE())</f>
        <v>Deckputz (Weissputz) [kg]</v>
      </c>
      <c r="D7" s="55" t="str">
        <f aca="false">HLOOKUP($P$4,'Daten-Funktion'!$B$4:$BC$10,Database!$B7,FALSE())</f>
        <v>G3.2</v>
      </c>
      <c r="E7" s="54" t="n">
        <f aca="false">HLOOKUP($P$4,'Daten-THGE'!$B$4:$BC$10,Database!$B7,FALSE())</f>
        <v>0.0049</v>
      </c>
      <c r="F7" s="54" t="n">
        <f aca="false">HLOOKUP($P$4,'Daten-Dichte'!$B$4:$BC$10,Database!$B7,FALSE())</f>
        <v>1100</v>
      </c>
      <c r="G7" s="54" t="n">
        <f aca="false">HLOOKUP($P$4,'Daten-Dicke'!$B$4:$BC$10,Database!$B7,FALSE())</f>
        <v>0.636363636363636</v>
      </c>
      <c r="H7" s="57"/>
      <c r="I7" s="20" t="n">
        <f aca="false">IF(H7=0,F7*G7/100*E7,E7*F7*H7/1000)</f>
        <v>0.0343</v>
      </c>
      <c r="J7" s="7"/>
      <c r="K7" s="7"/>
      <c r="L7" s="68" t="n">
        <f aca="false">IF(D7="C2",1,0)</f>
        <v>0</v>
      </c>
      <c r="M7" s="68" t="n">
        <f aca="false">IF(D7="G3.1",1,0)</f>
        <v>0</v>
      </c>
      <c r="N7" s="68" t="n">
        <f aca="false">IF(D7="G3.2",1,0)</f>
        <v>1</v>
      </c>
      <c r="P7" s="76"/>
    </row>
    <row r="8" customFormat="false" ht="15.75" hidden="false" customHeight="false" outlineLevel="0" collapsed="false">
      <c r="B8" s="7"/>
      <c r="C8" s="54" t="str">
        <f aca="false">HLOOKUP($P$4,'Daten-Zusammensetzung Bauteil'!$B$4:$BC$10,Database!$B8,FALSE())</f>
        <v>Wanddispersion [m2]</v>
      </c>
      <c r="D8" s="55" t="str">
        <f aca="false">HLOOKUP($P$4,'Daten-Funktion'!$B$4:$BC$10,Database!$B8,FALSE())</f>
        <v>G3.2</v>
      </c>
      <c r="E8" s="54" t="n">
        <f aca="false">HLOOKUP($P$4,'Daten-THGE'!$B$4:$BC$10,Database!$B8,FALSE())</f>
        <v>0.151111111111111</v>
      </c>
      <c r="F8" s="54" t="n">
        <f aca="false">HLOOKUP($P$4,'Daten-Dichte'!$B$4:$BC$10,Database!$B8,FALSE())</f>
        <v>150</v>
      </c>
      <c r="G8" s="54" t="n">
        <f aca="false">HLOOKUP($P$4,'Daten-Dicke'!$B$4:$BC$10,Database!$B8,FALSE())</f>
        <v>0.2</v>
      </c>
      <c r="H8" s="57"/>
      <c r="I8" s="20" t="n">
        <f aca="false">IF(H8=0,F8*G8/100*E8,E8*F8*H8/1000)</f>
        <v>0.0453333333333333</v>
      </c>
      <c r="J8" s="7"/>
      <c r="K8" s="7"/>
      <c r="L8" s="68" t="n">
        <f aca="false">IF(D8="C2",1,0)</f>
        <v>0</v>
      </c>
      <c r="M8" s="68" t="n">
        <f aca="false">IF(D8="G3.1",1,0)</f>
        <v>0</v>
      </c>
      <c r="N8" s="68" t="n">
        <f aca="false">IF(D8="G3.2",1,0)</f>
        <v>1</v>
      </c>
      <c r="P8" s="76"/>
    </row>
    <row r="9" customFormat="false" ht="15.75" hidden="false" customHeight="false" outlineLevel="0" collapsed="false">
      <c r="B9" s="7"/>
      <c r="C9" s="54" t="n">
        <f aca="false">HLOOKUP($P$4,'Daten-Zusammensetzung Bauteil'!$B$4:$BC$10,Database!$B9,FALSE())</f>
        <v>0</v>
      </c>
      <c r="D9" s="55" t="n">
        <f aca="false">HLOOKUP($P$4,'Daten-Funktion'!$B$4:$BC$10,Database!$B9,FALSE())</f>
        <v>0</v>
      </c>
      <c r="E9" s="54" t="n">
        <f aca="false">HLOOKUP($P$4,'Daten-THGE'!$B$4:$BC$10,Database!$B9,FALSE())</f>
        <v>0</v>
      </c>
      <c r="F9" s="54" t="n">
        <f aca="false">HLOOKUP($P$4,'Daten-Dichte'!$B$4:$BC$10,Database!$B9,FALSE())</f>
        <v>0</v>
      </c>
      <c r="G9" s="54" t="n">
        <f aca="false">HLOOKUP($P$4,'Daten-Dicke'!$B$4:$BC$10,Database!$B9,FALSE())</f>
        <v>0</v>
      </c>
      <c r="H9" s="57"/>
      <c r="I9" s="20" t="n">
        <f aca="false">IF(H9=0,F9*G9/100*E9,E9*F9*H9/1000)</f>
        <v>0</v>
      </c>
      <c r="J9" s="7"/>
      <c r="K9" s="7"/>
      <c r="L9" s="82" t="n">
        <f aca="false">IF(D9="C2",1,0)</f>
        <v>0</v>
      </c>
      <c r="M9" s="82" t="n">
        <f aca="false">IF(D9="G3.1",1,0)</f>
        <v>0</v>
      </c>
      <c r="N9" s="82" t="n">
        <f aca="false">IF(D9="G3.2",1,0)</f>
        <v>0</v>
      </c>
    </row>
    <row r="10" customFormat="false" ht="15.75" hidden="false" customHeight="false" outlineLevel="0" collapsed="false">
      <c r="B10" s="7"/>
      <c r="C10" s="54"/>
      <c r="D10" s="55"/>
      <c r="E10" s="54"/>
      <c r="F10" s="54"/>
      <c r="G10" s="54"/>
      <c r="H10" s="20"/>
      <c r="I10" s="20"/>
      <c r="J10" s="7"/>
      <c r="K10" s="7"/>
      <c r="L10" s="68" t="n">
        <f aca="false">SUMPRODUCT(I4:I9*L4:L9)/SUM(I4:I9)</f>
        <v>0.673521806744965</v>
      </c>
      <c r="M10" s="68" t="n">
        <f aca="false">SUMPRODUCT(I4:I9*M4:M9)/SUM(I4:I9)</f>
        <v>0.257339251345073</v>
      </c>
      <c r="N10" s="68" t="n">
        <f aca="false">SUMPRODUCT(I4:I9*N4:N9)/SUM(I4:I9)</f>
        <v>0.0691389419099617</v>
      </c>
      <c r="O10" s="68" t="n">
        <f aca="false">SUM(L10:N10)</f>
        <v>1</v>
      </c>
    </row>
    <row r="12" customFormat="false" ht="20.25" hidden="false" customHeight="false" outlineLevel="0" collapsed="false">
      <c r="B12" s="6" t="s">
        <v>256</v>
      </c>
      <c r="C12" s="37" t="s">
        <v>257</v>
      </c>
      <c r="D12" s="52" t="s">
        <v>258</v>
      </c>
      <c r="E12" s="37" t="s">
        <v>259</v>
      </c>
      <c r="F12" s="37" t="s">
        <v>260</v>
      </c>
      <c r="G12" s="37" t="s">
        <v>261</v>
      </c>
      <c r="H12" s="53" t="s">
        <v>262</v>
      </c>
      <c r="I12" s="37" t="s">
        <v>263</v>
      </c>
      <c r="J12" s="8" t="s">
        <v>102</v>
      </c>
      <c r="K12" s="7"/>
    </row>
    <row r="13" customFormat="false" ht="15.75" hidden="false" customHeight="false" outlineLevel="0" collapsed="false">
      <c r="B13" s="37" t="s">
        <v>96</v>
      </c>
      <c r="C13" s="54" t="str">
        <f aca="false">HLOOKUP($P$13,'Daten-Zusammensetzung Bauteil'!$B$4:$BC$10,Database!$B4,FALSE())</f>
        <v>4 x 12.5 mm Gipskartonplatten [kg]</v>
      </c>
      <c r="D13" s="55" t="str">
        <f aca="false">MID(HLOOKUP($P$13,'Daten-Funktion'!$B$4:$BC$10,Database!$B4,FALSE()),1,2)</f>
        <v>C2</v>
      </c>
      <c r="E13" s="54" t="n">
        <f aca="false">HLOOKUP($P$13,'Daten-THGE'!$B$4:$BC$10,Database!$B4,FALSE())</f>
        <v>0.00976666666666667</v>
      </c>
      <c r="F13" s="54" t="n">
        <f aca="false">HLOOKUP($P$13,'Daten-Dichte'!$B$4:$BC$10,Database!$B4,FALSE())</f>
        <v>850</v>
      </c>
      <c r="G13" s="54" t="n">
        <f aca="false">HLOOKUP($P$13,'Daten-Dicke'!$B$4:$BC$10,Database!$B4,FALSE())</f>
        <v>5</v>
      </c>
      <c r="H13" s="9"/>
      <c r="I13" s="20" t="n">
        <f aca="false">IF(H13=0,F13*G13/100*E13,E13*F13*H13/1000)</f>
        <v>0.415083333333333</v>
      </c>
      <c r="J13" s="56" t="n">
        <f aca="false">SUM(I13:I18)*Gebäude!$C$20</f>
        <v>820.5426866</v>
      </c>
      <c r="K13" s="37" t="s">
        <v>31</v>
      </c>
      <c r="L13" s="68" t="n">
        <f aca="false">IF(D13="C2",1,0)</f>
        <v>1</v>
      </c>
      <c r="M13" s="68" t="n">
        <f aca="false">IF(D13="G3.1",1,0)</f>
        <v>0</v>
      </c>
      <c r="N13" s="68" t="n">
        <f aca="false">IF(D13="G3.2",1,0)</f>
        <v>0</v>
      </c>
      <c r="P13" s="76" t="s">
        <v>147</v>
      </c>
    </row>
    <row r="14" customFormat="false" ht="15.75" hidden="false" customHeight="false" outlineLevel="0" collapsed="false">
      <c r="B14" s="37" t="str">
        <f aca="false">Gebäude!G4</f>
        <v>Mischbauweise</v>
      </c>
      <c r="C14" s="54" t="str">
        <f aca="false">HLOOKUP($P$13,'Daten-Zusammensetzung Bauteil'!$B$4:$BC$10,Database!$B5,FALSE())</f>
        <v>Stahlprofile verzinkt [kg]</v>
      </c>
      <c r="D14" s="55" t="str">
        <f aca="false">MID(HLOOKUP($P$13,'Daten-Funktion'!$B$4:$BC$10,Database!$B5,FALSE()),1,2)</f>
        <v>C2</v>
      </c>
      <c r="E14" s="54" t="n">
        <f aca="false">HLOOKUP($P$13,'Daten-THGE'!$B$4:$BC$10,Database!$B5,FALSE())</f>
        <v>0.0244666666666667</v>
      </c>
      <c r="F14" s="54" t="n">
        <f aca="false">HLOOKUP($P$13,'Daten-Dichte'!$B$4:$BC$10,Database!$B5,FALSE())</f>
        <v>7850</v>
      </c>
      <c r="G14" s="54" t="n">
        <f aca="false">HLOOKUP($P$13,'Daten-Dicke'!$B$4:$BC$10,Database!$B5,FALSE())</f>
        <v>0.0336305732484076</v>
      </c>
      <c r="H14" s="9"/>
      <c r="I14" s="20" t="n">
        <f aca="false">IF(H14=0,F14*G14/100*E14,E14*F14*H14/1000)</f>
        <v>0.064592</v>
      </c>
      <c r="J14" s="54"/>
      <c r="K14" s="7"/>
      <c r="L14" s="68" t="n">
        <f aca="false">IF(D14="C2",1,0)</f>
        <v>1</v>
      </c>
      <c r="M14" s="68" t="n">
        <f aca="false">IF(D14="G3.1",1,0)</f>
        <v>0</v>
      </c>
      <c r="N14" s="68" t="n">
        <f aca="false">IF(D14="G3.2",1,0)</f>
        <v>0</v>
      </c>
      <c r="P14" s="76"/>
    </row>
    <row r="15" customFormat="false" ht="15.75" hidden="false" customHeight="false" outlineLevel="0" collapsed="false">
      <c r="B15" s="37" t="str">
        <f aca="false">Gebäude!G13</f>
        <v>Geneigtes Dach</v>
      </c>
      <c r="C15" s="54" t="str">
        <f aca="false">HLOOKUP($P$13,'Daten-Zusammensetzung Bauteil'!$B$4:$BC$10,Database!$B6,FALSE())</f>
        <v>Glaswolle [kg]</v>
      </c>
      <c r="D15" s="55" t="str">
        <f aca="false">MID(HLOOKUP($P$13,'Daten-Funktion'!$B$4:$BC$10,Database!$B6,FALSE()),1,2)</f>
        <v>C2</v>
      </c>
      <c r="E15" s="54" t="n">
        <f aca="false">HLOOKUP($P$13,'Daten-THGE'!$B$4:$BC$10,Database!$B6,FALSE())</f>
        <v>0.0376666666666667</v>
      </c>
      <c r="F15" s="54" t="n">
        <f aca="false">HLOOKUP($P$13,'Daten-Dichte'!$B$4:$BC$10,Database!$B6,FALSE())</f>
        <v>20</v>
      </c>
      <c r="G15" s="54" t="n">
        <f aca="false">HLOOKUP($P$13,'Daten-Dicke'!$B$4:$BC$10,Database!$B6,FALSE())</f>
        <v>5</v>
      </c>
      <c r="H15" s="57"/>
      <c r="I15" s="20" t="n">
        <f aca="false">IF(H15=0,F15*G15/100*E15,E15*F15*H15/1000)</f>
        <v>0.0376666666666667</v>
      </c>
      <c r="J15" s="7"/>
      <c r="K15" s="7"/>
      <c r="L15" s="68" t="n">
        <f aca="false">IF(D15="C2",1,0)</f>
        <v>1</v>
      </c>
      <c r="M15" s="68" t="n">
        <f aca="false">IF(D15="G3.1",1,0)</f>
        <v>0</v>
      </c>
      <c r="N15" s="68" t="n">
        <f aca="false">IF(D15="G3.2",1,0)</f>
        <v>0</v>
      </c>
      <c r="P15" s="76"/>
    </row>
    <row r="16" customFormat="false" ht="15.75" hidden="false" customHeight="false" outlineLevel="0" collapsed="false">
      <c r="B16" s="7"/>
      <c r="C16" s="54" t="str">
        <f aca="false">HLOOKUP($P$13,'Daten-Zusammensetzung Bauteil'!$B$4:$BC$10,Database!$B7,FALSE())</f>
        <v>Spachtel [kg]</v>
      </c>
      <c r="D16" s="55" t="str">
        <f aca="false">HLOOKUP($P$13,'Daten-Funktion'!$B$4:$BC$10,Database!$B7,FALSE())</f>
        <v>G3.2</v>
      </c>
      <c r="E16" s="54" t="n">
        <f aca="false">HLOOKUP($P$13,'Daten-THGE'!$B$4:$BC$10,Database!$B7,FALSE())</f>
        <v>0.00516666666666667</v>
      </c>
      <c r="F16" s="54" t="n">
        <f aca="false">HLOOKUP($P$13,'Daten-Dichte'!$B$4:$BC$10,Database!$B7,FALSE())</f>
        <v>925</v>
      </c>
      <c r="G16" s="54" t="n">
        <f aca="false">HLOOKUP($P$13,'Daten-Dicke'!$B$4:$BC$10,Database!$B7,FALSE())</f>
        <v>1.21081081081081</v>
      </c>
      <c r="H16" s="57"/>
      <c r="I16" s="20" t="n">
        <f aca="false">IF(H16=0,F16*G16/100*E16,E16*F16*H16/1000)</f>
        <v>0.0578666666666667</v>
      </c>
      <c r="J16" s="7"/>
      <c r="K16" s="7"/>
      <c r="L16" s="68" t="n">
        <f aca="false">IF(D16="C2",1,0)</f>
        <v>0</v>
      </c>
      <c r="M16" s="68" t="n">
        <f aca="false">IF(D16="G3.1",1,0)</f>
        <v>0</v>
      </c>
      <c r="N16" s="68" t="n">
        <f aca="false">IF(D16="G3.2",1,0)</f>
        <v>1</v>
      </c>
      <c r="P16" s="76"/>
    </row>
    <row r="17" customFormat="false" ht="15.75" hidden="false" customHeight="false" outlineLevel="0" collapsed="false">
      <c r="B17" s="7"/>
      <c r="C17" s="54" t="str">
        <f aca="false">HLOOKUP($P$13,'Daten-Zusammensetzung Bauteil'!$B$4:$BC$10,Database!$B8,FALSE())</f>
        <v>Wanddispersion [m2]</v>
      </c>
      <c r="D17" s="55" t="str">
        <f aca="false">HLOOKUP($P$13,'Daten-Funktion'!$B$4:$BC$10,Database!$B8,FALSE())</f>
        <v>G3.2</v>
      </c>
      <c r="E17" s="54" t="n">
        <f aca="false">HLOOKUP($P$13,'Daten-THGE'!$B$4:$BC$10,Database!$B8,FALSE())</f>
        <v>0.151111111111111</v>
      </c>
      <c r="F17" s="54" t="n">
        <f aca="false">HLOOKUP($P$13,'Daten-Dichte'!$B$4:$BC$10,Database!$B8,FALSE())</f>
        <v>150</v>
      </c>
      <c r="G17" s="54" t="n">
        <f aca="false">HLOOKUP($P$13,'Daten-Dicke'!$B$4:$BC$10,Database!$B8,FALSE())</f>
        <v>0.2</v>
      </c>
      <c r="H17" s="57"/>
      <c r="I17" s="20" t="n">
        <f aca="false">IF(H17=0,F17*G17/100*E17,E17*F17*H17/1000)</f>
        <v>0.0453333333333333</v>
      </c>
      <c r="J17" s="7"/>
      <c r="K17" s="7"/>
      <c r="L17" s="68" t="n">
        <f aca="false">IF(D17="C2",1,0)</f>
        <v>0</v>
      </c>
      <c r="M17" s="68" t="n">
        <f aca="false">IF(D17="G3.1",1,0)</f>
        <v>0</v>
      </c>
      <c r="N17" s="68" t="n">
        <f aca="false">IF(D17="G3.2",1,0)</f>
        <v>1</v>
      </c>
      <c r="P17" s="76"/>
    </row>
    <row r="18" customFormat="false" ht="15.75" hidden="false" customHeight="false" outlineLevel="0" collapsed="false">
      <c r="B18" s="7"/>
      <c r="C18" s="54" t="n">
        <f aca="false">HLOOKUP($P$13,'Daten-Zusammensetzung Bauteil'!$B$4:$BC$10,Database!$B9,FALSE())</f>
        <v>0</v>
      </c>
      <c r="D18" s="55" t="n">
        <f aca="false">HLOOKUP($P$13,'Daten-Funktion'!$B$4:$BC$10,Database!$B9,FALSE())</f>
        <v>0</v>
      </c>
      <c r="E18" s="54" t="n">
        <f aca="false">HLOOKUP($P$13,'Daten-THGE'!$B$4:$BC$10,Database!$B9,FALSE())</f>
        <v>0</v>
      </c>
      <c r="F18" s="54" t="n">
        <f aca="false">HLOOKUP($P$13,'Daten-Dichte'!$B$4:$BC$10,Database!$B9,FALSE())</f>
        <v>0</v>
      </c>
      <c r="G18" s="54" t="n">
        <f aca="false">HLOOKUP($P$13,'Daten-Dicke'!$B$4:$BC$10,Database!$B9,FALSE())</f>
        <v>0</v>
      </c>
      <c r="H18" s="57"/>
      <c r="I18" s="20" t="n">
        <f aca="false">IF(H18=0,F18*G18/100*E18,E18*F18*H18/1000)</f>
        <v>0</v>
      </c>
      <c r="J18" s="7"/>
      <c r="K18" s="7"/>
      <c r="L18" s="68" t="n">
        <f aca="false">IF(D18="C2",1,0)</f>
        <v>0</v>
      </c>
      <c r="M18" s="68" t="n">
        <f aca="false">IF(D18="G3.1",1,0)</f>
        <v>0</v>
      </c>
      <c r="N18" s="68" t="n">
        <f aca="false">IF(D18="G3.2",1,0)</f>
        <v>0</v>
      </c>
    </row>
    <row r="19" customFormat="false" ht="15.75" hidden="false" customHeight="false" outlineLevel="0" collapsed="false">
      <c r="B19" s="7"/>
      <c r="C19" s="54"/>
      <c r="D19" s="55"/>
      <c r="E19" s="54"/>
      <c r="F19" s="54"/>
      <c r="G19" s="54"/>
      <c r="H19" s="20"/>
      <c r="I19" s="20"/>
      <c r="J19" s="7"/>
      <c r="K19" s="7"/>
      <c r="L19" s="68" t="n">
        <f aca="false">SUMPRODUCT(I13:I18*L13:L18)/SUM(I13:I18)</f>
        <v>0.833693770929284</v>
      </c>
      <c r="M19" s="68" t="n">
        <f aca="false">SUMPRODUCT(I13:I18*M13:M18)/SUM(I13:I18)</f>
        <v>0</v>
      </c>
      <c r="N19" s="68" t="n">
        <f aca="false">SUMPRODUCT(I13:I18*N13:N18)/SUM(I13:I18)</f>
        <v>0.166306229070716</v>
      </c>
      <c r="O19" s="68" t="n">
        <f aca="false">SUM(L19:N19)</f>
        <v>1</v>
      </c>
    </row>
    <row r="22" customFormat="false" ht="15" hidden="false" customHeight="false" outlineLevel="0" collapsed="false">
      <c r="B22" s="59" t="s">
        <v>265</v>
      </c>
    </row>
    <row r="23" customFormat="false" ht="20.25" hidden="false" customHeight="false" outlineLevel="0" collapsed="false">
      <c r="B23" s="6" t="s">
        <v>256</v>
      </c>
      <c r="C23" s="37" t="s">
        <v>257</v>
      </c>
      <c r="D23" s="52"/>
      <c r="E23" s="37" t="s">
        <v>259</v>
      </c>
      <c r="F23" s="37" t="s">
        <v>260</v>
      </c>
      <c r="G23" s="37" t="s">
        <v>261</v>
      </c>
      <c r="H23" s="53" t="s">
        <v>262</v>
      </c>
      <c r="I23" s="37" t="s">
        <v>263</v>
      </c>
      <c r="J23" s="8" t="s">
        <v>102</v>
      </c>
      <c r="K23" s="7"/>
    </row>
    <row r="24" customFormat="false" ht="15.75" hidden="false" customHeight="false" outlineLevel="0" collapsed="false">
      <c r="B24" s="37" t="s">
        <v>92</v>
      </c>
      <c r="C24" s="54" t="str">
        <f aca="false">HLOOKUP($P$24,'Daten-Zusammensetzung Bauteil'!$B$4:$BC$10,Database!$B4,FALSE())</f>
        <v>4 x 12.5 mm Gipskartonplatten [kg]</v>
      </c>
      <c r="D24" s="55" t="str">
        <f aca="false">MID(HLOOKUP($P$13,'Daten-Funktion'!$B$4:$BC$10,Database!$B4,FALSE()),1,2)</f>
        <v>C2</v>
      </c>
      <c r="E24" s="54" t="n">
        <f aca="false">HLOOKUP($P$24,'Daten-THGE'!$B$4:$BC$10,Database!$B4,FALSE())</f>
        <v>0.00976666666666667</v>
      </c>
      <c r="F24" s="54" t="n">
        <f aca="false">HLOOKUP($P$24,'Daten-Dichte'!$B$4:$BC$10,Database!$B4,FALSE())</f>
        <v>850</v>
      </c>
      <c r="G24" s="54" t="n">
        <f aca="false">HLOOKUP($P$24,'Daten-Dicke'!$B$4:$BC$10,Database!$B4,FALSE())</f>
        <v>5</v>
      </c>
      <c r="H24" s="9"/>
      <c r="I24" s="20" t="n">
        <f aca="false">IF(H24=0,F24*G24/100*E24,E24*F24*H24/1000)</f>
        <v>0.415083333333333</v>
      </c>
      <c r="J24" s="29" t="n">
        <f aca="false">SUM(I24:I29)*Gebäude!$C$19</f>
        <v>351.6611514</v>
      </c>
      <c r="K24" s="37" t="s">
        <v>31</v>
      </c>
      <c r="P24" s="76" t="str">
        <f aca="false">IF($B$25=Database!$H$4,VLOOKUP($B$26,Database!$D$18:$G$19,4,FALSE()),VLOOKUP(Innenwand!$B$25,Database!$H$5:$P$6,9,FALSE()))</f>
        <v>9d</v>
      </c>
    </row>
    <row r="25" customFormat="false" ht="15.75" hidden="false" customHeight="false" outlineLevel="0" collapsed="false">
      <c r="B25" s="53" t="s">
        <v>104</v>
      </c>
      <c r="C25" s="54" t="str">
        <f aca="false">HLOOKUP($P$24,'Daten-Zusammensetzung Bauteil'!$B$4:$BC$10,Database!$B5,FALSE())</f>
        <v>Stahlprofile verzinkt [kg]</v>
      </c>
      <c r="D25" s="55" t="str">
        <f aca="false">MID(HLOOKUP($P$13,'Daten-Funktion'!$B$4:$BC$10,Database!$B5,FALSE()),1,2)</f>
        <v>C2</v>
      </c>
      <c r="E25" s="54" t="n">
        <f aca="false">HLOOKUP($P$24,'Daten-THGE'!$B$4:$BC$10,Database!$B5,FALSE())</f>
        <v>0.0244666666666667</v>
      </c>
      <c r="F25" s="54" t="n">
        <f aca="false">HLOOKUP($P$24,'Daten-Dichte'!$B$4:$BC$10,Database!$B5,FALSE())</f>
        <v>7850</v>
      </c>
      <c r="G25" s="54" t="n">
        <f aca="false">HLOOKUP($P$24,'Daten-Dicke'!$B$4:$BC$10,Database!$B5,FALSE())</f>
        <v>0.0336305732484076</v>
      </c>
      <c r="H25" s="9"/>
      <c r="I25" s="20" t="n">
        <f aca="false">IF(H25=0,F25*G25/100*E25,E25*F25*H25/1000)</f>
        <v>0.064592</v>
      </c>
      <c r="J25" s="54"/>
      <c r="K25" s="7"/>
      <c r="P25" s="76"/>
    </row>
    <row r="26" customFormat="false" ht="15.75" hidden="false" customHeight="false" outlineLevel="0" collapsed="false">
      <c r="B26" s="53" t="s">
        <v>304</v>
      </c>
      <c r="C26" s="54" t="str">
        <f aca="false">HLOOKUP($P$24,'Daten-Zusammensetzung Bauteil'!$B$4:$BC$10,Database!$B6,FALSE())</f>
        <v>Glaswolle [kg]</v>
      </c>
      <c r="D26" s="55" t="str">
        <f aca="false">MID(HLOOKUP($P$13,'Daten-Funktion'!$B$4:$BC$10,Database!$B6,FALSE()),1,2)</f>
        <v>C2</v>
      </c>
      <c r="E26" s="54" t="n">
        <f aca="false">HLOOKUP($P$24,'Daten-THGE'!$B$4:$BC$10,Database!$B6,FALSE())</f>
        <v>0.0376666666666667</v>
      </c>
      <c r="F26" s="54" t="n">
        <f aca="false">HLOOKUP($P$24,'Daten-Dichte'!$B$4:$BC$10,Database!$B6,FALSE())</f>
        <v>20</v>
      </c>
      <c r="G26" s="54" t="n">
        <f aca="false">HLOOKUP($P$24,'Daten-Dicke'!$B$4:$BC$10,Database!$B6,FALSE())</f>
        <v>5</v>
      </c>
      <c r="H26" s="57"/>
      <c r="I26" s="20" t="n">
        <f aca="false">IF(H26=0,F26*G26/100*E26,E26*F26*H26/1000)</f>
        <v>0.0376666666666667</v>
      </c>
      <c r="J26" s="7"/>
      <c r="K26" s="7"/>
    </row>
    <row r="27" customFormat="false" ht="15.75" hidden="false" customHeight="false" outlineLevel="0" collapsed="false">
      <c r="C27" s="54" t="str">
        <f aca="false">HLOOKUP($P$24,'Daten-Zusammensetzung Bauteil'!$B$4:$BC$10,Database!$B7,FALSE())</f>
        <v>Spachtel [kg]</v>
      </c>
      <c r="D27" s="55" t="str">
        <f aca="false">HLOOKUP($P$13,'Daten-Funktion'!$B$4:$BC$10,Database!$B7,FALSE())</f>
        <v>G3.2</v>
      </c>
      <c r="E27" s="54" t="n">
        <f aca="false">HLOOKUP($P$24,'Daten-THGE'!$B$4:$BC$10,Database!$B7,FALSE())</f>
        <v>0.00516666666666667</v>
      </c>
      <c r="F27" s="54" t="n">
        <f aca="false">HLOOKUP($P$24,'Daten-Dichte'!$B$4:$BC$10,Database!$B7,FALSE())</f>
        <v>925</v>
      </c>
      <c r="G27" s="54" t="n">
        <f aca="false">HLOOKUP($P$24,'Daten-Dicke'!$B$4:$BC$10,Database!$B7,FALSE())</f>
        <v>1.21081081081081</v>
      </c>
      <c r="H27" s="57"/>
      <c r="I27" s="20" t="n">
        <f aca="false">IF(H27=0,F27*G27/100*E27,E27*F27*H27/1000)</f>
        <v>0.0578666666666667</v>
      </c>
      <c r="J27" s="7"/>
      <c r="K27" s="7"/>
    </row>
    <row r="28" customFormat="false" ht="15.75" hidden="false" customHeight="false" outlineLevel="0" collapsed="false">
      <c r="C28" s="54" t="str">
        <f aca="false">HLOOKUP($P$24,'Daten-Zusammensetzung Bauteil'!$B$4:$BC$10,Database!$B8,FALSE())</f>
        <v>Wanddispersion [m2]</v>
      </c>
      <c r="D28" s="55" t="str">
        <f aca="false">HLOOKUP($P$13,'Daten-Funktion'!$B$4:$BC$10,Database!$B8,FALSE())</f>
        <v>G3.2</v>
      </c>
      <c r="E28" s="54" t="n">
        <f aca="false">HLOOKUP($P$24,'Daten-THGE'!$B$4:$BC$10,Database!$B8,FALSE())</f>
        <v>0.151111111111111</v>
      </c>
      <c r="F28" s="54" t="n">
        <f aca="false">HLOOKUP($P$24,'Daten-Dichte'!$B$4:$BC$10,Database!$B8,FALSE())</f>
        <v>150</v>
      </c>
      <c r="G28" s="54" t="n">
        <f aca="false">HLOOKUP($P$24,'Daten-Dicke'!$B$4:$BC$10,Database!$B8,FALSE())</f>
        <v>0.2</v>
      </c>
      <c r="H28" s="57"/>
      <c r="I28" s="20" t="n">
        <f aca="false">IF(H28=0,F28*G28/100*E28,E28*F28*H28/1000)</f>
        <v>0.0453333333333333</v>
      </c>
      <c r="J28" s="7"/>
      <c r="K28" s="7"/>
    </row>
    <row r="29" customFormat="false" ht="15.75" hidden="false" customHeight="false" outlineLevel="0" collapsed="false">
      <c r="C29" s="54" t="n">
        <f aca="false">HLOOKUP($P$24,'Daten-Zusammensetzung Bauteil'!$B$4:$BC$10,Database!$B9,FALSE())</f>
        <v>0</v>
      </c>
      <c r="D29" s="55" t="n">
        <f aca="false">HLOOKUP($P$13,'Daten-Funktion'!$B$4:$BC$10,Database!$B9,FALSE())</f>
        <v>0</v>
      </c>
      <c r="E29" s="54" t="n">
        <f aca="false">HLOOKUP($P$24,'Daten-THGE'!$B$4:$BC$10,Database!$B9,FALSE())</f>
        <v>0</v>
      </c>
      <c r="F29" s="54" t="n">
        <f aca="false">HLOOKUP($P$24,'Daten-Dichte'!$B$4:$BC$10,Database!$B9,FALSE())</f>
        <v>0</v>
      </c>
      <c r="G29" s="54" t="n">
        <f aca="false">HLOOKUP($P$24,'Daten-Dicke'!$B$4:$BC$10,Database!$B9,FALSE())</f>
        <v>0</v>
      </c>
      <c r="H29" s="57"/>
      <c r="I29" s="20" t="n">
        <f aca="false">IF(H29=0,F29*G29/100*E29,E29*F29*H29/1000)</f>
        <v>0</v>
      </c>
      <c r="J29" s="7"/>
      <c r="K29" s="7"/>
    </row>
    <row r="30" customFormat="false" ht="15.75" hidden="false" customHeight="false" outlineLevel="0" collapsed="false">
      <c r="B30" s="7"/>
      <c r="C30" s="54"/>
      <c r="D30" s="55"/>
      <c r="E30" s="54"/>
      <c r="F30" s="54"/>
      <c r="G30" s="54"/>
      <c r="I30" s="20"/>
      <c r="J30" s="7"/>
      <c r="K30" s="7"/>
      <c r="L30" s="64" t="s">
        <v>267</v>
      </c>
      <c r="M30" s="64" t="s">
        <v>302</v>
      </c>
      <c r="N30" s="64" t="s">
        <v>303</v>
      </c>
      <c r="O30" s="58"/>
    </row>
    <row r="31" customFormat="false" ht="20.25" hidden="false" customHeight="false" outlineLevel="0" collapsed="false">
      <c r="B31" s="6" t="s">
        <v>266</v>
      </c>
      <c r="C31" s="37" t="s">
        <v>257</v>
      </c>
      <c r="D31" s="52"/>
      <c r="E31" s="37" t="s">
        <v>259</v>
      </c>
      <c r="F31" s="37" t="s">
        <v>260</v>
      </c>
      <c r="G31" s="37" t="s">
        <v>261</v>
      </c>
      <c r="H31" s="53" t="s">
        <v>262</v>
      </c>
      <c r="I31" s="37" t="s">
        <v>263</v>
      </c>
      <c r="J31" s="8" t="s">
        <v>102</v>
      </c>
      <c r="K31" s="7"/>
    </row>
    <row r="32" customFormat="false" ht="15.75" hidden="false" customHeight="false" outlineLevel="0" collapsed="false">
      <c r="B32" s="37" t="s">
        <v>91</v>
      </c>
      <c r="C32" s="54" t="str">
        <f aca="false">HLOOKUP($P$32,'Daten-Zusammensetzung Bauteil'!$B$4:$BC$14,Database!$B4,FALSE())</f>
        <v>15 cm Kalksandstein [kg]</v>
      </c>
      <c r="D32" s="55" t="str">
        <f aca="false">MID(HLOOKUP($P$32,'Daten-Funktion'!$B$4:$BC$14,Database!$B4,FALSE()),1,2)</f>
        <v>C2</v>
      </c>
      <c r="E32" s="54" t="n">
        <f aca="false">HLOOKUP($P$32,'Daten-THGE'!$B$4:$BC$14,Database!$B4,FALSE())</f>
        <v>0.0023</v>
      </c>
      <c r="F32" s="54" t="n">
        <f aca="false">HLOOKUP($P$32,'Daten-Dichte'!$B$4:$BC$14,Database!$B4,FALSE())</f>
        <v>1400</v>
      </c>
      <c r="G32" s="54" t="n">
        <f aca="false">HLOOKUP($P$32,'Daten-Dicke'!$B$4:$BC$14,Database!$B4,FALSE())</f>
        <v>15</v>
      </c>
      <c r="H32" s="9"/>
      <c r="I32" s="20" t="n">
        <f aca="false">IF(H32=0,F32*G32/100*E32,E32*F32*H32/1000)</f>
        <v>0.483</v>
      </c>
      <c r="J32" s="56" t="n">
        <f aca="false">SUM(I32:I37)*Gebäude!$C$41</f>
        <v>581.0743455</v>
      </c>
      <c r="K32" s="37" t="s">
        <v>31</v>
      </c>
      <c r="L32" s="68" t="n">
        <f aca="false">IF(D32="C2",1,0)</f>
        <v>1</v>
      </c>
      <c r="M32" s="68" t="n">
        <f aca="false">IF(D32="G3.1",1,0)</f>
        <v>0</v>
      </c>
      <c r="N32" s="68" t="n">
        <f aca="false">IF(D32="G3.2",1,0)</f>
        <v>0</v>
      </c>
      <c r="P32" s="76" t="str">
        <f aca="false">VLOOKUP($B$33,Database!$Y$29:$AB$31,4,FALSE())</f>
        <v>9c</v>
      </c>
    </row>
    <row r="33" customFormat="false" ht="15.75" hidden="false" customHeight="false" outlineLevel="0" collapsed="false">
      <c r="B33" s="37" t="s">
        <v>113</v>
      </c>
      <c r="C33" s="54" t="str">
        <f aca="false">HLOOKUP($P$32,'Daten-Zusammensetzung Bauteil'!$B$4:$BC$14,Database!$B5,FALSE())</f>
        <v>Mörtel [kg]</v>
      </c>
      <c r="D33" s="55" t="str">
        <f aca="false">MID(HLOOKUP($P$32,'Daten-Funktion'!$B$4:$BC$14,Database!$B5,FALSE()),1,2)</f>
        <v>C2</v>
      </c>
      <c r="E33" s="54" t="n">
        <f aca="false">HLOOKUP($P$32,'Daten-THGE'!$B$4:$BC$14,Database!$B5,FALSE())</f>
        <v>0.00448333333333333</v>
      </c>
      <c r="F33" s="54" t="n">
        <f aca="false">HLOOKUP($P$32,'Daten-Dichte'!$B$4:$BC$14,Database!$B5,FALSE())</f>
        <v>1550</v>
      </c>
      <c r="G33" s="54" t="n">
        <f aca="false">HLOOKUP($P$32,'Daten-Dicke'!$B$4:$BC$14,Database!$B5,FALSE())</f>
        <v>2.39354838709677</v>
      </c>
      <c r="H33" s="9"/>
      <c r="I33" s="20" t="n">
        <f aca="false">IF(H33=0,F33*G33/100*E33,E33*F33*H33/1000)</f>
        <v>0.166331666666667</v>
      </c>
      <c r="J33" s="54"/>
      <c r="K33" s="7"/>
      <c r="L33" s="68" t="n">
        <f aca="false">IF(D33="C2",1,0)</f>
        <v>1</v>
      </c>
      <c r="M33" s="68" t="n">
        <f aca="false">IF(D33="G3.1",1,0)</f>
        <v>0</v>
      </c>
      <c r="N33" s="68" t="n">
        <f aca="false">IF(D33="G3.2",1,0)</f>
        <v>0</v>
      </c>
      <c r="P33" s="76"/>
    </row>
    <row r="34" customFormat="false" ht="15.75" hidden="false" customHeight="false" outlineLevel="0" collapsed="false">
      <c r="B34" s="37"/>
      <c r="C34" s="54" t="str">
        <f aca="false">HLOOKUP($P$32,'Daten-Zusammensetzung Bauteil'!$B$4:$BC$14,Database!$B6,FALSE())</f>
        <v>Kalk-Zementgrundputz [kg]</v>
      </c>
      <c r="D34" s="55" t="str">
        <f aca="false">HLOOKUP($P$32,'Daten-Funktion'!$B$4:$BC$14,Database!$B6,FALSE())</f>
        <v>G3.1</v>
      </c>
      <c r="E34" s="54" t="n">
        <f aca="false">HLOOKUP($P$32,'Daten-THGE'!$B$4:$BC$14,Database!$B6,FALSE())</f>
        <v>0.00823333333333333</v>
      </c>
      <c r="F34" s="54" t="n">
        <f aca="false">HLOOKUP($P$32,'Daten-Dichte'!$B$4:$BC$14,Database!$B6,FALSE())</f>
        <v>1550</v>
      </c>
      <c r="G34" s="54" t="n">
        <f aca="false">HLOOKUP($P$32,'Daten-Dicke'!$B$4:$BC$14,Database!$B6,FALSE())</f>
        <v>2.32258064516129</v>
      </c>
      <c r="H34" s="57"/>
      <c r="I34" s="20" t="n">
        <f aca="false">IF(H34=0,F34*G34/100*E34,E34*F34*H34/1000)</f>
        <v>0.2964</v>
      </c>
      <c r="J34" s="7"/>
      <c r="K34" s="7"/>
      <c r="L34" s="68" t="n">
        <f aca="false">IF(D34="C2",1,0)</f>
        <v>0</v>
      </c>
      <c r="M34" s="68" t="n">
        <f aca="false">IF(D34="G3.1",1,0)</f>
        <v>1</v>
      </c>
      <c r="N34" s="68" t="n">
        <f aca="false">IF(D34="G3.2",1,0)</f>
        <v>0</v>
      </c>
      <c r="P34" s="76"/>
    </row>
    <row r="35" customFormat="false" ht="15.75" hidden="false" customHeight="false" outlineLevel="0" collapsed="false">
      <c r="B35" s="7"/>
      <c r="C35" s="54" t="str">
        <f aca="false">HLOOKUP($P$32,'Daten-Zusammensetzung Bauteil'!$B$4:$BC$14,Database!$B7,FALSE())</f>
        <v>Deckputz (Weissputz) [kg]</v>
      </c>
      <c r="D35" s="55" t="str">
        <f aca="false">HLOOKUP($P$32,'Daten-Funktion'!$B$4:$BC$14,Database!$B7,FALSE())</f>
        <v>G3.2</v>
      </c>
      <c r="E35" s="54" t="n">
        <f aca="false">HLOOKUP($P$32,'Daten-THGE'!$B$4:$BC$14,Database!$B7,FALSE())</f>
        <v>0.0049</v>
      </c>
      <c r="F35" s="54" t="n">
        <f aca="false">HLOOKUP($P$32,'Daten-Dichte'!$B$4:$BC$14,Database!$B7,FALSE())</f>
        <v>1100</v>
      </c>
      <c r="G35" s="54" t="n">
        <f aca="false">HLOOKUP($P$32,'Daten-Dicke'!$B$4:$BC$14,Database!$B7,FALSE())</f>
        <v>0.636363636363636</v>
      </c>
      <c r="H35" s="57"/>
      <c r="I35" s="20" t="n">
        <f aca="false">IF(H35=0,F35*G35/100*E35,E35*F35*H35/1000)</f>
        <v>0.0343</v>
      </c>
      <c r="J35" s="7"/>
      <c r="K35" s="7"/>
      <c r="L35" s="68" t="n">
        <f aca="false">IF(D35="C2",1,0)</f>
        <v>0</v>
      </c>
      <c r="M35" s="68" t="n">
        <f aca="false">IF(D35="G3.1",1,0)</f>
        <v>0</v>
      </c>
      <c r="N35" s="68" t="n">
        <f aca="false">IF(D35="G3.2",1,0)</f>
        <v>1</v>
      </c>
      <c r="P35" s="76"/>
    </row>
    <row r="36" customFormat="false" ht="15.75" hidden="false" customHeight="false" outlineLevel="0" collapsed="false">
      <c r="B36" s="7"/>
      <c r="C36" s="54" t="str">
        <f aca="false">HLOOKUP($P$32,'Daten-Zusammensetzung Bauteil'!$B$4:$BC$14,Database!$B8,FALSE())</f>
        <v>Wanddispersion [m2]</v>
      </c>
      <c r="D36" s="55" t="str">
        <f aca="false">HLOOKUP($P$32,'Daten-Funktion'!$B$4:$BC$14,Database!$B8,FALSE())</f>
        <v>G3.2</v>
      </c>
      <c r="E36" s="54" t="n">
        <f aca="false">HLOOKUP($P$32,'Daten-THGE'!$B$4:$BC$14,Database!$B8,FALSE())</f>
        <v>0.151111111111111</v>
      </c>
      <c r="F36" s="54" t="n">
        <f aca="false">HLOOKUP($P$32,'Daten-Dichte'!$B$4:$BC$14,Database!$B8,FALSE())</f>
        <v>150</v>
      </c>
      <c r="G36" s="54" t="n">
        <f aca="false">HLOOKUP($P$32,'Daten-Dicke'!$B$4:$BC$14,Database!$B8,FALSE())</f>
        <v>0.2</v>
      </c>
      <c r="H36" s="57"/>
      <c r="I36" s="20" t="n">
        <f aca="false">IF(H36=0,F36*G36/100*E36,E36*F36*H36/1000)</f>
        <v>0.0453333333333333</v>
      </c>
      <c r="J36" s="7"/>
      <c r="K36" s="7"/>
      <c r="L36" s="68" t="n">
        <f aca="false">IF(D36="C2",1,0)</f>
        <v>0</v>
      </c>
      <c r="M36" s="68" t="n">
        <f aca="false">IF(D36="G3.1",1,0)</f>
        <v>0</v>
      </c>
      <c r="N36" s="68" t="n">
        <f aca="false">IF(D36="G3.2",1,0)</f>
        <v>1</v>
      </c>
      <c r="P36" s="76"/>
    </row>
    <row r="37" customFormat="false" ht="15.75" hidden="false" customHeight="false" outlineLevel="0" collapsed="false">
      <c r="B37" s="7"/>
      <c r="C37" s="54" t="n">
        <f aca="false">HLOOKUP($P$32,'Daten-Zusammensetzung Bauteil'!$B$4:$BC$14,Database!$B9,FALSE())</f>
        <v>0</v>
      </c>
      <c r="D37" s="55" t="n">
        <f aca="false">HLOOKUP($P$32,'Daten-Funktion'!$B$4:$BC$14,Database!$B9,FALSE())</f>
        <v>0</v>
      </c>
      <c r="E37" s="54" t="n">
        <f aca="false">HLOOKUP($P$32,'Daten-THGE'!$B$4:$BC$14,Database!$B9,FALSE())</f>
        <v>0</v>
      </c>
      <c r="F37" s="54" t="n">
        <f aca="false">HLOOKUP($P$32,'Daten-Dichte'!$B$4:$BC$14,Database!$B9,FALSE())</f>
        <v>0</v>
      </c>
      <c r="G37" s="54" t="n">
        <f aca="false">HLOOKUP($P$32,'Daten-Dicke'!$B$4:$BC$14,Database!$B9,FALSE())</f>
        <v>0</v>
      </c>
      <c r="H37" s="57"/>
      <c r="I37" s="20" t="n">
        <f aca="false">IF(H37=0,F37*G37/100*E37,E37*F37*H37/1000)</f>
        <v>0</v>
      </c>
      <c r="J37" s="7"/>
      <c r="K37" s="7"/>
      <c r="L37" s="68" t="n">
        <f aca="false">IF(D37="C2",1,0)</f>
        <v>0</v>
      </c>
      <c r="M37" s="68" t="n">
        <f aca="false">IF(D37="G3.1",1,0)</f>
        <v>0</v>
      </c>
      <c r="N37" s="68" t="n">
        <f aca="false">IF(D37="G3.2",1,0)</f>
        <v>0</v>
      </c>
    </row>
    <row r="38" customFormat="false" ht="15" hidden="false" customHeight="false" outlineLevel="0" collapsed="false">
      <c r="L38" s="68" t="n">
        <f aca="false">SUMPRODUCT(I32:I37*L32:L37)/SUM(I32:I37)</f>
        <v>0.633268803466733</v>
      </c>
      <c r="M38" s="68" t="n">
        <f aca="false">SUMPRODUCT(I32:I37*M32:M37)/SUM(I32:I37)</f>
        <v>0.289067795370429</v>
      </c>
      <c r="N38" s="68" t="n">
        <f aca="false">SUMPRODUCT(I32:I37*N32:N37)/SUM(I32:I37)</f>
        <v>0.0776634011628379</v>
      </c>
      <c r="O38" s="68" t="n">
        <f aca="false">SUM(L38:N38)</f>
        <v>1</v>
      </c>
    </row>
    <row r="40" customFormat="false" ht="20.25" hidden="false" customHeight="false" outlineLevel="0" collapsed="false">
      <c r="B40" s="6" t="s">
        <v>266</v>
      </c>
      <c r="C40" s="37" t="s">
        <v>257</v>
      </c>
      <c r="D40" s="52"/>
      <c r="E40" s="37" t="s">
        <v>259</v>
      </c>
      <c r="F40" s="37" t="s">
        <v>260</v>
      </c>
      <c r="G40" s="37" t="s">
        <v>261</v>
      </c>
      <c r="H40" s="53" t="s">
        <v>262</v>
      </c>
      <c r="I40" s="37" t="s">
        <v>263</v>
      </c>
      <c r="J40" s="8" t="s">
        <v>102</v>
      </c>
      <c r="K40" s="7"/>
    </row>
    <row r="41" customFormat="false" ht="15.75" hidden="false" customHeight="false" outlineLevel="0" collapsed="false">
      <c r="B41" s="37" t="s">
        <v>96</v>
      </c>
      <c r="C41" s="54" t="str">
        <f aca="false">HLOOKUP($P$41,'Daten-Zusammensetzung Bauteil'!$B$4:$BC$14,Database!$B4,FALSE())</f>
        <v>2 x 12.5 mm und 2 x 10mm Gipsfaserplatten [kg]</v>
      </c>
      <c r="D41" s="55" t="str">
        <f aca="false">MID(HLOOKUP($P$41,'Daten-Funktion'!$B$4:$BC$14,Database!$B4,FALSE()),1,2)</f>
        <v>C2</v>
      </c>
      <c r="E41" s="54" t="n">
        <f aca="false">HLOOKUP($P$41,'Daten-THGE'!$B$4:$BC$14,Database!$B4,FALSE())</f>
        <v>0.0179</v>
      </c>
      <c r="F41" s="54" t="n">
        <f aca="false">HLOOKUP($P$41,'Daten-Dichte'!$B$4:$BC$14,Database!$B4,FALSE())</f>
        <v>1200</v>
      </c>
      <c r="G41" s="54" t="n">
        <f aca="false">HLOOKUP($P$41,'Daten-Dicke'!$B$4:$BC$14,Database!$B4,FALSE())</f>
        <v>4.5</v>
      </c>
      <c r="H41" s="9"/>
      <c r="I41" s="20" t="n">
        <f aca="false">IF(H41=0,F41*G41/100*E41,E41*F41*H41/1000)</f>
        <v>0.9666</v>
      </c>
      <c r="J41" s="56" t="n">
        <f aca="false">SUM(I41:I46)*Gebäude!$C$42</f>
        <v>1556.87598473867</v>
      </c>
      <c r="K41" s="37" t="s">
        <v>31</v>
      </c>
      <c r="L41" s="68" t="n">
        <f aca="false">IF(D41="C2",1,0)</f>
        <v>1</v>
      </c>
      <c r="M41" s="68" t="n">
        <f aca="false">IF(D41="G3.1",1,0)</f>
        <v>0</v>
      </c>
      <c r="N41" s="68" t="n">
        <f aca="false">IF(D41="G3.2",1,0)</f>
        <v>0</v>
      </c>
      <c r="P41" s="76" t="str">
        <f aca="false">VLOOKUP($B$42,Database!$Y$29:$AB$31,4,FALSE())</f>
        <v>9e</v>
      </c>
    </row>
    <row r="42" customFormat="false" ht="15.75" hidden="false" customHeight="false" outlineLevel="0" collapsed="false">
      <c r="B42" s="37" t="s">
        <v>104</v>
      </c>
      <c r="C42" s="54" t="str">
        <f aca="false">HLOOKUP($P$41,'Daten-Zusammensetzung Bauteil'!$B$4:$BC$14,Database!$B5,FALSE())</f>
        <v>Stahlprofile verzinkt [kg]</v>
      </c>
      <c r="D42" s="55" t="str">
        <f aca="false">MID(HLOOKUP($P$41,'Daten-Funktion'!$B$4:$BC$14,Database!$B5,FALSE()),1,2)</f>
        <v>C2</v>
      </c>
      <c r="E42" s="54" t="n">
        <f aca="false">HLOOKUP($P$41,'Daten-THGE'!$B$4:$BC$14,Database!$B5,FALSE())</f>
        <v>0.0244666666666667</v>
      </c>
      <c r="F42" s="54" t="n">
        <f aca="false">HLOOKUP($P$41,'Daten-Dichte'!$B$4:$BC$14,Database!$B5,FALSE())</f>
        <v>7850</v>
      </c>
      <c r="G42" s="54" t="n">
        <f aca="false">HLOOKUP($P$41,'Daten-Dicke'!$B$4:$BC$14,Database!$B5,FALSE())</f>
        <v>0.0168</v>
      </c>
      <c r="H42" s="9"/>
      <c r="I42" s="20" t="n">
        <f aca="false">IF(H42=0,F42*G42/100*E42,E42*F42*H42/1000)</f>
        <v>0.03226664</v>
      </c>
      <c r="J42" s="54"/>
      <c r="K42" s="7"/>
      <c r="L42" s="68" t="n">
        <f aca="false">IF(D42="C2",1,0)</f>
        <v>1</v>
      </c>
      <c r="M42" s="68" t="n">
        <f aca="false">IF(D42="G3.1",1,0)</f>
        <v>0</v>
      </c>
      <c r="N42" s="68" t="n">
        <f aca="false">IF(D42="G3.2",1,0)</f>
        <v>0</v>
      </c>
      <c r="P42" s="76"/>
    </row>
    <row r="43" customFormat="false" ht="15.75" hidden="false" customHeight="false" outlineLevel="0" collapsed="false">
      <c r="B43" s="37"/>
      <c r="C43" s="54" t="str">
        <f aca="false">HLOOKUP($P$41,'Daten-Zusammensetzung Bauteil'!$B$4:$BC$14,Database!$B6,FALSE())</f>
        <v>Steinwolle [kg]</v>
      </c>
      <c r="D43" s="55" t="str">
        <f aca="false">MID(HLOOKUP($P$41,'Daten-Funktion'!$B$4:$BC$14,Database!$B6,FALSE()),1,2)</f>
        <v>C2</v>
      </c>
      <c r="E43" s="54" t="n">
        <f aca="false">HLOOKUP($P$41,'Daten-THGE'!$B$4:$BC$14,Database!$B6,FALSE())</f>
        <v>0.0376666666666667</v>
      </c>
      <c r="F43" s="54" t="n">
        <f aca="false">HLOOKUP($P$41,'Daten-Dichte'!$B$4:$BC$14,Database!$B6,FALSE())</f>
        <v>32</v>
      </c>
      <c r="G43" s="54" t="n">
        <f aca="false">HLOOKUP($P$41,'Daten-Dicke'!$B$4:$BC$14,Database!$B6,FALSE())</f>
        <v>6.25</v>
      </c>
      <c r="H43" s="57"/>
      <c r="I43" s="20" t="n">
        <f aca="false">IF(H43=0,F43*G43/100*E43,E43*F43*H43/1000)</f>
        <v>0.0753333333333333</v>
      </c>
      <c r="J43" s="7"/>
      <c r="K43" s="7"/>
      <c r="L43" s="68" t="n">
        <f aca="false">IF(D43="C2",1,0)</f>
        <v>1</v>
      </c>
      <c r="M43" s="68" t="n">
        <f aca="false">IF(D43="G3.1",1,0)</f>
        <v>0</v>
      </c>
      <c r="N43" s="68" t="n">
        <f aca="false">IF(D43="G3.2",1,0)</f>
        <v>0</v>
      </c>
      <c r="P43" s="76"/>
    </row>
    <row r="44" customFormat="false" ht="15.75" hidden="false" customHeight="false" outlineLevel="0" collapsed="false">
      <c r="B44" s="7"/>
      <c r="C44" s="54" t="str">
        <f aca="false">HLOOKUP($P$41,'Daten-Zusammensetzung Bauteil'!$B$4:$BC$14,Database!$B7,FALSE())</f>
        <v>Spachtel [kg]</v>
      </c>
      <c r="D44" s="55" t="str">
        <f aca="false">HLOOKUP($P$41,'Daten-Funktion'!$B$4:$BC$14,Database!$B7,FALSE())</f>
        <v>G3.2</v>
      </c>
      <c r="E44" s="54" t="n">
        <f aca="false">HLOOKUP($P$41,'Daten-THGE'!$B$4:$BC$14,Database!$B7,FALSE())</f>
        <v>0.00516666666666667</v>
      </c>
      <c r="F44" s="54" t="n">
        <f aca="false">HLOOKUP($P$41,'Daten-Dichte'!$B$4:$BC$14,Database!$B7,FALSE())</f>
        <v>925</v>
      </c>
      <c r="G44" s="54" t="n">
        <f aca="false">HLOOKUP($P$41,'Daten-Dicke'!$B$4:$BC$14,Database!$B7,FALSE())</f>
        <v>1.21081081081081</v>
      </c>
      <c r="H44" s="57"/>
      <c r="I44" s="20" t="n">
        <f aca="false">IF(H44=0,F44*G44/100*E44,E44*F44*H44/1000)</f>
        <v>0.0578666666666667</v>
      </c>
      <c r="J44" s="7"/>
      <c r="K44" s="7"/>
      <c r="L44" s="68" t="n">
        <f aca="false">IF(D44="C2",1,0)</f>
        <v>0</v>
      </c>
      <c r="M44" s="68" t="n">
        <f aca="false">IF(D44="G3.1",1,0)</f>
        <v>0</v>
      </c>
      <c r="N44" s="68" t="n">
        <f aca="false">IF(D44="G3.2",1,0)</f>
        <v>1</v>
      </c>
      <c r="P44" s="76"/>
    </row>
    <row r="45" customFormat="false" ht="15.75" hidden="false" customHeight="false" outlineLevel="0" collapsed="false">
      <c r="B45" s="7"/>
      <c r="C45" s="54" t="str">
        <f aca="false">HLOOKUP($P$41,'Daten-Zusammensetzung Bauteil'!$B$4:$BC$14,Database!$B8,FALSE())</f>
        <v>Wanddispersion [m2]</v>
      </c>
      <c r="D45" s="55" t="str">
        <f aca="false">HLOOKUP($P$41,'Daten-Funktion'!$B$4:$BC$14,Database!$B8,FALSE())</f>
        <v>G3.2</v>
      </c>
      <c r="E45" s="54" t="n">
        <f aca="false">HLOOKUP($P$41,'Daten-THGE'!$B$4:$BC$14,Database!$B8,FALSE())</f>
        <v>0.151111111111111</v>
      </c>
      <c r="F45" s="54" t="n">
        <f aca="false">HLOOKUP($P$41,'Daten-Dichte'!$B$4:$BC$14,Database!$B8,FALSE())</f>
        <v>150</v>
      </c>
      <c r="G45" s="54" t="n">
        <f aca="false">HLOOKUP($P$41,'Daten-Dicke'!$B$4:$BC$14,Database!$B8,FALSE())</f>
        <v>0.2</v>
      </c>
      <c r="H45" s="57"/>
      <c r="I45" s="20" t="n">
        <f aca="false">IF(H45=0,F45*G45/100*E45,E45*F45*H45/1000)</f>
        <v>0.0453333333333333</v>
      </c>
      <c r="J45" s="7"/>
      <c r="K45" s="7"/>
      <c r="L45" s="68" t="n">
        <f aca="false">IF(D45="C2",1,0)</f>
        <v>0</v>
      </c>
      <c r="M45" s="68" t="n">
        <f aca="false">IF(D45="G3.1",1,0)</f>
        <v>0</v>
      </c>
      <c r="N45" s="68" t="n">
        <f aca="false">IF(D45="G3.2",1,0)</f>
        <v>1</v>
      </c>
      <c r="P45" s="76"/>
    </row>
    <row r="46" customFormat="false" ht="15.75" hidden="false" customHeight="false" outlineLevel="0" collapsed="false">
      <c r="B46" s="7"/>
      <c r="C46" s="54" t="n">
        <f aca="false">HLOOKUP($P$41,'Daten-Zusammensetzung Bauteil'!$B$4:$BC$14,Database!$B9,FALSE())</f>
        <v>0</v>
      </c>
      <c r="D46" s="55" t="n">
        <f aca="false">HLOOKUP($P$41,'Daten-Funktion'!$B$4:$BC$14,Database!$B9,FALSE())</f>
        <v>0</v>
      </c>
      <c r="E46" s="54" t="n">
        <f aca="false">HLOOKUP($P$41,'Daten-THGE'!$B$4:$BC$14,Database!$B9,FALSE())</f>
        <v>0</v>
      </c>
      <c r="F46" s="54" t="n">
        <f aca="false">HLOOKUP($P$41,'Daten-Dichte'!$B$4:$BC$14,Database!$B9,FALSE())</f>
        <v>0</v>
      </c>
      <c r="G46" s="54" t="n">
        <f aca="false">HLOOKUP($P$41,'Daten-Dicke'!$B$4:$BC$14,Database!$B9,FALSE())</f>
        <v>0</v>
      </c>
      <c r="H46" s="57"/>
      <c r="I46" s="20" t="n">
        <f aca="false">IF(H46=0,F46*G46/100*E46,E46*F46*H46/1000)</f>
        <v>0</v>
      </c>
      <c r="J46" s="7"/>
      <c r="K46" s="7"/>
      <c r="L46" s="68" t="n">
        <f aca="false">IF(D46="C2",1,0)</f>
        <v>0</v>
      </c>
      <c r="M46" s="68" t="n">
        <f aca="false">IF(D46="G3.1",1,0)</f>
        <v>0</v>
      </c>
      <c r="N46" s="68" t="n">
        <f aca="false">IF(D46="G3.2",1,0)</f>
        <v>0</v>
      </c>
    </row>
    <row r="47" customFormat="false" ht="15" hidden="false" customHeight="false" outlineLevel="0" collapsed="false">
      <c r="L47" s="68" t="n">
        <f aca="false">SUMPRODUCT(I41:I46*L41:L46)/SUM(I41:I46)</f>
        <v>0.912349242111981</v>
      </c>
      <c r="M47" s="68" t="n">
        <f aca="false">SUMPRODUCT(I41:I46*M41:M46)/SUM(I41:I46)</f>
        <v>0</v>
      </c>
      <c r="N47" s="68" t="n">
        <f aca="false">SUMPRODUCT(I41:I46*N41:N46)/SUM(I41:I46)</f>
        <v>0.087650757888019</v>
      </c>
      <c r="O47" s="68" t="n">
        <f aca="false">SUM(L47:N47)</f>
        <v>1</v>
      </c>
    </row>
    <row r="50" customFormat="false" ht="15" hidden="false" customHeight="false" outlineLevel="0" collapsed="false">
      <c r="B50" s="59" t="s">
        <v>265</v>
      </c>
    </row>
    <row r="51" customFormat="false" ht="20.25" hidden="false" customHeight="false" outlineLevel="0" collapsed="false">
      <c r="B51" s="6" t="s">
        <v>266</v>
      </c>
      <c r="C51" s="37" t="s">
        <v>257</v>
      </c>
      <c r="D51" s="52"/>
      <c r="E51" s="37" t="s">
        <v>259</v>
      </c>
      <c r="F51" s="37" t="s">
        <v>260</v>
      </c>
      <c r="G51" s="37" t="s">
        <v>261</v>
      </c>
      <c r="H51" s="53" t="s">
        <v>262</v>
      </c>
      <c r="I51" s="37" t="s">
        <v>263</v>
      </c>
      <c r="J51" s="8" t="s">
        <v>102</v>
      </c>
      <c r="K51" s="7"/>
    </row>
    <row r="52" customFormat="false" ht="15.75" hidden="false" customHeight="false" outlineLevel="0" collapsed="false">
      <c r="B52" s="37" t="s">
        <v>92</v>
      </c>
      <c r="C52" s="54" t="str">
        <f aca="false">HLOOKUP($P$52,'Daten-Zusammensetzung Bauteil'!$B$4:$BC$14,Database!$B4,FALSE())</f>
        <v>15 cm Kalksandstein [kg]</v>
      </c>
      <c r="D52" s="55" t="str">
        <f aca="false">MID(HLOOKUP($P$52,'Daten-Funktion'!$B$4:$BC$14,Database!$B4,FALSE()),1,2)</f>
        <v>C2</v>
      </c>
      <c r="E52" s="54" t="n">
        <f aca="false">HLOOKUP($P$52,'Daten-THGE'!$B$4:$BC$14,Database!$B4,FALSE())</f>
        <v>0.0023</v>
      </c>
      <c r="F52" s="54" t="n">
        <f aca="false">HLOOKUP($P$52,'Daten-Dichte'!$B$4:$BC$14,Database!$B4,FALSE())</f>
        <v>1400</v>
      </c>
      <c r="G52" s="54" t="n">
        <f aca="false">HLOOKUP($P$52,'Daten-Dicke'!$B$4:$BC$14,Database!$B4,FALSE())</f>
        <v>15</v>
      </c>
      <c r="H52" s="9"/>
      <c r="I52" s="20" t="n">
        <f aca="false">IF(H52=0,F52*G52/100*E52,E52*F52*H52/1000)</f>
        <v>0.483</v>
      </c>
      <c r="J52" s="56" t="n">
        <f aca="false">SUM(I52:I57)*Gebäude!$C$41</f>
        <v>581.0743455</v>
      </c>
      <c r="K52" s="37" t="s">
        <v>31</v>
      </c>
      <c r="P52" s="76" t="str">
        <f aca="false">VLOOKUP($B$53,Database!$Y$29:$AB$31,4,FALSE())</f>
        <v>9c</v>
      </c>
    </row>
    <row r="53" customFormat="false" ht="15.75" hidden="false" customHeight="false" outlineLevel="0" collapsed="false">
      <c r="B53" s="53" t="s">
        <v>113</v>
      </c>
      <c r="C53" s="54" t="str">
        <f aca="false">HLOOKUP($P$52,'Daten-Zusammensetzung Bauteil'!$B$4:$BC$14,Database!$B5,FALSE())</f>
        <v>Mörtel [kg]</v>
      </c>
      <c r="D53" s="55" t="str">
        <f aca="false">MID(HLOOKUP($P$52,'Daten-Funktion'!$B$4:$BC$14,Database!$B5,FALSE()),1,2)</f>
        <v>C2</v>
      </c>
      <c r="E53" s="54" t="n">
        <f aca="false">HLOOKUP($P$52,'Daten-THGE'!$B$4:$BC$14,Database!$B5,FALSE())</f>
        <v>0.00448333333333333</v>
      </c>
      <c r="F53" s="54" t="n">
        <f aca="false">HLOOKUP($P$52,'Daten-Dichte'!$B$4:$BC$14,Database!$B5,FALSE())</f>
        <v>1550</v>
      </c>
      <c r="G53" s="54" t="n">
        <f aca="false">HLOOKUP($P$52,'Daten-Dicke'!$B$4:$BC$14,Database!$B5,FALSE())</f>
        <v>2.39354838709677</v>
      </c>
      <c r="H53" s="9"/>
      <c r="I53" s="20" t="n">
        <f aca="false">IF(H53=0,F53*G53/100*E53,E53*F53*H53/1000)</f>
        <v>0.166331666666667</v>
      </c>
      <c r="J53" s="54"/>
      <c r="K53" s="7"/>
      <c r="P53" s="76"/>
    </row>
    <row r="54" customFormat="false" ht="15.75" hidden="false" customHeight="false" outlineLevel="0" collapsed="false">
      <c r="B54" s="37"/>
      <c r="C54" s="54" t="str">
        <f aca="false">HLOOKUP($P$52,'Daten-Zusammensetzung Bauteil'!$B$4:$BC$14,Database!$B6,FALSE())</f>
        <v>Kalk-Zementgrundputz [kg]</v>
      </c>
      <c r="D54" s="55" t="str">
        <f aca="false">HLOOKUP($P$52,'Daten-Funktion'!$B$4:$BC$14,Database!$B6,FALSE())</f>
        <v>G3.1</v>
      </c>
      <c r="E54" s="54" t="n">
        <f aca="false">HLOOKUP($P$52,'Daten-THGE'!$B$4:$BC$14,Database!$B6,FALSE())</f>
        <v>0.00823333333333333</v>
      </c>
      <c r="F54" s="54" t="n">
        <f aca="false">HLOOKUP($P$52,'Daten-Dichte'!$B$4:$BC$14,Database!$B6,FALSE())</f>
        <v>1550</v>
      </c>
      <c r="G54" s="54" t="n">
        <f aca="false">HLOOKUP($P$52,'Daten-Dicke'!$B$4:$BC$14,Database!$B6,FALSE())</f>
        <v>2.32258064516129</v>
      </c>
      <c r="H54" s="57"/>
      <c r="I54" s="20" t="n">
        <f aca="false">IF(H54=0,F54*G54/100*E54,E54*F54*H54/1000)</f>
        <v>0.2964</v>
      </c>
      <c r="J54" s="7"/>
      <c r="K54" s="7"/>
      <c r="P54" s="76"/>
    </row>
    <row r="55" customFormat="false" ht="15.75" hidden="false" customHeight="false" outlineLevel="0" collapsed="false">
      <c r="B55" s="7"/>
      <c r="C55" s="54" t="str">
        <f aca="false">HLOOKUP($P$52,'Daten-Zusammensetzung Bauteil'!$B$4:$BC$14,Database!$B7,FALSE())</f>
        <v>Deckputz (Weissputz) [kg]</v>
      </c>
      <c r="D55" s="55" t="str">
        <f aca="false">HLOOKUP($P$52,'Daten-Funktion'!$B$4:$BC$14,Database!$B7,FALSE())</f>
        <v>G3.2</v>
      </c>
      <c r="E55" s="54" t="n">
        <f aca="false">HLOOKUP($P$52,'Daten-THGE'!$B$4:$BC$14,Database!$B7,FALSE())</f>
        <v>0.0049</v>
      </c>
      <c r="F55" s="54" t="n">
        <f aca="false">HLOOKUP($P$52,'Daten-Dichte'!$B$4:$BC$14,Database!$B7,FALSE())</f>
        <v>1100</v>
      </c>
      <c r="G55" s="54" t="n">
        <f aca="false">HLOOKUP($P$52,'Daten-Dicke'!$B$4:$BC$14,Database!$B7,FALSE())</f>
        <v>0.636363636363636</v>
      </c>
      <c r="H55" s="57"/>
      <c r="I55" s="20" t="n">
        <f aca="false">IF(H55=0,F55*G55/100*E55,E55*F55*H55/1000)</f>
        <v>0.0343</v>
      </c>
      <c r="J55" s="7"/>
      <c r="K55" s="7"/>
      <c r="P55" s="76"/>
    </row>
    <row r="56" customFormat="false" ht="15.75" hidden="false" customHeight="false" outlineLevel="0" collapsed="false">
      <c r="B56" s="7"/>
      <c r="C56" s="54" t="str">
        <f aca="false">HLOOKUP($P$52,'Daten-Zusammensetzung Bauteil'!$B$4:$BC$14,Database!$B8,FALSE())</f>
        <v>Wanddispersion [m2]</v>
      </c>
      <c r="D56" s="55" t="str">
        <f aca="false">HLOOKUP($P$52,'Daten-Funktion'!$B$4:$BC$14,Database!$B8,FALSE())</f>
        <v>G3.2</v>
      </c>
      <c r="E56" s="54" t="n">
        <f aca="false">HLOOKUP($P$52,'Daten-THGE'!$B$4:$BC$14,Database!$B8,FALSE())</f>
        <v>0.151111111111111</v>
      </c>
      <c r="F56" s="54" t="n">
        <f aca="false">HLOOKUP($P$52,'Daten-Dichte'!$B$4:$BC$14,Database!$B8,FALSE())</f>
        <v>150</v>
      </c>
      <c r="G56" s="54" t="n">
        <f aca="false">HLOOKUP($P$52,'Daten-Dicke'!$B$4:$BC$14,Database!$B8,FALSE())</f>
        <v>0.2</v>
      </c>
      <c r="H56" s="57"/>
      <c r="I56" s="20" t="n">
        <f aca="false">IF(H56=0,F56*G56/100*E56,E56*F56*H56/1000)</f>
        <v>0.0453333333333333</v>
      </c>
      <c r="J56" s="7"/>
      <c r="K56" s="7"/>
      <c r="P56" s="76"/>
    </row>
    <row r="57" customFormat="false" ht="15.75" hidden="false" customHeight="false" outlineLevel="0" collapsed="false">
      <c r="B57" s="7"/>
      <c r="C57" s="54" t="n">
        <f aca="false">HLOOKUP($P$52,'Daten-Zusammensetzung Bauteil'!$B$4:$BC$14,Database!$B9,FALSE())</f>
        <v>0</v>
      </c>
      <c r="D57" s="55" t="n">
        <f aca="false">HLOOKUP($P$52,'Daten-Funktion'!$B$4:$BC$14,Database!$B9,FALSE())</f>
        <v>0</v>
      </c>
      <c r="E57" s="54" t="n">
        <f aca="false">HLOOKUP($P$52,'Daten-THGE'!$B$4:$BC$14,Database!$B9,FALSE())</f>
        <v>0</v>
      </c>
      <c r="F57" s="54" t="n">
        <f aca="false">HLOOKUP($P$52,'Daten-Dichte'!$B$4:$BC$14,Database!$B9,FALSE())</f>
        <v>0</v>
      </c>
      <c r="G57" s="54" t="n">
        <f aca="false">HLOOKUP($P$52,'Daten-Dicke'!$B$4:$BC$14,Database!$B9,FALSE())</f>
        <v>0</v>
      </c>
      <c r="H57" s="57"/>
      <c r="I57" s="20" t="n">
        <f aca="false">IF(H57=0,F57*G57/100*E57,E57*F57*H57/1000)</f>
        <v>0</v>
      </c>
      <c r="J57" s="7"/>
      <c r="K57" s="7"/>
    </row>
    <row r="58" customFormat="false" ht="15.75" hidden="false" customHeight="false" outlineLevel="0" collapsed="false">
      <c r="E58" s="54"/>
      <c r="F58" s="54"/>
      <c r="G58" s="54"/>
      <c r="H58" s="54"/>
      <c r="I58" s="20"/>
      <c r="J58" s="20"/>
      <c r="L58" s="58"/>
      <c r="M58" s="58"/>
      <c r="N58" s="58"/>
      <c r="O58" s="58"/>
    </row>
  </sheetData>
  <dataValidations count="2">
    <dataValidation allowBlank="true" errorStyle="stop" operator="between" showDropDown="false" showErrorMessage="true" showInputMessage="true" sqref="B25 B53" type="list">
      <formula1>Database!$H$4:$H$6</formula1>
      <formula2>0</formula2>
    </dataValidation>
    <dataValidation allowBlank="true" errorStyle="stop" operator="between" showDropDown="false" showErrorMessage="true" showInputMessage="true" sqref="B26" type="list">
      <formula1>Database!$D$18:$D$19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2022-11-04T23:22:01Z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