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DieseArbeitsmappe"/>
  <xr:revisionPtr revIDLastSave="0" documentId="8_{2DC82AA8-28EB-499B-B60C-126912920B70}" xr6:coauthVersionLast="36" xr6:coauthVersionMax="36" xr10:uidLastSave="{00000000-0000-0000-0000-000000000000}"/>
  <bookViews>
    <workbookView xWindow="0" yWindow="0" windowWidth="19200" windowHeight="7485" tabRatio="900" activeTab="3" xr2:uid="{00000000-000D-0000-FFFF-FFFF00000000}"/>
  </bookViews>
  <sheets>
    <sheet name="Anleitung" sheetId="16" r:id="rId1"/>
    <sheet name="Gebäude" sheetId="10" r:id="rId2"/>
    <sheet name="Database" sheetId="9" r:id="rId3"/>
    <sheet name="Options" sheetId="19" r:id="rId4"/>
    <sheet name="Bodenplatte" sheetId="14" r:id="rId5"/>
    <sheet name="Aussenwand unter &amp; über Terrain" sheetId="12" r:id="rId6"/>
    <sheet name="Decke unter &amp; über Terrain" sheetId="1" r:id="rId7"/>
    <sheet name="Dach unter &amp; über Terrain" sheetId="11" r:id="rId8"/>
    <sheet name="Innenwand" sheetId="15" r:id="rId9"/>
    <sheet name="Fenster-Balkon" sheetId="13" r:id="rId10"/>
    <sheet name="Kombinationen" sheetId="17" r:id="rId11"/>
    <sheet name="ID-SIA2032" sheetId="2" r:id="rId12"/>
    <sheet name="Daten-Zusammensetzung Bauteil" sheetId="8" r:id="rId13"/>
    <sheet name="Daten-Funktion" sheetId="18" r:id="rId14"/>
    <sheet name="Daten-THGE" sheetId="3" r:id="rId15"/>
    <sheet name="Daten-Dichte" sheetId="5" r:id="rId16"/>
    <sheet name="Daten-Dicke" sheetId="6" r:id="rId17"/>
  </sheets>
  <externalReferences>
    <externalReference r:id="rId18"/>
  </externalReferences>
  <definedNames>
    <definedName name="_xlnm._FilterDatabase" localSheetId="3" hidden="1">Options!$C$3:$F$3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8" l="1"/>
  <c r="F10" i="18"/>
  <c r="F9" i="18"/>
  <c r="F8" i="18"/>
  <c r="D9" i="12"/>
  <c r="M9" i="12" s="1"/>
  <c r="C6" i="10" l="1"/>
  <c r="C29" i="10"/>
  <c r="C7" i="10"/>
  <c r="AJ14" i="13" l="1"/>
  <c r="D18" i="15" l="1"/>
  <c r="N18" i="15" s="1"/>
  <c r="D29" i="15"/>
  <c r="D20" i="12"/>
  <c r="N20" i="12" s="1"/>
  <c r="D19" i="12"/>
  <c r="N19" i="12" s="1"/>
  <c r="D10" i="12"/>
  <c r="N9" i="12"/>
  <c r="N10" i="12" l="1"/>
  <c r="M10" i="12"/>
  <c r="M18" i="15"/>
  <c r="M20" i="12"/>
  <c r="M19" i="12"/>
  <c r="AK22" i="12"/>
  <c r="AK23" i="12"/>
  <c r="R34" i="12" l="1"/>
  <c r="R36" i="12"/>
  <c r="R35" i="12"/>
  <c r="R33" i="12"/>
  <c r="R32" i="12"/>
  <c r="L18" i="15" l="1"/>
  <c r="L10" i="12" l="1"/>
  <c r="L20" i="12"/>
  <c r="L9" i="12"/>
  <c r="L19" i="12"/>
  <c r="BC6" i="18"/>
  <c r="BC7" i="18"/>
  <c r="BC8" i="18"/>
  <c r="BC9" i="18"/>
  <c r="BC10" i="18"/>
  <c r="BC11" i="18"/>
  <c r="BC5" i="18"/>
  <c r="BB6" i="18"/>
  <c r="BB7" i="18"/>
  <c r="BB8" i="18"/>
  <c r="BB9" i="18"/>
  <c r="BB5" i="18"/>
  <c r="BA6" i="18"/>
  <c r="BA7" i="18"/>
  <c r="BA8" i="18"/>
  <c r="BA9" i="18"/>
  <c r="BA5" i="18"/>
  <c r="AZ6" i="18"/>
  <c r="AZ5" i="18"/>
  <c r="AY6" i="18"/>
  <c r="AY5" i="18"/>
  <c r="AX6" i="18"/>
  <c r="AX7" i="18"/>
  <c r="AX8" i="18"/>
  <c r="AX5" i="18"/>
  <c r="AW6" i="18"/>
  <c r="AW7" i="18"/>
  <c r="AW8" i="18"/>
  <c r="AW5" i="18"/>
  <c r="AV6" i="18"/>
  <c r="AV5" i="18"/>
  <c r="AU6" i="18"/>
  <c r="AU7" i="18"/>
  <c r="AU8" i="18"/>
  <c r="AU9" i="18"/>
  <c r="AU10" i="18"/>
  <c r="AU11" i="18"/>
  <c r="AU5" i="18"/>
  <c r="AT6" i="18"/>
  <c r="AT7" i="18"/>
  <c r="AT8" i="18"/>
  <c r="AT9" i="18"/>
  <c r="AT10" i="18"/>
  <c r="AT11" i="18"/>
  <c r="AT5" i="18"/>
  <c r="AS6" i="18"/>
  <c r="AS7" i="18"/>
  <c r="AS8" i="18"/>
  <c r="AS9" i="18"/>
  <c r="AS10" i="18"/>
  <c r="AS5" i="18"/>
  <c r="AR6" i="18"/>
  <c r="AR7" i="18"/>
  <c r="AR8" i="18"/>
  <c r="AR9" i="18"/>
  <c r="AR5" i="18"/>
  <c r="AQ6" i="18"/>
  <c r="AQ7" i="18"/>
  <c r="AQ8" i="18"/>
  <c r="AQ9" i="18"/>
  <c r="AQ5" i="18"/>
  <c r="AP6" i="18"/>
  <c r="AP7" i="18"/>
  <c r="AP8" i="18"/>
  <c r="AP9" i="18"/>
  <c r="AP5" i="18"/>
  <c r="AO6" i="18"/>
  <c r="AO7" i="18"/>
  <c r="AO8" i="18"/>
  <c r="AO9" i="18"/>
  <c r="AO5" i="18"/>
  <c r="AN6" i="18"/>
  <c r="AN7" i="18"/>
  <c r="AN8" i="18"/>
  <c r="AN9" i="18"/>
  <c r="AN10" i="18"/>
  <c r="AN5" i="18"/>
  <c r="AM6" i="18"/>
  <c r="AM7" i="18"/>
  <c r="AM8" i="18"/>
  <c r="AM5" i="18"/>
  <c r="AK6" i="18"/>
  <c r="AK7" i="18"/>
  <c r="AK8" i="18"/>
  <c r="AK9" i="18"/>
  <c r="AK10" i="18"/>
  <c r="AK5" i="18"/>
  <c r="AL6" i="18"/>
  <c r="AL7" i="18"/>
  <c r="AL8" i="18"/>
  <c r="AL9" i="18"/>
  <c r="AL10" i="18"/>
  <c r="AL5" i="18"/>
  <c r="AJ6" i="18"/>
  <c r="AJ7" i="18"/>
  <c r="AJ8" i="18"/>
  <c r="AJ9" i="18"/>
  <c r="AJ5" i="18"/>
  <c r="AI6" i="18"/>
  <c r="AI7" i="18"/>
  <c r="AI8" i="18"/>
  <c r="AI9" i="18"/>
  <c r="AI10" i="18"/>
  <c r="AI11" i="18"/>
  <c r="AI5" i="18"/>
  <c r="AH6" i="18"/>
  <c r="AH7" i="18"/>
  <c r="AH8" i="18"/>
  <c r="AH9" i="18"/>
  <c r="AH10" i="18"/>
  <c r="AH11" i="18"/>
  <c r="AH5" i="18"/>
  <c r="AG6" i="18"/>
  <c r="AG7" i="18"/>
  <c r="AG8" i="18"/>
  <c r="AG9" i="18"/>
  <c r="AG10" i="18"/>
  <c r="AG11" i="18"/>
  <c r="AG5" i="18"/>
  <c r="AE6" i="18"/>
  <c r="AE7" i="18"/>
  <c r="AE8" i="18"/>
  <c r="AE9" i="18"/>
  <c r="AE10" i="18"/>
  <c r="AE5" i="18"/>
  <c r="AF6" i="18"/>
  <c r="AF7" i="18"/>
  <c r="AF8" i="18"/>
  <c r="AF9" i="18"/>
  <c r="AF10" i="18"/>
  <c r="AF11" i="18"/>
  <c r="AF5" i="18"/>
  <c r="AD6" i="18"/>
  <c r="AD7" i="18"/>
  <c r="AD8" i="18"/>
  <c r="AD5" i="18"/>
  <c r="AC6" i="18"/>
  <c r="AC7" i="18"/>
  <c r="AC8" i="18"/>
  <c r="AC9" i="18"/>
  <c r="AC10" i="18"/>
  <c r="AC5" i="18"/>
  <c r="AB6" i="18"/>
  <c r="AB7" i="18"/>
  <c r="AB8" i="18"/>
  <c r="AB9" i="18"/>
  <c r="AB10" i="18"/>
  <c r="AB5" i="18"/>
  <c r="AA6" i="18"/>
  <c r="AA7" i="18"/>
  <c r="AA5" i="18"/>
  <c r="Z6" i="18"/>
  <c r="R30" i="12" s="1"/>
  <c r="Z7" i="18"/>
  <c r="R31" i="12" s="1"/>
  <c r="Z5" i="18"/>
  <c r="R29" i="12" s="1"/>
  <c r="Y6" i="18"/>
  <c r="Y7" i="18"/>
  <c r="Y8" i="18"/>
  <c r="Y9" i="18"/>
  <c r="Y5" i="18"/>
  <c r="X6" i="18"/>
  <c r="X7" i="18"/>
  <c r="X8" i="18"/>
  <c r="X9" i="18"/>
  <c r="X5" i="18"/>
  <c r="W6" i="18"/>
  <c r="W7" i="18"/>
  <c r="W8" i="18"/>
  <c r="W9" i="18"/>
  <c r="W5" i="18"/>
  <c r="V6" i="18"/>
  <c r="V7" i="18"/>
  <c r="V8" i="18"/>
  <c r="V9" i="18"/>
  <c r="V5" i="18"/>
  <c r="U6" i="18"/>
  <c r="U7" i="18"/>
  <c r="U8" i="18"/>
  <c r="U9" i="18"/>
  <c r="U10" i="18"/>
  <c r="U11" i="18"/>
  <c r="U5" i="18"/>
  <c r="T6" i="18"/>
  <c r="T7" i="18"/>
  <c r="T8" i="18"/>
  <c r="T9" i="18"/>
  <c r="T10" i="18"/>
  <c r="T11" i="18"/>
  <c r="T12" i="18"/>
  <c r="T5" i="18"/>
  <c r="S6" i="18"/>
  <c r="S7" i="18"/>
  <c r="S8" i="18"/>
  <c r="S9" i="18"/>
  <c r="S10" i="18"/>
  <c r="S11" i="18"/>
  <c r="S5" i="18"/>
  <c r="R6" i="18"/>
  <c r="R7" i="18"/>
  <c r="R8" i="18"/>
  <c r="R9" i="18"/>
  <c r="R10" i="18"/>
  <c r="R11" i="18"/>
  <c r="R5" i="18"/>
  <c r="Q6" i="18"/>
  <c r="Q7" i="18"/>
  <c r="Q5" i="18"/>
  <c r="P6" i="18"/>
  <c r="P7" i="18"/>
  <c r="P8" i="18"/>
  <c r="P9" i="18"/>
  <c r="P10" i="18"/>
  <c r="P5" i="18"/>
  <c r="O6" i="18"/>
  <c r="O7" i="18"/>
  <c r="O5" i="18"/>
  <c r="N6" i="18"/>
  <c r="N7" i="18"/>
  <c r="N5" i="18"/>
  <c r="M6" i="18"/>
  <c r="M7" i="18"/>
  <c r="M8" i="18"/>
  <c r="M9" i="18"/>
  <c r="M5" i="18"/>
  <c r="L6" i="18"/>
  <c r="L7" i="18"/>
  <c r="L8" i="18"/>
  <c r="L9" i="18"/>
  <c r="L5" i="18"/>
  <c r="K6" i="18"/>
  <c r="K7" i="18"/>
  <c r="K8" i="18"/>
  <c r="K9" i="18"/>
  <c r="K10" i="18"/>
  <c r="K5" i="18"/>
  <c r="J6" i="18"/>
  <c r="J7" i="18"/>
  <c r="J8" i="18"/>
  <c r="J9" i="18"/>
  <c r="J10" i="18"/>
  <c r="J11" i="18"/>
  <c r="J12" i="18"/>
  <c r="J13" i="18"/>
  <c r="J14" i="18"/>
  <c r="J5" i="18"/>
  <c r="I6" i="18"/>
  <c r="I7" i="18"/>
  <c r="I8" i="18"/>
  <c r="I9" i="18"/>
  <c r="I10" i="18"/>
  <c r="I11" i="18"/>
  <c r="I12" i="18"/>
  <c r="I13" i="18"/>
  <c r="I5" i="18"/>
  <c r="H6" i="18"/>
  <c r="H7" i="18"/>
  <c r="H8" i="18"/>
  <c r="H9" i="18"/>
  <c r="H10" i="18"/>
  <c r="H11" i="18"/>
  <c r="H5" i="18"/>
  <c r="G6" i="18"/>
  <c r="G7" i="18"/>
  <c r="G8" i="18"/>
  <c r="G9" i="18"/>
  <c r="G10" i="18"/>
  <c r="G11" i="18"/>
  <c r="G5" i="18"/>
  <c r="D18" i="12"/>
  <c r="D17" i="12"/>
  <c r="F6" i="18"/>
  <c r="D15" i="12" s="1"/>
  <c r="F7" i="18"/>
  <c r="D16" i="12" s="1"/>
  <c r="F5" i="18"/>
  <c r="D14" i="12" s="1"/>
  <c r="E6" i="18"/>
  <c r="E7" i="18"/>
  <c r="E8" i="18"/>
  <c r="E9" i="18"/>
  <c r="D8" i="12" s="1"/>
  <c r="E5" i="18"/>
  <c r="D6" i="18"/>
  <c r="D7" i="18"/>
  <c r="D8" i="18"/>
  <c r="D5" i="18"/>
  <c r="C6" i="18"/>
  <c r="C7" i="18"/>
  <c r="C8" i="18"/>
  <c r="C5" i="18"/>
  <c r="B6" i="18"/>
  <c r="B7" i="18"/>
  <c r="B5" i="18"/>
  <c r="B20" i="18" s="1"/>
  <c r="D5" i="12" l="1"/>
  <c r="N5" i="12"/>
  <c r="M5" i="12"/>
  <c r="N8" i="12"/>
  <c r="M8" i="12"/>
  <c r="D4" i="12"/>
  <c r="D6" i="12"/>
  <c r="D7" i="12"/>
  <c r="N18" i="12"/>
  <c r="M18" i="12"/>
  <c r="D17" i="15"/>
  <c r="D28" i="15"/>
  <c r="D16" i="15"/>
  <c r="D27" i="15"/>
  <c r="N17" i="12"/>
  <c r="M17" i="12"/>
  <c r="N15" i="12"/>
  <c r="M15" i="12"/>
  <c r="N14" i="12"/>
  <c r="M14" i="12"/>
  <c r="M16" i="12"/>
  <c r="N16" i="12"/>
  <c r="D13" i="15"/>
  <c r="D24" i="15"/>
  <c r="D15" i="15"/>
  <c r="D26" i="15"/>
  <c r="D14" i="15"/>
  <c r="D25" i="15"/>
  <c r="L17" i="12"/>
  <c r="L18" i="12"/>
  <c r="L16" i="12"/>
  <c r="L15" i="12"/>
  <c r="L8" i="12"/>
  <c r="L14" i="12"/>
  <c r="L5" i="12"/>
  <c r="AX6" i="6"/>
  <c r="AX7" i="6"/>
  <c r="AX8" i="6"/>
  <c r="N7" i="12" l="1"/>
  <c r="M7" i="12"/>
  <c r="N4" i="12"/>
  <c r="M4" i="12"/>
  <c r="N6" i="12"/>
  <c r="M6" i="12"/>
  <c r="L7" i="12"/>
  <c r="L6" i="12"/>
  <c r="L4" i="12"/>
  <c r="N14" i="15"/>
  <c r="M14" i="15"/>
  <c r="M13" i="15"/>
  <c r="N13" i="15"/>
  <c r="N17" i="15"/>
  <c r="M17" i="15"/>
  <c r="M15" i="15"/>
  <c r="N15" i="15"/>
  <c r="M16" i="15"/>
  <c r="N16" i="15"/>
  <c r="L15" i="15"/>
  <c r="L16" i="15"/>
  <c r="L13" i="15"/>
  <c r="L17" i="15"/>
  <c r="L14" i="15"/>
  <c r="R11" i="3"/>
  <c r="R10" i="3"/>
  <c r="R9" i="3"/>
  <c r="R8" i="3"/>
  <c r="R7" i="3"/>
  <c r="R6" i="3"/>
  <c r="R5" i="3"/>
  <c r="AL10" i="3" l="1"/>
  <c r="AK10" i="3"/>
  <c r="AL9" i="3"/>
  <c r="AK9" i="3"/>
  <c r="AJ9" i="3"/>
  <c r="AM8" i="3"/>
  <c r="AL8" i="3"/>
  <c r="AK8" i="3"/>
  <c r="AJ8" i="3"/>
  <c r="AM7" i="3"/>
  <c r="AL7" i="3"/>
  <c r="AK7" i="3"/>
  <c r="AJ7" i="3"/>
  <c r="AM6" i="3"/>
  <c r="AL6" i="3"/>
  <c r="AK6" i="3"/>
  <c r="AJ6" i="3"/>
  <c r="AM5" i="3"/>
  <c r="AL5" i="3"/>
  <c r="AK5" i="3"/>
  <c r="AJ5" i="3"/>
  <c r="AA7" i="3"/>
  <c r="AA6" i="3"/>
  <c r="AA5" i="3"/>
  <c r="BC11" i="6"/>
  <c r="AU11" i="6"/>
  <c r="AT11" i="6"/>
  <c r="BC10" i="6"/>
  <c r="AU10" i="6"/>
  <c r="AT10" i="6"/>
  <c r="AS10" i="6"/>
  <c r="AN10" i="6"/>
  <c r="BC9" i="6"/>
  <c r="BB9" i="6"/>
  <c r="BA9" i="6"/>
  <c r="AU9" i="6"/>
  <c r="AT9" i="6"/>
  <c r="AS9" i="6"/>
  <c r="AR9" i="6"/>
  <c r="AQ9" i="6"/>
  <c r="AP9" i="6"/>
  <c r="AO9" i="6"/>
  <c r="AN9" i="6"/>
  <c r="BC8" i="6"/>
  <c r="BB8" i="6"/>
  <c r="BA8" i="6"/>
  <c r="AW8" i="6"/>
  <c r="AU8" i="6"/>
  <c r="AT8" i="6"/>
  <c r="AS8" i="6"/>
  <c r="AR8" i="6"/>
  <c r="AQ8" i="6"/>
  <c r="AP8" i="6"/>
  <c r="AO8" i="6"/>
  <c r="AN8" i="6"/>
  <c r="BC7" i="6"/>
  <c r="BB7" i="6"/>
  <c r="BA7" i="6"/>
  <c r="AW7" i="6"/>
  <c r="AU7" i="6"/>
  <c r="AT7" i="6"/>
  <c r="AS7" i="6"/>
  <c r="AR7" i="6"/>
  <c r="AQ7" i="6"/>
  <c r="AP7" i="6"/>
  <c r="AO7" i="6"/>
  <c r="AN7" i="6"/>
  <c r="BC6" i="6"/>
  <c r="BB6" i="6"/>
  <c r="BA6" i="6"/>
  <c r="AZ6" i="6"/>
  <c r="AY6" i="6"/>
  <c r="AW6" i="6"/>
  <c r="AV6" i="6"/>
  <c r="AU6" i="6"/>
  <c r="AT6" i="6"/>
  <c r="AS6" i="6"/>
  <c r="AR6" i="6"/>
  <c r="AQ6" i="6"/>
  <c r="AP6" i="6"/>
  <c r="AO6" i="6"/>
  <c r="AN6" i="6"/>
  <c r="BC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BC11" i="5"/>
  <c r="AU11" i="5"/>
  <c r="AT11" i="5"/>
  <c r="BC10" i="5"/>
  <c r="AU10" i="5"/>
  <c r="AT10" i="5"/>
  <c r="AS10" i="5"/>
  <c r="AN10" i="5"/>
  <c r="BC9" i="5"/>
  <c r="BB9" i="5"/>
  <c r="BA9" i="5"/>
  <c r="AU9" i="5"/>
  <c r="AT9" i="5"/>
  <c r="AS9" i="5"/>
  <c r="AR9" i="5"/>
  <c r="AQ9" i="5"/>
  <c r="AP9" i="5"/>
  <c r="AO9" i="5"/>
  <c r="AN9" i="5"/>
  <c r="BC8" i="5"/>
  <c r="BB8" i="5"/>
  <c r="BA8" i="5"/>
  <c r="AX8" i="5"/>
  <c r="AW8" i="5"/>
  <c r="AU8" i="5"/>
  <c r="AT8" i="5"/>
  <c r="AS8" i="5"/>
  <c r="AR8" i="5"/>
  <c r="AQ8" i="5"/>
  <c r="AP8" i="5"/>
  <c r="AO8" i="5"/>
  <c r="AN8" i="5"/>
  <c r="BC7" i="5"/>
  <c r="BB7" i="5"/>
  <c r="BA7" i="5"/>
  <c r="AX7" i="5"/>
  <c r="AW7" i="5"/>
  <c r="AU7" i="5"/>
  <c r="AT7" i="5"/>
  <c r="AS7" i="5"/>
  <c r="AR7" i="5"/>
  <c r="AQ7" i="5"/>
  <c r="AP7" i="5"/>
  <c r="AO7" i="5"/>
  <c r="AN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BC11" i="3"/>
  <c r="AU11" i="3"/>
  <c r="AT11" i="3"/>
  <c r="BC10" i="3"/>
  <c r="AU10" i="3"/>
  <c r="AT10" i="3"/>
  <c r="AS10" i="3"/>
  <c r="AN10" i="3"/>
  <c r="BC9" i="3"/>
  <c r="BB9" i="3"/>
  <c r="BA9" i="3"/>
  <c r="AU9" i="3"/>
  <c r="AT9" i="3"/>
  <c r="AS9" i="3"/>
  <c r="AR9" i="3"/>
  <c r="AQ9" i="3"/>
  <c r="AP9" i="3"/>
  <c r="AO9" i="3"/>
  <c r="AN9" i="3"/>
  <c r="BC8" i="3"/>
  <c r="BB8" i="3"/>
  <c r="BA8" i="3"/>
  <c r="AX8" i="3"/>
  <c r="AW8" i="3"/>
  <c r="AU8" i="3"/>
  <c r="AT8" i="3"/>
  <c r="AS8" i="3"/>
  <c r="AR8" i="3"/>
  <c r="AQ8" i="3"/>
  <c r="AP8" i="3"/>
  <c r="AO8" i="3"/>
  <c r="AN8" i="3"/>
  <c r="BC7" i="3"/>
  <c r="BB7" i="3"/>
  <c r="BA7" i="3"/>
  <c r="AX7" i="3"/>
  <c r="AW7" i="3"/>
  <c r="AU7" i="3"/>
  <c r="AT7" i="3"/>
  <c r="AS7" i="3"/>
  <c r="AR7" i="3"/>
  <c r="AQ7" i="3"/>
  <c r="AP7" i="3"/>
  <c r="AO7" i="3"/>
  <c r="AN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BC11" i="8"/>
  <c r="AU11" i="8"/>
  <c r="AT11" i="8"/>
  <c r="BC10" i="8"/>
  <c r="AU10" i="8"/>
  <c r="AT10" i="8"/>
  <c r="AS10" i="8"/>
  <c r="AN10" i="8"/>
  <c r="BC9" i="8"/>
  <c r="BB9" i="8"/>
  <c r="BA9" i="8"/>
  <c r="AU9" i="8"/>
  <c r="AT9" i="8"/>
  <c r="AS9" i="8"/>
  <c r="AR9" i="8"/>
  <c r="AQ9" i="8"/>
  <c r="AP9" i="8"/>
  <c r="AO9" i="8"/>
  <c r="AN9" i="8"/>
  <c r="BC8" i="8"/>
  <c r="BB8" i="8"/>
  <c r="BA8" i="8"/>
  <c r="AX8" i="8"/>
  <c r="AW8" i="8"/>
  <c r="AU8" i="8"/>
  <c r="AT8" i="8"/>
  <c r="AS8" i="8"/>
  <c r="AR8" i="8"/>
  <c r="AQ8" i="8"/>
  <c r="AP8" i="8"/>
  <c r="AO8" i="8"/>
  <c r="AN8" i="8"/>
  <c r="BC7" i="8"/>
  <c r="BB7" i="8"/>
  <c r="BA7" i="8"/>
  <c r="AX7" i="8"/>
  <c r="AW7" i="8"/>
  <c r="AU7" i="8"/>
  <c r="AT7" i="8"/>
  <c r="AS7" i="8"/>
  <c r="AR7" i="8"/>
  <c r="AQ7" i="8"/>
  <c r="AP7" i="8"/>
  <c r="AO7" i="8"/>
  <c r="AN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T12" i="6"/>
  <c r="AI11" i="6"/>
  <c r="AH11" i="6"/>
  <c r="AG11" i="6"/>
  <c r="AF11" i="6"/>
  <c r="U11" i="6"/>
  <c r="T11" i="6"/>
  <c r="R11" i="6"/>
  <c r="AL10" i="6"/>
  <c r="AK10" i="6"/>
  <c r="AI10" i="6"/>
  <c r="AH10" i="6"/>
  <c r="AG10" i="6"/>
  <c r="AF10" i="6"/>
  <c r="AE10" i="6"/>
  <c r="AC10" i="6"/>
  <c r="AB10" i="6"/>
  <c r="U10" i="6"/>
  <c r="T10" i="6"/>
  <c r="S10" i="6"/>
  <c r="R10" i="6"/>
  <c r="P10" i="6"/>
  <c r="K10" i="6"/>
  <c r="AL9" i="6"/>
  <c r="AK9" i="6"/>
  <c r="AJ9" i="6"/>
  <c r="AI9" i="6"/>
  <c r="AH9" i="6"/>
  <c r="AG9" i="6"/>
  <c r="AF9" i="6"/>
  <c r="AE9" i="6"/>
  <c r="AC9" i="6"/>
  <c r="AB9" i="6"/>
  <c r="Y9" i="6"/>
  <c r="X9" i="6"/>
  <c r="W9" i="6"/>
  <c r="V9" i="6"/>
  <c r="U9" i="6"/>
  <c r="T9" i="6"/>
  <c r="S9" i="6"/>
  <c r="R9" i="6"/>
  <c r="P9" i="6"/>
  <c r="M9" i="6"/>
  <c r="L9" i="6"/>
  <c r="K9" i="6"/>
  <c r="AM8" i="6"/>
  <c r="AL8" i="6"/>
  <c r="AK8" i="6"/>
  <c r="AJ8" i="6"/>
  <c r="AI8" i="6"/>
  <c r="AH8" i="6"/>
  <c r="AG8" i="6"/>
  <c r="AF8" i="6"/>
  <c r="AE8" i="6"/>
  <c r="AD8" i="6"/>
  <c r="AC8" i="6"/>
  <c r="AB8" i="6"/>
  <c r="Y8" i="6"/>
  <c r="X8" i="6"/>
  <c r="W8" i="6"/>
  <c r="V8" i="6"/>
  <c r="U8" i="6"/>
  <c r="T8" i="6"/>
  <c r="S8" i="6"/>
  <c r="R8" i="6"/>
  <c r="P8" i="6"/>
  <c r="M8" i="6"/>
  <c r="L8" i="6"/>
  <c r="K8" i="6"/>
  <c r="AM7" i="6"/>
  <c r="AL7" i="6"/>
  <c r="AK7" i="6"/>
  <c r="AJ7" i="6"/>
  <c r="AI7" i="6"/>
  <c r="AH7" i="6"/>
  <c r="AG7" i="6"/>
  <c r="AF7" i="6"/>
  <c r="AE7" i="6"/>
  <c r="AD7" i="6"/>
  <c r="AC7" i="6"/>
  <c r="AB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M6" i="6"/>
  <c r="AL6" i="6"/>
  <c r="AK6" i="6"/>
  <c r="AJ6" i="6"/>
  <c r="AI6" i="6"/>
  <c r="AH6" i="6"/>
  <c r="AG6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M5" i="6"/>
  <c r="AL5" i="6"/>
  <c r="AK5" i="6"/>
  <c r="AJ5" i="6"/>
  <c r="AI5" i="6"/>
  <c r="AH5" i="6"/>
  <c r="AG5" i="6"/>
  <c r="AF5" i="6"/>
  <c r="AE5" i="6"/>
  <c r="AD5" i="6"/>
  <c r="AC5" i="6"/>
  <c r="AB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T12" i="5"/>
  <c r="AI11" i="5"/>
  <c r="AH11" i="5"/>
  <c r="AG11" i="5"/>
  <c r="AF11" i="5"/>
  <c r="U11" i="5"/>
  <c r="T11" i="5"/>
  <c r="R11" i="5"/>
  <c r="AL10" i="5"/>
  <c r="AK10" i="5"/>
  <c r="AI10" i="5"/>
  <c r="AH10" i="5"/>
  <c r="AG10" i="5"/>
  <c r="AF10" i="5"/>
  <c r="AE10" i="5"/>
  <c r="AC10" i="5"/>
  <c r="AB10" i="5"/>
  <c r="U10" i="5"/>
  <c r="T10" i="5"/>
  <c r="S10" i="5"/>
  <c r="R10" i="5"/>
  <c r="P10" i="5"/>
  <c r="K10" i="5"/>
  <c r="AL9" i="5"/>
  <c r="AK9" i="5"/>
  <c r="AJ9" i="5"/>
  <c r="AI9" i="5"/>
  <c r="AH9" i="5"/>
  <c r="AG9" i="5"/>
  <c r="AF9" i="5"/>
  <c r="AE9" i="5"/>
  <c r="AC9" i="5"/>
  <c r="AB9" i="5"/>
  <c r="Y9" i="5"/>
  <c r="X9" i="5"/>
  <c r="W9" i="5"/>
  <c r="V9" i="5"/>
  <c r="U9" i="5"/>
  <c r="T9" i="5"/>
  <c r="S9" i="5"/>
  <c r="R9" i="5"/>
  <c r="P9" i="5"/>
  <c r="M9" i="5"/>
  <c r="L9" i="5"/>
  <c r="K9" i="5"/>
  <c r="AM8" i="5"/>
  <c r="AL8" i="5"/>
  <c r="AK8" i="5"/>
  <c r="AJ8" i="5"/>
  <c r="AI8" i="5"/>
  <c r="AH8" i="5"/>
  <c r="AG8" i="5"/>
  <c r="AF8" i="5"/>
  <c r="AE8" i="5"/>
  <c r="AD8" i="5"/>
  <c r="AC8" i="5"/>
  <c r="AB8" i="5"/>
  <c r="Y8" i="5"/>
  <c r="X8" i="5"/>
  <c r="W8" i="5"/>
  <c r="V8" i="5"/>
  <c r="U8" i="5"/>
  <c r="T8" i="5"/>
  <c r="S8" i="5"/>
  <c r="R8" i="5"/>
  <c r="P8" i="5"/>
  <c r="M8" i="5"/>
  <c r="L8" i="5"/>
  <c r="K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T12" i="3"/>
  <c r="AI11" i="3"/>
  <c r="AH11" i="3"/>
  <c r="AG11" i="3"/>
  <c r="AF11" i="3"/>
  <c r="U11" i="3"/>
  <c r="T11" i="3"/>
  <c r="S11" i="3"/>
  <c r="AI10" i="3"/>
  <c r="AH10" i="3"/>
  <c r="AG10" i="3"/>
  <c r="AF10" i="3"/>
  <c r="AE10" i="3"/>
  <c r="AC10" i="3"/>
  <c r="AB10" i="3"/>
  <c r="U10" i="3"/>
  <c r="T10" i="3"/>
  <c r="S10" i="3"/>
  <c r="P10" i="3"/>
  <c r="K10" i="3"/>
  <c r="AI9" i="3"/>
  <c r="AH9" i="3"/>
  <c r="AG9" i="3"/>
  <c r="AF9" i="3"/>
  <c r="AE9" i="3"/>
  <c r="AC9" i="3"/>
  <c r="AB9" i="3"/>
  <c r="Y9" i="3"/>
  <c r="X9" i="3"/>
  <c r="W9" i="3"/>
  <c r="V9" i="3"/>
  <c r="U9" i="3"/>
  <c r="T9" i="3"/>
  <c r="S9" i="3"/>
  <c r="P9" i="3"/>
  <c r="M9" i="3"/>
  <c r="L9" i="3"/>
  <c r="K9" i="3"/>
  <c r="AI8" i="3"/>
  <c r="AH8" i="3"/>
  <c r="AG8" i="3"/>
  <c r="AF8" i="3"/>
  <c r="AE8" i="3"/>
  <c r="AD8" i="3"/>
  <c r="AC8" i="3"/>
  <c r="AB8" i="3"/>
  <c r="Y8" i="3"/>
  <c r="X8" i="3"/>
  <c r="W8" i="3"/>
  <c r="V8" i="3"/>
  <c r="U8" i="3"/>
  <c r="T8" i="3"/>
  <c r="S8" i="3"/>
  <c r="P8" i="3"/>
  <c r="M8" i="3"/>
  <c r="L8" i="3"/>
  <c r="K8" i="3"/>
  <c r="AI7" i="3"/>
  <c r="AH7" i="3"/>
  <c r="AG7" i="3"/>
  <c r="AF7" i="3"/>
  <c r="AE7" i="3"/>
  <c r="AD7" i="3"/>
  <c r="AC7" i="3"/>
  <c r="AB7" i="3"/>
  <c r="Z7" i="3"/>
  <c r="Y7" i="3"/>
  <c r="X7" i="3"/>
  <c r="W7" i="3"/>
  <c r="V7" i="3"/>
  <c r="U7" i="3"/>
  <c r="T7" i="3"/>
  <c r="S7" i="3"/>
  <c r="Q7" i="3"/>
  <c r="P7" i="3"/>
  <c r="O7" i="3"/>
  <c r="N7" i="3"/>
  <c r="M7" i="3"/>
  <c r="L7" i="3"/>
  <c r="K7" i="3"/>
  <c r="AI6" i="3"/>
  <c r="AH6" i="3"/>
  <c r="AG6" i="3"/>
  <c r="AF6" i="3"/>
  <c r="AE6" i="3"/>
  <c r="AD6" i="3"/>
  <c r="AC6" i="3"/>
  <c r="AB6" i="3"/>
  <c r="Z6" i="3"/>
  <c r="Y6" i="3"/>
  <c r="X6" i="3"/>
  <c r="W6" i="3"/>
  <c r="V6" i="3"/>
  <c r="U6" i="3"/>
  <c r="T6" i="3"/>
  <c r="S6" i="3"/>
  <c r="Q6" i="3"/>
  <c r="P6" i="3"/>
  <c r="O6" i="3"/>
  <c r="N6" i="3"/>
  <c r="M6" i="3"/>
  <c r="L6" i="3"/>
  <c r="K6" i="3"/>
  <c r="AI5" i="3"/>
  <c r="AH5" i="3"/>
  <c r="AG5" i="3"/>
  <c r="AF5" i="3"/>
  <c r="AE5" i="3"/>
  <c r="AD5" i="3"/>
  <c r="AC5" i="3"/>
  <c r="AB5" i="3"/>
  <c r="Z5" i="3"/>
  <c r="Y5" i="3"/>
  <c r="X5" i="3"/>
  <c r="W5" i="3"/>
  <c r="V5" i="3"/>
  <c r="U5" i="3"/>
  <c r="T5" i="3"/>
  <c r="S5" i="3"/>
  <c r="Q5" i="3"/>
  <c r="P5" i="3"/>
  <c r="O5" i="3"/>
  <c r="N5" i="3"/>
  <c r="M5" i="3"/>
  <c r="L5" i="3"/>
  <c r="K5" i="3"/>
  <c r="T12" i="8"/>
  <c r="AI11" i="8"/>
  <c r="AH11" i="8"/>
  <c r="AG11" i="8"/>
  <c r="AF11" i="8"/>
  <c r="U11" i="8"/>
  <c r="T11" i="8"/>
  <c r="S11" i="8"/>
  <c r="R11" i="8"/>
  <c r="AL10" i="8"/>
  <c r="AK10" i="8"/>
  <c r="AI10" i="8"/>
  <c r="AH10" i="8"/>
  <c r="AG10" i="8"/>
  <c r="AF10" i="8"/>
  <c r="AE10" i="8"/>
  <c r="AC10" i="8"/>
  <c r="AB10" i="8"/>
  <c r="U10" i="8"/>
  <c r="T10" i="8"/>
  <c r="S10" i="8"/>
  <c r="R10" i="8"/>
  <c r="P10" i="8"/>
  <c r="K10" i="8"/>
  <c r="AL9" i="8"/>
  <c r="AK9" i="8"/>
  <c r="AJ9" i="8"/>
  <c r="AI9" i="8"/>
  <c r="AH9" i="8"/>
  <c r="AG9" i="8"/>
  <c r="AF9" i="8"/>
  <c r="AE9" i="8"/>
  <c r="AC9" i="8"/>
  <c r="AB9" i="8"/>
  <c r="Y9" i="8"/>
  <c r="X9" i="8"/>
  <c r="W9" i="8"/>
  <c r="V9" i="8"/>
  <c r="U9" i="8"/>
  <c r="T9" i="8"/>
  <c r="S9" i="8"/>
  <c r="R9" i="8"/>
  <c r="P9" i="8"/>
  <c r="M9" i="8"/>
  <c r="L9" i="8"/>
  <c r="K9" i="8"/>
  <c r="AM8" i="8"/>
  <c r="AL8" i="8"/>
  <c r="AK8" i="8"/>
  <c r="AJ8" i="8"/>
  <c r="AI8" i="8"/>
  <c r="AH8" i="8"/>
  <c r="AG8" i="8"/>
  <c r="AF8" i="8"/>
  <c r="AE8" i="8"/>
  <c r="AD8" i="8"/>
  <c r="AC8" i="8"/>
  <c r="AB8" i="8"/>
  <c r="Y8" i="8"/>
  <c r="X8" i="8"/>
  <c r="W8" i="8"/>
  <c r="V8" i="8"/>
  <c r="U8" i="8"/>
  <c r="T8" i="8"/>
  <c r="S8" i="8"/>
  <c r="R8" i="8"/>
  <c r="P8" i="8"/>
  <c r="M8" i="8"/>
  <c r="L8" i="8"/>
  <c r="K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14" i="6"/>
  <c r="J13" i="6"/>
  <c r="I13" i="6"/>
  <c r="J12" i="6"/>
  <c r="I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E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14" i="5"/>
  <c r="J13" i="5"/>
  <c r="I13" i="5"/>
  <c r="J12" i="5"/>
  <c r="I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E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14" i="3"/>
  <c r="J13" i="3"/>
  <c r="I13" i="3"/>
  <c r="J12" i="3"/>
  <c r="I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E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14" i="8"/>
  <c r="J13" i="8"/>
  <c r="I13" i="8"/>
  <c r="J12" i="8"/>
  <c r="I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E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B15" i="15" l="1"/>
  <c r="B14" i="15"/>
  <c r="B6" i="15" s="1"/>
  <c r="P41" i="15" l="1"/>
  <c r="P24" i="15"/>
  <c r="P52" i="15"/>
  <c r="I13" i="10"/>
  <c r="H13" i="10"/>
  <c r="D57" i="15" l="1"/>
  <c r="D56" i="15"/>
  <c r="D55" i="15"/>
  <c r="D54" i="15"/>
  <c r="D46" i="15"/>
  <c r="D45" i="15"/>
  <c r="D44" i="15"/>
  <c r="D52" i="15"/>
  <c r="D53" i="15"/>
  <c r="D43" i="15"/>
  <c r="D42" i="15"/>
  <c r="D41" i="15"/>
  <c r="I35" i="10"/>
  <c r="G46" i="15"/>
  <c r="F46" i="15"/>
  <c r="E46" i="15"/>
  <c r="C46" i="15"/>
  <c r="K13" i="10"/>
  <c r="N44" i="15" l="1"/>
  <c r="M44" i="15"/>
  <c r="M43" i="15"/>
  <c r="N43" i="15"/>
  <c r="N45" i="15"/>
  <c r="M45" i="15"/>
  <c r="M41" i="15"/>
  <c r="L41" i="15"/>
  <c r="N41" i="15"/>
  <c r="M42" i="15"/>
  <c r="N42" i="15"/>
  <c r="M46" i="15"/>
  <c r="N46" i="15"/>
  <c r="L46" i="15"/>
  <c r="L43" i="15"/>
  <c r="L45" i="15"/>
  <c r="L44" i="15"/>
  <c r="L42" i="15"/>
  <c r="E18" i="15"/>
  <c r="G18" i="15"/>
  <c r="C18" i="15"/>
  <c r="F18" i="15"/>
  <c r="H38" i="10" l="1"/>
  <c r="H25" i="10" l="1"/>
  <c r="H27" i="10"/>
  <c r="H28" i="10"/>
  <c r="H29" i="10"/>
  <c r="H30" i="10"/>
  <c r="H31" i="10"/>
  <c r="H36" i="10"/>
  <c r="H37" i="10"/>
  <c r="H32" i="10"/>
  <c r="H34" i="10"/>
  <c r="H11" i="10" l="1"/>
  <c r="H14" i="10" l="1"/>
  <c r="H10" i="10"/>
  <c r="H8" i="10"/>
  <c r="I12" i="10"/>
  <c r="H12" i="10"/>
  <c r="H9" i="10"/>
  <c r="H4" i="10"/>
  <c r="H6" i="10"/>
  <c r="C28" i="10" l="1"/>
  <c r="T9" i="17" l="1"/>
  <c r="G41" i="15" l="1"/>
  <c r="G14" i="15"/>
  <c r="G42" i="15"/>
  <c r="G15" i="15"/>
  <c r="G43" i="15"/>
  <c r="G16" i="15"/>
  <c r="G44" i="15"/>
  <c r="G17" i="15"/>
  <c r="G45" i="15"/>
  <c r="F41" i="15"/>
  <c r="F14" i="15"/>
  <c r="F42" i="15"/>
  <c r="F15" i="15"/>
  <c r="F43" i="15"/>
  <c r="F16" i="15"/>
  <c r="F44" i="15"/>
  <c r="F17" i="15"/>
  <c r="F45" i="15"/>
  <c r="I17" i="5"/>
  <c r="J17" i="5"/>
  <c r="F24" i="15" l="1"/>
  <c r="F13" i="15"/>
  <c r="G24" i="15"/>
  <c r="G13" i="15"/>
  <c r="E45" i="15"/>
  <c r="E17" i="15"/>
  <c r="E44" i="15"/>
  <c r="E16" i="15"/>
  <c r="E43" i="15"/>
  <c r="E15" i="15"/>
  <c r="E42" i="15"/>
  <c r="E14" i="15"/>
  <c r="E41" i="15"/>
  <c r="E4" i="12" l="1"/>
  <c r="E24" i="15"/>
  <c r="E13" i="15"/>
  <c r="C45" i="15"/>
  <c r="C17" i="15"/>
  <c r="C44" i="15"/>
  <c r="C16" i="15"/>
  <c r="C43" i="15"/>
  <c r="C15" i="15"/>
  <c r="C42" i="15"/>
  <c r="C14" i="15"/>
  <c r="C41" i="15"/>
  <c r="C13" i="15"/>
  <c r="AK74" i="1" l="1"/>
  <c r="AJ74" i="1"/>
  <c r="B48" i="1"/>
  <c r="AJ53" i="1" s="1"/>
  <c r="S48" i="1"/>
  <c r="AK53" i="1" s="1"/>
  <c r="E76" i="1" l="1"/>
  <c r="E75" i="1"/>
  <c r="E74" i="1"/>
  <c r="E77" i="1"/>
  <c r="V75" i="1"/>
  <c r="V74" i="1"/>
  <c r="V77" i="1"/>
  <c r="V76" i="1"/>
  <c r="V55" i="1"/>
  <c r="V54" i="1"/>
  <c r="V53" i="1"/>
  <c r="V56" i="1"/>
  <c r="E53" i="1"/>
  <c r="E54" i="1"/>
  <c r="E56" i="1"/>
  <c r="E55" i="1"/>
  <c r="D75" i="1"/>
  <c r="U75" i="1"/>
  <c r="U74" i="1"/>
  <c r="Y74" i="1"/>
  <c r="W76" i="1"/>
  <c r="X75" i="1"/>
  <c r="D74" i="1"/>
  <c r="H74" i="1"/>
  <c r="F76" i="1"/>
  <c r="G75" i="1"/>
  <c r="Y77" i="1"/>
  <c r="U77" i="1"/>
  <c r="W75" i="1"/>
  <c r="H77" i="1"/>
  <c r="D77" i="1"/>
  <c r="F75" i="1"/>
  <c r="W74" i="1"/>
  <c r="X77" i="1"/>
  <c r="Y76" i="1"/>
  <c r="U76" i="1"/>
  <c r="F74" i="1"/>
  <c r="G77" i="1"/>
  <c r="H76" i="1"/>
  <c r="D76" i="1"/>
  <c r="X74" i="1"/>
  <c r="W77" i="1"/>
  <c r="X76" i="1"/>
  <c r="Y75" i="1"/>
  <c r="G74" i="1"/>
  <c r="F77" i="1"/>
  <c r="G76" i="1"/>
  <c r="H75" i="1"/>
  <c r="Y55" i="1"/>
  <c r="W55" i="1"/>
  <c r="U55" i="1"/>
  <c r="Y56" i="1"/>
  <c r="W56" i="1"/>
  <c r="U56" i="1"/>
  <c r="U54" i="1"/>
  <c r="Y53" i="1"/>
  <c r="W53" i="1"/>
  <c r="U53" i="1"/>
  <c r="W54" i="1"/>
  <c r="X54" i="1"/>
  <c r="Y54" i="1"/>
  <c r="X55" i="1"/>
  <c r="X56" i="1"/>
  <c r="X53" i="1"/>
  <c r="H54" i="1"/>
  <c r="AJ32" i="1"/>
  <c r="AK32" i="1"/>
  <c r="Q55" i="1" l="1"/>
  <c r="M55" i="1"/>
  <c r="P55" i="1"/>
  <c r="O55" i="1"/>
  <c r="N55" i="1"/>
  <c r="P56" i="1"/>
  <c r="O56" i="1"/>
  <c r="N56" i="1"/>
  <c r="Q56" i="1"/>
  <c r="M56" i="1"/>
  <c r="N54" i="1"/>
  <c r="Q54" i="1"/>
  <c r="M54" i="1"/>
  <c r="P54" i="1"/>
  <c r="O54" i="1"/>
  <c r="O53" i="1"/>
  <c r="N53" i="1"/>
  <c r="Q53" i="1"/>
  <c r="M53" i="1"/>
  <c r="P53" i="1"/>
  <c r="AG56" i="1"/>
  <c r="AF56" i="1"/>
  <c r="AE56" i="1"/>
  <c r="AG53" i="1"/>
  <c r="AF53" i="1"/>
  <c r="AE53" i="1"/>
  <c r="AE54" i="1"/>
  <c r="AG54" i="1"/>
  <c r="AF54" i="1"/>
  <c r="AE55" i="1"/>
  <c r="AG55" i="1"/>
  <c r="AF55" i="1"/>
  <c r="V35" i="1"/>
  <c r="V34" i="1"/>
  <c r="V33" i="1"/>
  <c r="V36" i="1"/>
  <c r="E33" i="1"/>
  <c r="E36" i="1"/>
  <c r="E34" i="1"/>
  <c r="E35" i="1"/>
  <c r="AD55" i="1"/>
  <c r="AD54" i="1"/>
  <c r="AD53" i="1"/>
  <c r="AD56" i="1"/>
  <c r="AK33" i="1"/>
  <c r="AJ33" i="1"/>
  <c r="E38" i="1" l="1"/>
  <c r="E41" i="1"/>
  <c r="E40" i="1"/>
  <c r="E39" i="1"/>
  <c r="E42" i="1"/>
  <c r="V41" i="1"/>
  <c r="V39" i="1"/>
  <c r="V38" i="1"/>
  <c r="V42" i="1"/>
  <c r="V40" i="1"/>
  <c r="D38" i="1"/>
  <c r="U39" i="1"/>
  <c r="D42" i="1"/>
  <c r="H38" i="1"/>
  <c r="F41" i="1"/>
  <c r="H39" i="1"/>
  <c r="F40" i="1"/>
  <c r="H41" i="1"/>
  <c r="G41" i="1"/>
  <c r="H42" i="1"/>
  <c r="G39" i="1"/>
  <c r="F38" i="1"/>
  <c r="G38" i="1"/>
  <c r="D40" i="1"/>
  <c r="G42" i="1"/>
  <c r="D41" i="1"/>
  <c r="F39" i="1"/>
  <c r="F42" i="1"/>
  <c r="H40" i="1"/>
  <c r="G40" i="1"/>
  <c r="D39" i="1"/>
  <c r="Y41" i="1"/>
  <c r="U42" i="1"/>
  <c r="U40" i="1"/>
  <c r="Y38" i="1"/>
  <c r="W41" i="1"/>
  <c r="Y39" i="1"/>
  <c r="W40" i="1"/>
  <c r="X41" i="1"/>
  <c r="Y42" i="1"/>
  <c r="X39" i="1"/>
  <c r="X42" i="1"/>
  <c r="U41" i="1"/>
  <c r="W39" i="1"/>
  <c r="X38" i="1"/>
  <c r="W42" i="1"/>
  <c r="Y40" i="1"/>
  <c r="W38" i="1"/>
  <c r="U38" i="1"/>
  <c r="X40" i="1"/>
  <c r="AE42" i="11" l="1"/>
  <c r="AO28" i="10" s="1"/>
  <c r="AP28" i="10" s="1"/>
  <c r="V6" i="17"/>
  <c r="V4" i="17"/>
  <c r="T76" i="17"/>
  <c r="T93" i="17"/>
  <c r="T59" i="17"/>
  <c r="J33" i="12" l="1"/>
  <c r="AO27" i="10" l="1"/>
  <c r="AP27" i="10" s="1"/>
  <c r="M40" i="12"/>
  <c r="N15" i="14"/>
  <c r="G17" i="12"/>
  <c r="G7" i="12"/>
  <c r="B25" i="12"/>
  <c r="B7" i="12"/>
  <c r="D13" i="14" l="1"/>
  <c r="L18" i="14" s="1"/>
  <c r="D12" i="14"/>
  <c r="L17" i="14" s="1"/>
  <c r="D11" i="14"/>
  <c r="L16" i="14" s="1"/>
  <c r="D14" i="14"/>
  <c r="L19" i="14" s="1"/>
  <c r="V2" i="17"/>
  <c r="T26" i="17"/>
  <c r="T43" i="17"/>
  <c r="S7" i="1"/>
  <c r="AK5" i="1" s="1"/>
  <c r="S6" i="1"/>
  <c r="B6" i="1"/>
  <c r="B7" i="1"/>
  <c r="AJ5" i="1" s="1"/>
  <c r="S8" i="1"/>
  <c r="V17" i="1" l="1"/>
  <c r="V20" i="1"/>
  <c r="V18" i="1"/>
  <c r="V21" i="1"/>
  <c r="V19" i="1"/>
  <c r="E21" i="1"/>
  <c r="E20" i="1"/>
  <c r="E19" i="1"/>
  <c r="E18" i="1"/>
  <c r="E17" i="1"/>
  <c r="H20" i="1"/>
  <c r="F17" i="1"/>
  <c r="G21" i="1"/>
  <c r="F19" i="1"/>
  <c r="D21" i="1"/>
  <c r="H21" i="1"/>
  <c r="D18" i="1"/>
  <c r="G19" i="1"/>
  <c r="D17" i="1"/>
  <c r="H17" i="1"/>
  <c r="D19" i="1"/>
  <c r="H19" i="1"/>
  <c r="F21" i="1"/>
  <c r="D20" i="1"/>
  <c r="F20" i="1"/>
  <c r="G20" i="1"/>
  <c r="G17" i="1"/>
  <c r="F18" i="1"/>
  <c r="G18" i="1"/>
  <c r="H18" i="1"/>
  <c r="U18" i="1"/>
  <c r="X19" i="1"/>
  <c r="U17" i="1"/>
  <c r="X21" i="1"/>
  <c r="U19" i="1"/>
  <c r="X17" i="1"/>
  <c r="Y19" i="1"/>
  <c r="W21" i="1"/>
  <c r="U20" i="1"/>
  <c r="Y21" i="1"/>
  <c r="Y17" i="1"/>
  <c r="X20" i="1"/>
  <c r="Y20" i="1"/>
  <c r="U21" i="1"/>
  <c r="W18" i="1"/>
  <c r="X18" i="1"/>
  <c r="W19" i="1"/>
  <c r="Y18" i="1"/>
  <c r="W20" i="1"/>
  <c r="W17" i="1"/>
  <c r="AL58" i="12"/>
  <c r="AL57" i="12"/>
  <c r="AK76" i="1"/>
  <c r="P19" i="1" l="1"/>
  <c r="O19" i="1"/>
  <c r="N19" i="1"/>
  <c r="Q19" i="1"/>
  <c r="Q20" i="1"/>
  <c r="P20" i="1"/>
  <c r="O20" i="1"/>
  <c r="N20" i="1"/>
  <c r="Q17" i="1"/>
  <c r="P17" i="1"/>
  <c r="O17" i="1"/>
  <c r="N17" i="1"/>
  <c r="Q21" i="1"/>
  <c r="P21" i="1"/>
  <c r="O21" i="1"/>
  <c r="N21" i="1"/>
  <c r="Q18" i="1"/>
  <c r="P18" i="1"/>
  <c r="O18" i="1"/>
  <c r="N18" i="1"/>
  <c r="AH19" i="1"/>
  <c r="AG19" i="1"/>
  <c r="AG21" i="1"/>
  <c r="AH21" i="1"/>
  <c r="AH18" i="1"/>
  <c r="AG18" i="1"/>
  <c r="AG20" i="1"/>
  <c r="AH20" i="1"/>
  <c r="AH17" i="1"/>
  <c r="AG17" i="1"/>
  <c r="AF19" i="1"/>
  <c r="AE19" i="1"/>
  <c r="AF21" i="1"/>
  <c r="AE21" i="1"/>
  <c r="AF18" i="1"/>
  <c r="AE18" i="1"/>
  <c r="AF20" i="1"/>
  <c r="AE20" i="1"/>
  <c r="AE17" i="1"/>
  <c r="AF17" i="1"/>
  <c r="R66" i="12"/>
  <c r="R67" i="12"/>
  <c r="R65" i="12"/>
  <c r="R68" i="12"/>
  <c r="R64" i="12"/>
  <c r="R69" i="12"/>
  <c r="R71" i="12"/>
  <c r="R70" i="12"/>
  <c r="AD20" i="1"/>
  <c r="AD17" i="1"/>
  <c r="AD18" i="1"/>
  <c r="AD19" i="1"/>
  <c r="AD21" i="1"/>
  <c r="R62" i="12"/>
  <c r="R57" i="12"/>
  <c r="R58" i="12"/>
  <c r="R59" i="12"/>
  <c r="R60" i="12"/>
  <c r="R61" i="12"/>
  <c r="S62" i="12"/>
  <c r="Q62" i="12"/>
  <c r="T62" i="12"/>
  <c r="U62" i="12"/>
  <c r="S69" i="12"/>
  <c r="Q71" i="12"/>
  <c r="T69" i="12"/>
  <c r="Q70" i="12"/>
  <c r="U69" i="12"/>
  <c r="S71" i="12"/>
  <c r="T71" i="12"/>
  <c r="U71" i="12"/>
  <c r="Q69" i="12"/>
  <c r="S70" i="12"/>
  <c r="T70" i="12"/>
  <c r="U70" i="12"/>
  <c r="AK43" i="11" l="1"/>
  <c r="Y48" i="11" l="1"/>
  <c r="Y47" i="11"/>
  <c r="Y46" i="11"/>
  <c r="Y45" i="11"/>
  <c r="Y51" i="11"/>
  <c r="Y50" i="11"/>
  <c r="Y49" i="11"/>
  <c r="Y44" i="11"/>
  <c r="Y43" i="11"/>
  <c r="Y42" i="11"/>
  <c r="X51" i="11"/>
  <c r="Z51" i="11"/>
  <c r="AB51" i="11"/>
  <c r="AA51" i="11"/>
  <c r="V22" i="11"/>
  <c r="E25" i="11" l="1"/>
  <c r="E28" i="11"/>
  <c r="E27" i="11"/>
  <c r="E26" i="11"/>
  <c r="E24" i="11"/>
  <c r="E22" i="11"/>
  <c r="E23" i="11"/>
  <c r="AK57" i="12"/>
  <c r="G15" i="12"/>
  <c r="G16" i="12"/>
  <c r="G18" i="12"/>
  <c r="AB43" i="11"/>
  <c r="AB44" i="11"/>
  <c r="AB45" i="11"/>
  <c r="AB46" i="11"/>
  <c r="AB47" i="11"/>
  <c r="AB48" i="11"/>
  <c r="AB49" i="11"/>
  <c r="AB50" i="11"/>
  <c r="U65" i="12"/>
  <c r="U66" i="12"/>
  <c r="U67" i="12"/>
  <c r="U68" i="12"/>
  <c r="H23" i="11"/>
  <c r="H24" i="11"/>
  <c r="H25" i="11"/>
  <c r="H26" i="11"/>
  <c r="H27" i="11"/>
  <c r="H28" i="11"/>
  <c r="H55" i="1"/>
  <c r="H56" i="1"/>
  <c r="F8" i="12"/>
  <c r="F15" i="12"/>
  <c r="F16" i="12"/>
  <c r="F17" i="12"/>
  <c r="F18" i="12"/>
  <c r="AA43" i="11"/>
  <c r="AA44" i="11"/>
  <c r="AA45" i="11"/>
  <c r="AA46" i="11"/>
  <c r="AA47" i="11"/>
  <c r="AA48" i="11"/>
  <c r="AA49" i="11"/>
  <c r="AA50" i="11"/>
  <c r="T65" i="12"/>
  <c r="T66" i="12"/>
  <c r="T67" i="12"/>
  <c r="T68" i="12"/>
  <c r="G23" i="11"/>
  <c r="G24" i="11"/>
  <c r="G25" i="11"/>
  <c r="G26" i="11"/>
  <c r="G27" i="11"/>
  <c r="G28" i="11"/>
  <c r="G54" i="1"/>
  <c r="G55" i="1"/>
  <c r="G56" i="1"/>
  <c r="F54" i="1"/>
  <c r="F55" i="1"/>
  <c r="F56" i="1"/>
  <c r="D54" i="1"/>
  <c r="D55" i="1"/>
  <c r="D56" i="1"/>
  <c r="D23" i="11"/>
  <c r="D24" i="11"/>
  <c r="D25" i="11"/>
  <c r="D26" i="11"/>
  <c r="D27" i="11"/>
  <c r="D28" i="11"/>
  <c r="Q65" i="12"/>
  <c r="Q66" i="12"/>
  <c r="Q67" i="12"/>
  <c r="Q68" i="12"/>
  <c r="X43" i="11"/>
  <c r="X44" i="11"/>
  <c r="X45" i="11"/>
  <c r="X46" i="11"/>
  <c r="X47" i="11"/>
  <c r="X48" i="11"/>
  <c r="X49" i="11"/>
  <c r="X50" i="11"/>
  <c r="C15" i="12"/>
  <c r="C16" i="12"/>
  <c r="C17" i="12"/>
  <c r="C18" i="12"/>
  <c r="D36" i="12" l="1"/>
  <c r="D39" i="12"/>
  <c r="D37" i="12"/>
  <c r="D38" i="12"/>
  <c r="D33" i="12"/>
  <c r="D34" i="12"/>
  <c r="D35" i="12"/>
  <c r="F7" i="12"/>
  <c r="F6" i="12"/>
  <c r="C7" i="12"/>
  <c r="C8" i="12"/>
  <c r="F5" i="12"/>
  <c r="Y36" i="1"/>
  <c r="U36" i="1"/>
  <c r="F20" i="12"/>
  <c r="F10" i="12"/>
  <c r="Y35" i="1"/>
  <c r="U35" i="1"/>
  <c r="W36" i="1"/>
  <c r="X36" i="1"/>
  <c r="F19" i="12"/>
  <c r="F9" i="12"/>
  <c r="C6" i="12"/>
  <c r="W35" i="1"/>
  <c r="X35" i="1"/>
  <c r="C20" i="12"/>
  <c r="C10" i="12"/>
  <c r="C5" i="12"/>
  <c r="G20" i="12"/>
  <c r="G10" i="12"/>
  <c r="C19" i="12"/>
  <c r="C9" i="12"/>
  <c r="G19" i="12"/>
  <c r="G9" i="12"/>
  <c r="C12" i="14"/>
  <c r="C34" i="12"/>
  <c r="Q59" i="12"/>
  <c r="U34" i="1"/>
  <c r="Q58" i="12"/>
  <c r="D36" i="1"/>
  <c r="H35" i="1"/>
  <c r="U60" i="12"/>
  <c r="G38" i="12"/>
  <c r="D35" i="1"/>
  <c r="H34" i="1"/>
  <c r="U59" i="12"/>
  <c r="G37" i="12"/>
  <c r="C39" i="12"/>
  <c r="D34" i="1"/>
  <c r="F35" i="1"/>
  <c r="G35" i="1"/>
  <c r="T61" i="12"/>
  <c r="F39" i="12"/>
  <c r="Y34" i="1"/>
  <c r="U58" i="12"/>
  <c r="G36" i="12"/>
  <c r="F36" i="1"/>
  <c r="G36" i="1"/>
  <c r="T60" i="12"/>
  <c r="F38" i="12"/>
  <c r="G35" i="12"/>
  <c r="T59" i="12"/>
  <c r="F37" i="12"/>
  <c r="G34" i="12"/>
  <c r="G34" i="1"/>
  <c r="W34" i="1"/>
  <c r="X34" i="1"/>
  <c r="C14" i="14"/>
  <c r="C36" i="12"/>
  <c r="Q61" i="12"/>
  <c r="T58" i="12"/>
  <c r="F36" i="12"/>
  <c r="C38" i="12"/>
  <c r="F34" i="1"/>
  <c r="C37" i="12"/>
  <c r="C13" i="14"/>
  <c r="C35" i="12"/>
  <c r="Q60" i="12"/>
  <c r="F35" i="12"/>
  <c r="F34" i="12"/>
  <c r="H36" i="1"/>
  <c r="U61" i="12"/>
  <c r="G39" i="12"/>
  <c r="M33" i="12" l="1"/>
  <c r="N33" i="12"/>
  <c r="N38" i="12"/>
  <c r="M38" i="12"/>
  <c r="N35" i="12"/>
  <c r="M35" i="12"/>
  <c r="N34" i="12"/>
  <c r="M34" i="12"/>
  <c r="M37" i="12"/>
  <c r="N37" i="12"/>
  <c r="N39" i="12"/>
  <c r="M39" i="12"/>
  <c r="N36" i="12"/>
  <c r="M36" i="12"/>
  <c r="L35" i="12"/>
  <c r="L38" i="12"/>
  <c r="L37" i="12"/>
  <c r="L34" i="12"/>
  <c r="L36" i="12"/>
  <c r="L33" i="12"/>
  <c r="L39" i="12"/>
  <c r="J35" i="1"/>
  <c r="J18" i="1"/>
  <c r="J19" i="1"/>
  <c r="J36" i="1"/>
  <c r="J34" i="1"/>
  <c r="J20" i="1"/>
  <c r="J21" i="1"/>
  <c r="V59" i="11"/>
  <c r="V58" i="11"/>
  <c r="AJ75" i="1"/>
  <c r="AJ73" i="1"/>
  <c r="AK75" i="1"/>
  <c r="AK73" i="1"/>
  <c r="AK31" i="1"/>
  <c r="AK72" i="1"/>
  <c r="AI33" i="13"/>
  <c r="AJ34" i="13"/>
  <c r="AJ33" i="13"/>
  <c r="R39" i="13" l="1"/>
  <c r="R38" i="13"/>
  <c r="D21" i="13"/>
  <c r="D23" i="13"/>
  <c r="D22" i="13"/>
  <c r="E62" i="11"/>
  <c r="E60" i="11"/>
  <c r="E63" i="11"/>
  <c r="E61" i="11"/>
  <c r="E66" i="11"/>
  <c r="E65" i="11"/>
  <c r="E71" i="11"/>
  <c r="E70" i="11"/>
  <c r="E69" i="11"/>
  <c r="E68" i="11"/>
  <c r="E67" i="11"/>
  <c r="E72" i="1"/>
  <c r="E69" i="1"/>
  <c r="E71" i="1"/>
  <c r="E70" i="1"/>
  <c r="E82" i="1"/>
  <c r="E83" i="1"/>
  <c r="E81" i="1"/>
  <c r="E80" i="1"/>
  <c r="E79" i="1"/>
  <c r="V29" i="1"/>
  <c r="V28" i="1"/>
  <c r="V31" i="1"/>
  <c r="V30" i="1"/>
  <c r="V70" i="1"/>
  <c r="V69" i="1"/>
  <c r="V71" i="1"/>
  <c r="V72" i="1"/>
  <c r="V80" i="1"/>
  <c r="V82" i="1"/>
  <c r="V81" i="1"/>
  <c r="V79" i="1"/>
  <c r="V83" i="1"/>
  <c r="R35" i="13"/>
  <c r="R36" i="13"/>
  <c r="R33" i="13"/>
  <c r="R37" i="13"/>
  <c r="R34" i="13"/>
  <c r="E59" i="11"/>
  <c r="E57" i="11"/>
  <c r="E58" i="11"/>
  <c r="V27" i="1"/>
  <c r="V26" i="1"/>
  <c r="V25" i="1"/>
  <c r="V67" i="1"/>
  <c r="V66" i="1"/>
  <c r="V68" i="1"/>
  <c r="E66" i="1"/>
  <c r="E67" i="1"/>
  <c r="E68" i="1"/>
  <c r="G57" i="15"/>
  <c r="C57" i="15"/>
  <c r="F57" i="15"/>
  <c r="E57" i="15"/>
  <c r="F55" i="15"/>
  <c r="G55" i="15"/>
  <c r="G53" i="15"/>
  <c r="F54" i="15"/>
  <c r="F53" i="15"/>
  <c r="G54" i="15"/>
  <c r="E56" i="15"/>
  <c r="C54" i="15"/>
  <c r="G56" i="15"/>
  <c r="C56" i="15"/>
  <c r="C53" i="15"/>
  <c r="C55" i="15"/>
  <c r="E53" i="15"/>
  <c r="E55" i="15"/>
  <c r="E54" i="15"/>
  <c r="F56" i="15"/>
  <c r="D63" i="11"/>
  <c r="F63" i="11"/>
  <c r="G63" i="11"/>
  <c r="H63" i="11"/>
  <c r="H61" i="11"/>
  <c r="G60" i="11"/>
  <c r="G62" i="11"/>
  <c r="H59" i="11"/>
  <c r="D58" i="11"/>
  <c r="D60" i="11"/>
  <c r="D59" i="11"/>
  <c r="G59" i="11"/>
  <c r="G58" i="11"/>
  <c r="H58" i="11"/>
  <c r="D61" i="11"/>
  <c r="G61" i="11"/>
  <c r="H60" i="11"/>
  <c r="H62" i="11"/>
  <c r="D62" i="11"/>
  <c r="D66" i="11"/>
  <c r="G69" i="11"/>
  <c r="D67" i="11"/>
  <c r="D68" i="11"/>
  <c r="H71" i="11"/>
  <c r="H68" i="11"/>
  <c r="G66" i="11"/>
  <c r="G71" i="11"/>
  <c r="D69" i="11"/>
  <c r="H70" i="11"/>
  <c r="G68" i="11"/>
  <c r="G70" i="11"/>
  <c r="D71" i="11"/>
  <c r="H67" i="11"/>
  <c r="H69" i="11"/>
  <c r="G67" i="11"/>
  <c r="D70" i="11"/>
  <c r="H66" i="11"/>
  <c r="U72" i="1"/>
  <c r="Y72" i="1"/>
  <c r="W72" i="1"/>
  <c r="X72" i="1"/>
  <c r="W70" i="1"/>
  <c r="Y67" i="1"/>
  <c r="W68" i="1"/>
  <c r="U68" i="1"/>
  <c r="U71" i="1"/>
  <c r="X71" i="1"/>
  <c r="W69" i="1"/>
  <c r="X67" i="1"/>
  <c r="Y71" i="1"/>
  <c r="U69" i="1"/>
  <c r="Y70" i="1"/>
  <c r="W67" i="1"/>
  <c r="U70" i="1"/>
  <c r="U67" i="1"/>
  <c r="X69" i="1"/>
  <c r="X68" i="1"/>
  <c r="X70" i="1"/>
  <c r="Y69" i="1"/>
  <c r="Y68" i="1"/>
  <c r="W71" i="1"/>
  <c r="W82" i="1"/>
  <c r="W83" i="1"/>
  <c r="X83" i="1"/>
  <c r="U81" i="1"/>
  <c r="X82" i="1"/>
  <c r="Y82" i="1"/>
  <c r="Y81" i="1"/>
  <c r="U82" i="1"/>
  <c r="Y83" i="1"/>
  <c r="W81" i="1"/>
  <c r="U83" i="1"/>
  <c r="X81" i="1"/>
  <c r="Y80" i="1"/>
  <c r="X80" i="1"/>
  <c r="U80" i="1"/>
  <c r="W80" i="1"/>
  <c r="Y31" i="1"/>
  <c r="U31" i="1"/>
  <c r="W31" i="1"/>
  <c r="X31" i="1"/>
  <c r="W30" i="1"/>
  <c r="U28" i="1"/>
  <c r="Y29" i="1"/>
  <c r="W28" i="1"/>
  <c r="W29" i="1"/>
  <c r="X28" i="1"/>
  <c r="X29" i="1"/>
  <c r="W27" i="1"/>
  <c r="W26" i="1"/>
  <c r="U30" i="1"/>
  <c r="U29" i="1"/>
  <c r="U26" i="1"/>
  <c r="Y27" i="1"/>
  <c r="X30" i="1"/>
  <c r="Y26" i="1"/>
  <c r="Y30" i="1"/>
  <c r="Y28" i="1"/>
  <c r="X27" i="1"/>
  <c r="X26" i="1"/>
  <c r="U27" i="1"/>
  <c r="D72" i="1"/>
  <c r="F72" i="1"/>
  <c r="G72" i="1"/>
  <c r="H72" i="1"/>
  <c r="H68" i="1"/>
  <c r="F69" i="1"/>
  <c r="F67" i="1"/>
  <c r="D68" i="1"/>
  <c r="G71" i="1"/>
  <c r="H70" i="1"/>
  <c r="F71" i="1"/>
  <c r="H67" i="1"/>
  <c r="G68" i="1"/>
  <c r="D67" i="1"/>
  <c r="G70" i="1"/>
  <c r="D70" i="1"/>
  <c r="D69" i="1"/>
  <c r="F70" i="1"/>
  <c r="F68" i="1"/>
  <c r="D71" i="1"/>
  <c r="H71" i="1"/>
  <c r="G69" i="1"/>
  <c r="G67" i="1"/>
  <c r="H69" i="1"/>
  <c r="F82" i="1"/>
  <c r="G83" i="1"/>
  <c r="D81" i="1"/>
  <c r="G82" i="1"/>
  <c r="H83" i="1"/>
  <c r="H82" i="1"/>
  <c r="D82" i="1"/>
  <c r="F81" i="1"/>
  <c r="D83" i="1"/>
  <c r="G81" i="1"/>
  <c r="H81" i="1"/>
  <c r="F83" i="1"/>
  <c r="D80" i="1"/>
  <c r="F80" i="1"/>
  <c r="H80" i="1"/>
  <c r="G80" i="1"/>
  <c r="O42" i="12"/>
  <c r="O40" i="12"/>
  <c r="J72" i="1" l="1"/>
  <c r="J82" i="1"/>
  <c r="AA83" i="1"/>
  <c r="J81" i="1"/>
  <c r="AA72" i="1"/>
  <c r="I57" i="15"/>
  <c r="AD51" i="11"/>
  <c r="J83" i="1"/>
  <c r="AA82" i="1"/>
  <c r="AA81" i="1"/>
  <c r="P25" i="13"/>
  <c r="AJ24" i="13" s="1"/>
  <c r="P24" i="13"/>
  <c r="AJ23" i="13" s="1"/>
  <c r="B16" i="13"/>
  <c r="AI23" i="13" s="1"/>
  <c r="P32" i="15"/>
  <c r="W31" i="11"/>
  <c r="W30" i="11"/>
  <c r="B43" i="11"/>
  <c r="B42" i="11"/>
  <c r="B41" i="11"/>
  <c r="B40" i="11"/>
  <c r="S49" i="1"/>
  <c r="AK54" i="1" s="1"/>
  <c r="S47" i="1"/>
  <c r="S46" i="1"/>
  <c r="B49" i="1"/>
  <c r="AJ54" i="1" s="1"/>
  <c r="B47" i="1"/>
  <c r="B46" i="1"/>
  <c r="AJ52" i="1" s="1"/>
  <c r="O43" i="12"/>
  <c r="AL41" i="12" s="1"/>
  <c r="O41" i="12"/>
  <c r="AL40" i="12" s="1"/>
  <c r="R41" i="12" s="1"/>
  <c r="B24" i="12"/>
  <c r="AK40" i="12" s="1"/>
  <c r="B18" i="14"/>
  <c r="S5" i="1"/>
  <c r="AK4" i="1" s="1"/>
  <c r="AK17" i="11"/>
  <c r="W5" i="11"/>
  <c r="AK4" i="11" s="1"/>
  <c r="B6" i="12"/>
  <c r="R44" i="12" l="1"/>
  <c r="R43" i="12"/>
  <c r="R42" i="12"/>
  <c r="D37" i="15"/>
  <c r="D35" i="15"/>
  <c r="D36" i="15"/>
  <c r="D34" i="15"/>
  <c r="V40" i="11"/>
  <c r="E42" i="11" s="1"/>
  <c r="V41" i="11"/>
  <c r="D47" i="11" s="1"/>
  <c r="Y22" i="11"/>
  <c r="Y21" i="11"/>
  <c r="Y20" i="11"/>
  <c r="Y26" i="11"/>
  <c r="Y25" i="11"/>
  <c r="Y24" i="11"/>
  <c r="Y23" i="11"/>
  <c r="D26" i="12"/>
  <c r="D28" i="12"/>
  <c r="D29" i="12"/>
  <c r="D27" i="12"/>
  <c r="D15" i="13"/>
  <c r="D16" i="13"/>
  <c r="D17" i="13"/>
  <c r="R28" i="13"/>
  <c r="R29" i="13"/>
  <c r="R50" i="12"/>
  <c r="R49" i="12"/>
  <c r="R48" i="12"/>
  <c r="R53" i="12"/>
  <c r="R47" i="12"/>
  <c r="R46" i="12"/>
  <c r="R52" i="12"/>
  <c r="R51" i="12"/>
  <c r="V15" i="1"/>
  <c r="AG15" i="1" s="1"/>
  <c r="V14" i="1"/>
  <c r="AG14" i="1" s="1"/>
  <c r="V13" i="1"/>
  <c r="AG13" i="1" s="1"/>
  <c r="V12" i="1"/>
  <c r="AG12" i="1" s="1"/>
  <c r="V62" i="1"/>
  <c r="V61" i="1"/>
  <c r="V59" i="1"/>
  <c r="V60" i="1"/>
  <c r="V58" i="1"/>
  <c r="E50" i="1"/>
  <c r="E49" i="1"/>
  <c r="E48" i="1"/>
  <c r="E51" i="1"/>
  <c r="E60" i="1"/>
  <c r="E59" i="1"/>
  <c r="E61" i="1"/>
  <c r="E58" i="1"/>
  <c r="E62" i="1"/>
  <c r="Y7" i="11"/>
  <c r="Y9" i="11"/>
  <c r="Y13" i="11"/>
  <c r="Y10" i="11"/>
  <c r="Y12" i="11"/>
  <c r="Y11" i="11"/>
  <c r="Y8" i="11"/>
  <c r="H35" i="10"/>
  <c r="D32" i="15"/>
  <c r="D33" i="15"/>
  <c r="Y19" i="11"/>
  <c r="Y18" i="11"/>
  <c r="Y17" i="11"/>
  <c r="E46" i="1"/>
  <c r="E47" i="1"/>
  <c r="E45" i="1"/>
  <c r="R27" i="13"/>
  <c r="R25" i="13"/>
  <c r="R24" i="13"/>
  <c r="R23" i="13"/>
  <c r="R26" i="13"/>
  <c r="Y4" i="11"/>
  <c r="Y6" i="11"/>
  <c r="Y5" i="11"/>
  <c r="R39" i="12"/>
  <c r="R40" i="12"/>
  <c r="R23" i="12"/>
  <c r="R27" i="12"/>
  <c r="R24" i="12"/>
  <c r="R25" i="12"/>
  <c r="R26" i="12"/>
  <c r="R22" i="12"/>
  <c r="D23" i="12"/>
  <c r="D25" i="12"/>
  <c r="D24" i="12"/>
  <c r="E32" i="15"/>
  <c r="F32" i="15"/>
  <c r="G32" i="15"/>
  <c r="I43" i="15"/>
  <c r="U15" i="1"/>
  <c r="W15" i="1"/>
  <c r="X14" i="1"/>
  <c r="X15" i="1"/>
  <c r="W13" i="1"/>
  <c r="Y14" i="1"/>
  <c r="U13" i="1"/>
  <c r="X13" i="1"/>
  <c r="Y15" i="1"/>
  <c r="U14" i="1"/>
  <c r="Y13" i="1"/>
  <c r="W14" i="1"/>
  <c r="G29" i="15"/>
  <c r="E29" i="15"/>
  <c r="F29" i="15"/>
  <c r="C29" i="15"/>
  <c r="F27" i="15"/>
  <c r="C25" i="15"/>
  <c r="G26" i="15"/>
  <c r="E27" i="15"/>
  <c r="F28" i="15"/>
  <c r="C26" i="15"/>
  <c r="C27" i="15"/>
  <c r="E26" i="15"/>
  <c r="E25" i="15"/>
  <c r="G25" i="15"/>
  <c r="C28" i="15"/>
  <c r="G28" i="15"/>
  <c r="G27" i="15"/>
  <c r="F25" i="15"/>
  <c r="E28" i="15"/>
  <c r="F26" i="15"/>
  <c r="T25" i="12"/>
  <c r="U25" i="12"/>
  <c r="S27" i="12"/>
  <c r="T27" i="12"/>
  <c r="Q27" i="12"/>
  <c r="Q26" i="12"/>
  <c r="S25" i="12"/>
  <c r="U27" i="12"/>
  <c r="U26" i="12"/>
  <c r="S26" i="12"/>
  <c r="Q25" i="12"/>
  <c r="T26" i="12"/>
  <c r="U24" i="12"/>
  <c r="T23" i="12"/>
  <c r="Q23" i="12"/>
  <c r="T24" i="12"/>
  <c r="Q24" i="12"/>
  <c r="U23" i="12"/>
  <c r="F51" i="1"/>
  <c r="G51" i="1"/>
  <c r="H51" i="1"/>
  <c r="D51" i="1"/>
  <c r="D46" i="1"/>
  <c r="H47" i="1"/>
  <c r="D48" i="1"/>
  <c r="F49" i="1"/>
  <c r="G49" i="1"/>
  <c r="F50" i="1"/>
  <c r="G50" i="1"/>
  <c r="H46" i="1"/>
  <c r="G48" i="1"/>
  <c r="F47" i="1"/>
  <c r="H49" i="1"/>
  <c r="F48" i="1"/>
  <c r="F46" i="1"/>
  <c r="H48" i="1"/>
  <c r="D49" i="1"/>
  <c r="G47" i="1"/>
  <c r="H50" i="1"/>
  <c r="D47" i="1"/>
  <c r="D50" i="1"/>
  <c r="G46" i="1"/>
  <c r="F60" i="1"/>
  <c r="D62" i="1"/>
  <c r="G60" i="1"/>
  <c r="H60" i="1"/>
  <c r="F62" i="1"/>
  <c r="G61" i="1"/>
  <c r="D61" i="1"/>
  <c r="G62" i="1"/>
  <c r="H62" i="1"/>
  <c r="F61" i="1"/>
  <c r="H61" i="1"/>
  <c r="D60" i="1"/>
  <c r="F59" i="1"/>
  <c r="G59" i="1"/>
  <c r="D59" i="1"/>
  <c r="H59" i="1"/>
  <c r="X12" i="11"/>
  <c r="AA13" i="11"/>
  <c r="AB13" i="11"/>
  <c r="Z12" i="11"/>
  <c r="X11" i="11"/>
  <c r="AA12" i="11"/>
  <c r="AB12" i="11"/>
  <c r="Z11" i="11"/>
  <c r="X13" i="11"/>
  <c r="AB11" i="11"/>
  <c r="Z13" i="11"/>
  <c r="AA11" i="11"/>
  <c r="X9" i="11"/>
  <c r="AB6" i="11"/>
  <c r="AB9" i="11"/>
  <c r="AB7" i="11"/>
  <c r="X10" i="11"/>
  <c r="AB10" i="11"/>
  <c r="X6" i="11"/>
  <c r="AA7" i="11"/>
  <c r="AA6" i="11"/>
  <c r="X7" i="11"/>
  <c r="X5" i="11"/>
  <c r="AA8" i="11"/>
  <c r="X8" i="11"/>
  <c r="AA9" i="11"/>
  <c r="AA10" i="11"/>
  <c r="AA5" i="11"/>
  <c r="AB8" i="11"/>
  <c r="AB5" i="11"/>
  <c r="G28" i="12"/>
  <c r="F28" i="12"/>
  <c r="F27" i="12"/>
  <c r="F25" i="12"/>
  <c r="F24" i="12"/>
  <c r="G26" i="12"/>
  <c r="C24" i="12"/>
  <c r="G27" i="12"/>
  <c r="G25" i="12"/>
  <c r="F26" i="12"/>
  <c r="G29" i="12"/>
  <c r="C28" i="12"/>
  <c r="C25" i="12"/>
  <c r="C29" i="12"/>
  <c r="F29" i="12"/>
  <c r="C26" i="12"/>
  <c r="C27" i="12"/>
  <c r="G24" i="12"/>
  <c r="Y62" i="1"/>
  <c r="W61" i="1"/>
  <c r="U60" i="1"/>
  <c r="X61" i="1"/>
  <c r="Y61" i="1"/>
  <c r="W62" i="1"/>
  <c r="W60" i="1"/>
  <c r="U62" i="1"/>
  <c r="X60" i="1"/>
  <c r="U61" i="1"/>
  <c r="X62" i="1"/>
  <c r="Y60" i="1"/>
  <c r="X59" i="1"/>
  <c r="Y59" i="1"/>
  <c r="U59" i="1"/>
  <c r="W59" i="1"/>
  <c r="T44" i="12"/>
  <c r="U44" i="12"/>
  <c r="Q44" i="12"/>
  <c r="T41" i="12"/>
  <c r="Q40" i="12"/>
  <c r="U41" i="12"/>
  <c r="Q43" i="12"/>
  <c r="T40" i="12"/>
  <c r="T43" i="12"/>
  <c r="U43" i="12"/>
  <c r="Q41" i="12"/>
  <c r="Q42" i="12"/>
  <c r="U42" i="12"/>
  <c r="U40" i="12"/>
  <c r="T42" i="12"/>
  <c r="C37" i="15"/>
  <c r="E37" i="15"/>
  <c r="F37" i="15"/>
  <c r="G37" i="15"/>
  <c r="F34" i="15"/>
  <c r="G34" i="15"/>
  <c r="C35" i="15"/>
  <c r="G36" i="15"/>
  <c r="E35" i="15"/>
  <c r="C36" i="15"/>
  <c r="F35" i="15"/>
  <c r="C34" i="15"/>
  <c r="G35" i="15"/>
  <c r="E36" i="15"/>
  <c r="E34" i="15"/>
  <c r="F33" i="15"/>
  <c r="F36" i="15"/>
  <c r="E33" i="15"/>
  <c r="G33" i="15"/>
  <c r="C33" i="15"/>
  <c r="T50" i="12"/>
  <c r="T53" i="12"/>
  <c r="Q53" i="12"/>
  <c r="T47" i="12"/>
  <c r="T48" i="12"/>
  <c r="Q47" i="12"/>
  <c r="T52" i="12"/>
  <c r="T51" i="12"/>
  <c r="T49" i="12"/>
  <c r="Q48" i="12"/>
  <c r="Q49" i="12"/>
  <c r="U49" i="12"/>
  <c r="U47" i="12"/>
  <c r="Q52" i="12"/>
  <c r="Q51" i="12"/>
  <c r="U52" i="12"/>
  <c r="U51" i="12"/>
  <c r="U53" i="12"/>
  <c r="Q50" i="12"/>
  <c r="U50" i="12"/>
  <c r="U48" i="12"/>
  <c r="AA18" i="11"/>
  <c r="AB21" i="11"/>
  <c r="X25" i="11"/>
  <c r="AA26" i="11"/>
  <c r="AB19" i="11"/>
  <c r="AB24" i="11"/>
  <c r="AB18" i="11"/>
  <c r="X22" i="11"/>
  <c r="AA23" i="11"/>
  <c r="AB26" i="11"/>
  <c r="X19" i="11"/>
  <c r="AA20" i="11"/>
  <c r="AB23" i="11"/>
  <c r="Z25" i="11"/>
  <c r="Z26" i="11"/>
  <c r="AB20" i="11"/>
  <c r="X24" i="11"/>
  <c r="AA25" i="11"/>
  <c r="AA24" i="11"/>
  <c r="X21" i="11"/>
  <c r="AA22" i="11"/>
  <c r="AB25" i="11"/>
  <c r="X23" i="11"/>
  <c r="X20" i="11"/>
  <c r="X18" i="11"/>
  <c r="AA19" i="11"/>
  <c r="AB22" i="11"/>
  <c r="Z24" i="11"/>
  <c r="X26" i="11"/>
  <c r="AA21" i="11"/>
  <c r="AK51" i="1"/>
  <c r="AK55" i="1"/>
  <c r="AK30" i="11"/>
  <c r="N24" i="14"/>
  <c r="N31" i="14"/>
  <c r="AK52" i="1"/>
  <c r="W71" i="12"/>
  <c r="AK3" i="1"/>
  <c r="E45" i="11" l="1"/>
  <c r="E44" i="11"/>
  <c r="E43" i="11"/>
  <c r="AC49" i="12"/>
  <c r="AB49" i="12"/>
  <c r="AB42" i="12"/>
  <c r="AC42" i="12"/>
  <c r="AC51" i="12"/>
  <c r="AB51" i="12"/>
  <c r="AC50" i="12"/>
  <c r="AB50" i="12"/>
  <c r="AC44" i="12"/>
  <c r="AB44" i="12"/>
  <c r="AC52" i="12"/>
  <c r="AB52" i="12"/>
  <c r="AC41" i="12"/>
  <c r="AB41" i="12"/>
  <c r="AC46" i="12"/>
  <c r="AB46" i="12"/>
  <c r="AB40" i="12"/>
  <c r="AC40" i="12"/>
  <c r="AC47" i="12"/>
  <c r="AB47" i="12"/>
  <c r="AC43" i="12"/>
  <c r="AB43" i="12"/>
  <c r="AC53" i="12"/>
  <c r="AB53" i="12"/>
  <c r="AC39" i="12"/>
  <c r="AB39" i="12"/>
  <c r="AC48" i="12"/>
  <c r="AB48" i="12"/>
  <c r="AH23" i="13"/>
  <c r="AD23" i="13"/>
  <c r="Z23" i="13"/>
  <c r="AB23" i="13"/>
  <c r="AA23" i="13"/>
  <c r="AG23" i="13"/>
  <c r="AC23" i="13"/>
  <c r="AF23" i="13"/>
  <c r="AE23" i="13"/>
  <c r="AD24" i="13"/>
  <c r="AG24" i="13"/>
  <c r="AC24" i="13"/>
  <c r="AA24" i="13"/>
  <c r="AH24" i="13"/>
  <c r="Z24" i="13"/>
  <c r="AF24" i="13"/>
  <c r="AB24" i="13"/>
  <c r="AE24" i="13"/>
  <c r="AG25" i="13"/>
  <c r="AF25" i="13"/>
  <c r="AB25" i="13"/>
  <c r="AH25" i="13"/>
  <c r="Z25" i="13"/>
  <c r="AE25" i="13"/>
  <c r="AA25" i="13"/>
  <c r="AD25" i="13"/>
  <c r="AC25" i="13"/>
  <c r="AF29" i="13"/>
  <c r="AB29" i="13"/>
  <c r="AH29" i="13"/>
  <c r="AD29" i="13"/>
  <c r="AG29" i="13"/>
  <c r="AE29" i="13"/>
  <c r="AA29" i="13"/>
  <c r="Z29" i="13"/>
  <c r="AC29" i="13"/>
  <c r="AE26" i="13"/>
  <c r="AA26" i="13"/>
  <c r="AG26" i="13"/>
  <c r="AB26" i="13"/>
  <c r="AH26" i="13"/>
  <c r="AD26" i="13"/>
  <c r="Z26" i="13"/>
  <c r="AC26" i="13"/>
  <c r="AF26" i="13"/>
  <c r="AE27" i="13"/>
  <c r="AH27" i="13"/>
  <c r="AD27" i="13"/>
  <c r="Z27" i="13"/>
  <c r="AF27" i="13"/>
  <c r="AA27" i="13"/>
  <c r="AG27" i="13"/>
  <c r="AC27" i="13"/>
  <c r="AB27" i="13"/>
  <c r="AH28" i="13"/>
  <c r="AG28" i="13"/>
  <c r="AC28" i="13"/>
  <c r="AE28" i="13"/>
  <c r="AD28" i="13"/>
  <c r="AF28" i="13"/>
  <c r="AB28" i="13"/>
  <c r="AA28" i="13"/>
  <c r="Z28" i="13"/>
  <c r="AE41" i="12"/>
  <c r="AG41" i="12"/>
  <c r="AF41" i="12"/>
  <c r="AD41" i="12"/>
  <c r="AH5" i="11"/>
  <c r="AI5" i="11"/>
  <c r="N45" i="1"/>
  <c r="Q45" i="1"/>
  <c r="M45" i="1"/>
  <c r="P45" i="1"/>
  <c r="O45" i="1"/>
  <c r="AH10" i="11"/>
  <c r="AI10" i="11"/>
  <c r="Q60" i="1"/>
  <c r="M60" i="1"/>
  <c r="P60" i="1"/>
  <c r="O60" i="1"/>
  <c r="N60" i="1"/>
  <c r="AI46" i="12"/>
  <c r="AE46" i="12"/>
  <c r="AD46" i="12"/>
  <c r="AF46" i="12"/>
  <c r="AJ46" i="12"/>
  <c r="AG46" i="12"/>
  <c r="AH46" i="12"/>
  <c r="N34" i="15"/>
  <c r="M34" i="15"/>
  <c r="AH13" i="11"/>
  <c r="AI13" i="11"/>
  <c r="P51" i="1"/>
  <c r="O51" i="1"/>
  <c r="N51" i="1"/>
  <c r="Q51" i="1"/>
  <c r="M51" i="1"/>
  <c r="AG47" i="12"/>
  <c r="AJ47" i="12"/>
  <c r="AE47" i="12"/>
  <c r="AI47" i="12"/>
  <c r="AD47" i="12"/>
  <c r="AF47" i="12"/>
  <c r="AH47" i="12"/>
  <c r="AF42" i="12"/>
  <c r="AD42" i="12"/>
  <c r="AE42" i="12"/>
  <c r="AG42" i="12"/>
  <c r="AG43" i="12"/>
  <c r="AF43" i="12"/>
  <c r="AE43" i="12"/>
  <c r="AD43" i="12"/>
  <c r="AH4" i="11"/>
  <c r="AI4" i="11"/>
  <c r="Q46" i="1"/>
  <c r="M46" i="1"/>
  <c r="P46" i="1"/>
  <c r="O46" i="1"/>
  <c r="N46" i="1"/>
  <c r="M33" i="15"/>
  <c r="N33" i="15"/>
  <c r="AI11" i="11"/>
  <c r="AH11" i="11"/>
  <c r="AH9" i="11"/>
  <c r="AI9" i="11"/>
  <c r="P61" i="1"/>
  <c r="O61" i="1"/>
  <c r="N61" i="1"/>
  <c r="Q61" i="1"/>
  <c r="M61" i="1"/>
  <c r="O48" i="1"/>
  <c r="N48" i="1"/>
  <c r="Q48" i="1"/>
  <c r="M48" i="1"/>
  <c r="P48" i="1"/>
  <c r="AG51" i="12"/>
  <c r="AH51" i="12"/>
  <c r="AD51" i="12"/>
  <c r="AF51" i="12"/>
  <c r="AI51" i="12"/>
  <c r="AJ51" i="12"/>
  <c r="AE51" i="12"/>
  <c r="AG53" i="12"/>
  <c r="AF53" i="12"/>
  <c r="AJ53" i="12"/>
  <c r="AE53" i="12"/>
  <c r="AH53" i="12"/>
  <c r="AI53" i="12"/>
  <c r="AD53" i="12"/>
  <c r="N35" i="15"/>
  <c r="M35" i="15"/>
  <c r="O62" i="1"/>
  <c r="N62" i="1"/>
  <c r="Q62" i="1"/>
  <c r="M62" i="1"/>
  <c r="P62" i="1"/>
  <c r="Q50" i="1"/>
  <c r="M50" i="1"/>
  <c r="P50" i="1"/>
  <c r="O50" i="1"/>
  <c r="N50" i="1"/>
  <c r="AG49" i="12"/>
  <c r="AI49" i="12"/>
  <c r="AH49" i="12"/>
  <c r="AJ49" i="12"/>
  <c r="AE49" i="12"/>
  <c r="AD49" i="12"/>
  <c r="AF49" i="12"/>
  <c r="AE40" i="12"/>
  <c r="AF40" i="12"/>
  <c r="AD40" i="12"/>
  <c r="AG40" i="12"/>
  <c r="AH6" i="11"/>
  <c r="AI6" i="11"/>
  <c r="P47" i="1"/>
  <c r="O47" i="1"/>
  <c r="N47" i="1"/>
  <c r="Q47" i="1"/>
  <c r="M47" i="1"/>
  <c r="AI8" i="11"/>
  <c r="AH8" i="11"/>
  <c r="O58" i="1"/>
  <c r="N58" i="1"/>
  <c r="Q58" i="1"/>
  <c r="M58" i="1"/>
  <c r="P58" i="1"/>
  <c r="AI50" i="12"/>
  <c r="AE50" i="12"/>
  <c r="AD50" i="12"/>
  <c r="AH50" i="12"/>
  <c r="AG50" i="12"/>
  <c r="AJ50" i="12"/>
  <c r="AF50" i="12"/>
  <c r="M36" i="15"/>
  <c r="N36" i="15"/>
  <c r="AG44" i="12"/>
  <c r="AE44" i="12"/>
  <c r="AF44" i="12"/>
  <c r="AD44" i="12"/>
  <c r="N32" i="15"/>
  <c r="M32" i="15"/>
  <c r="AI12" i="11"/>
  <c r="AH12" i="11"/>
  <c r="AI7" i="11"/>
  <c r="AH7" i="11"/>
  <c r="N59" i="1"/>
  <c r="Q59" i="1"/>
  <c r="M59" i="1"/>
  <c r="P59" i="1"/>
  <c r="O59" i="1"/>
  <c r="N49" i="1"/>
  <c r="Q49" i="1"/>
  <c r="M49" i="1"/>
  <c r="P49" i="1"/>
  <c r="O49" i="1"/>
  <c r="AI52" i="12"/>
  <c r="AE52" i="12"/>
  <c r="AG52" i="12"/>
  <c r="AF52" i="12"/>
  <c r="AD52" i="12"/>
  <c r="AH52" i="12"/>
  <c r="AJ52" i="12"/>
  <c r="AI48" i="12"/>
  <c r="AE48" i="12"/>
  <c r="AJ48" i="12"/>
  <c r="AH48" i="12"/>
  <c r="AF48" i="12"/>
  <c r="AG48" i="12"/>
  <c r="AD48" i="12"/>
  <c r="M37" i="15"/>
  <c r="N37" i="15"/>
  <c r="N17" i="13"/>
  <c r="M17" i="13"/>
  <c r="L17" i="13"/>
  <c r="N16" i="13"/>
  <c r="M16" i="13"/>
  <c r="L16" i="13"/>
  <c r="N15" i="13"/>
  <c r="M15" i="13"/>
  <c r="L15" i="13"/>
  <c r="AH59" i="1"/>
  <c r="AG59" i="1"/>
  <c r="AF59" i="1"/>
  <c r="AE59" i="1"/>
  <c r="AH61" i="1"/>
  <c r="AG61" i="1"/>
  <c r="AF61" i="1"/>
  <c r="AE61" i="1"/>
  <c r="AG62" i="1"/>
  <c r="AH62" i="1"/>
  <c r="AF62" i="1"/>
  <c r="AE62" i="1"/>
  <c r="AG58" i="1"/>
  <c r="AH58" i="1"/>
  <c r="AF58" i="1"/>
  <c r="AE58" i="1"/>
  <c r="AH60" i="1"/>
  <c r="AG60" i="1"/>
  <c r="AF60" i="1"/>
  <c r="AE60" i="1"/>
  <c r="AF12" i="1"/>
  <c r="AE12" i="1"/>
  <c r="AF13" i="1"/>
  <c r="AE13" i="1"/>
  <c r="AE14" i="1"/>
  <c r="AF14" i="1"/>
  <c r="AE15" i="1"/>
  <c r="AF15" i="1"/>
  <c r="N27" i="12"/>
  <c r="M27" i="12"/>
  <c r="M24" i="12"/>
  <c r="N24" i="12"/>
  <c r="M29" i="12"/>
  <c r="N29" i="12"/>
  <c r="N25" i="12"/>
  <c r="M25" i="12"/>
  <c r="N28" i="12"/>
  <c r="M28" i="12"/>
  <c r="N23" i="12"/>
  <c r="M23" i="12"/>
  <c r="N26" i="12"/>
  <c r="M26" i="12"/>
  <c r="E49" i="11"/>
  <c r="E48" i="11"/>
  <c r="E47" i="11"/>
  <c r="E52" i="11"/>
  <c r="E50" i="11"/>
  <c r="E53" i="11"/>
  <c r="E51" i="11"/>
  <c r="V7" i="1"/>
  <c r="AG7" i="1" s="1"/>
  <c r="V10" i="1"/>
  <c r="AG10" i="1" s="1"/>
  <c r="V9" i="1"/>
  <c r="AG9" i="1" s="1"/>
  <c r="V8" i="1"/>
  <c r="AG8" i="1" s="1"/>
  <c r="Y34" i="11"/>
  <c r="Y33" i="11"/>
  <c r="Y37" i="11"/>
  <c r="Y32" i="11"/>
  <c r="Y36" i="11"/>
  <c r="Y38" i="11"/>
  <c r="Y35" i="11"/>
  <c r="V49" i="1"/>
  <c r="V51" i="1"/>
  <c r="V48" i="1"/>
  <c r="V50" i="1"/>
  <c r="L33" i="15"/>
  <c r="L35" i="15"/>
  <c r="L34" i="15"/>
  <c r="L36" i="15"/>
  <c r="L32" i="15"/>
  <c r="L37" i="15"/>
  <c r="AD62" i="1"/>
  <c r="AG12" i="11"/>
  <c r="AD60" i="1"/>
  <c r="AG11" i="11"/>
  <c r="AD58" i="1"/>
  <c r="AD59" i="1"/>
  <c r="AG13" i="11"/>
  <c r="AD61" i="1"/>
  <c r="AG10" i="11"/>
  <c r="AG9" i="11"/>
  <c r="AG6" i="11"/>
  <c r="AG7" i="11"/>
  <c r="AG5" i="11"/>
  <c r="AG8" i="11"/>
  <c r="AG4" i="11"/>
  <c r="AD15" i="1"/>
  <c r="AD14" i="1"/>
  <c r="AD13" i="1"/>
  <c r="AD12" i="1"/>
  <c r="Y31" i="11"/>
  <c r="Y29" i="11"/>
  <c r="Y30" i="11"/>
  <c r="Z39" i="12"/>
  <c r="AA39" i="12"/>
  <c r="E40" i="11"/>
  <c r="E39" i="11"/>
  <c r="E41" i="11"/>
  <c r="AA42" i="12"/>
  <c r="Z42" i="12"/>
  <c r="AA44" i="12"/>
  <c r="Z44" i="12"/>
  <c r="AA41" i="12"/>
  <c r="Z41" i="12"/>
  <c r="D17" i="14"/>
  <c r="L25" i="14" s="1"/>
  <c r="D18" i="14"/>
  <c r="L26" i="14" s="1"/>
  <c r="D20" i="14"/>
  <c r="L28" i="14" s="1"/>
  <c r="D19" i="14"/>
  <c r="L27" i="14" s="1"/>
  <c r="V47" i="1"/>
  <c r="V45" i="1"/>
  <c r="V46" i="1"/>
  <c r="AA40" i="12"/>
  <c r="Z40" i="12"/>
  <c r="D25" i="14"/>
  <c r="L33" i="14" s="1"/>
  <c r="D24" i="14"/>
  <c r="L32" i="14" s="1"/>
  <c r="D27" i="14"/>
  <c r="L35" i="14" s="1"/>
  <c r="D26" i="14"/>
  <c r="L34" i="14" s="1"/>
  <c r="Z43" i="12"/>
  <c r="AA43" i="12"/>
  <c r="V4" i="1"/>
  <c r="AG4" i="1" s="1"/>
  <c r="V6" i="1"/>
  <c r="AG6" i="1" s="1"/>
  <c r="V5" i="1"/>
  <c r="AG5" i="1" s="1"/>
  <c r="L25" i="12"/>
  <c r="L23" i="12"/>
  <c r="L26" i="12"/>
  <c r="L24" i="12"/>
  <c r="L29" i="12"/>
  <c r="L28" i="12"/>
  <c r="L27" i="12"/>
  <c r="I42" i="15"/>
  <c r="I41" i="15"/>
  <c r="I44" i="15"/>
  <c r="I46" i="15"/>
  <c r="I45" i="15"/>
  <c r="I26" i="15"/>
  <c r="I29" i="15"/>
  <c r="U32" i="12"/>
  <c r="Q36" i="12"/>
  <c r="S33" i="12"/>
  <c r="Q35" i="12"/>
  <c r="T36" i="12"/>
  <c r="Q32" i="12"/>
  <c r="T33" i="12"/>
  <c r="U36" i="12"/>
  <c r="U33" i="12"/>
  <c r="S35" i="12"/>
  <c r="T34" i="12"/>
  <c r="Q33" i="12"/>
  <c r="S36" i="12"/>
  <c r="S32" i="12"/>
  <c r="Q34" i="12"/>
  <c r="T35" i="12"/>
  <c r="U34" i="12"/>
  <c r="T32" i="12"/>
  <c r="U35" i="12"/>
  <c r="S34" i="12"/>
  <c r="Q30" i="12"/>
  <c r="T31" i="12"/>
  <c r="T30" i="12"/>
  <c r="Q31" i="12"/>
  <c r="I25" i="15"/>
  <c r="W27" i="12"/>
  <c r="I28" i="15"/>
  <c r="W26" i="12"/>
  <c r="W25" i="12"/>
  <c r="I27" i="15"/>
  <c r="AD25" i="11"/>
  <c r="AD24" i="11"/>
  <c r="AD12" i="11"/>
  <c r="W5" i="1"/>
  <c r="Y10" i="1"/>
  <c r="U7" i="1"/>
  <c r="U5" i="1"/>
  <c r="X7" i="1"/>
  <c r="Y9" i="1"/>
  <c r="U8" i="1"/>
  <c r="U6" i="1"/>
  <c r="W10" i="1"/>
  <c r="Y8" i="1"/>
  <c r="Y7" i="1"/>
  <c r="Y6" i="1"/>
  <c r="W8" i="1"/>
  <c r="Y5" i="1"/>
  <c r="W6" i="1"/>
  <c r="U10" i="1"/>
  <c r="X8" i="1"/>
  <c r="W7" i="1"/>
  <c r="U9" i="1"/>
  <c r="W9" i="1"/>
  <c r="X9" i="1"/>
  <c r="X5" i="1"/>
  <c r="X10" i="1"/>
  <c r="X6" i="1"/>
  <c r="C27" i="14"/>
  <c r="F27" i="14"/>
  <c r="C25" i="14"/>
  <c r="F26" i="14"/>
  <c r="F25" i="14"/>
  <c r="C26" i="14"/>
  <c r="C19" i="14"/>
  <c r="F19" i="14"/>
  <c r="F18" i="14"/>
  <c r="C20" i="14"/>
  <c r="C18" i="14"/>
  <c r="F20" i="14"/>
  <c r="AD11" i="11"/>
  <c r="D45" i="11"/>
  <c r="G45" i="11"/>
  <c r="H45" i="11"/>
  <c r="D42" i="11"/>
  <c r="G43" i="11"/>
  <c r="G44" i="11"/>
  <c r="H41" i="11"/>
  <c r="H44" i="11"/>
  <c r="G41" i="11"/>
  <c r="G42" i="11"/>
  <c r="D44" i="11"/>
  <c r="D41" i="11"/>
  <c r="D40" i="11"/>
  <c r="H40" i="11"/>
  <c r="H43" i="11"/>
  <c r="G40" i="11"/>
  <c r="D43" i="11"/>
  <c r="H42" i="11"/>
  <c r="D52" i="11"/>
  <c r="G52" i="11"/>
  <c r="G51" i="11"/>
  <c r="G50" i="11"/>
  <c r="H52" i="11"/>
  <c r="G53" i="11"/>
  <c r="D53" i="11"/>
  <c r="G48" i="11"/>
  <c r="D50" i="11"/>
  <c r="H53" i="11"/>
  <c r="H49" i="11"/>
  <c r="H48" i="11"/>
  <c r="H50" i="11"/>
  <c r="D51" i="11"/>
  <c r="H51" i="11"/>
  <c r="G49" i="11"/>
  <c r="D49" i="11"/>
  <c r="D48" i="11"/>
  <c r="AD13" i="11"/>
  <c r="U51" i="1"/>
  <c r="Y51" i="1"/>
  <c r="W51" i="1"/>
  <c r="X51" i="1"/>
  <c r="Y49" i="1"/>
  <c r="X47" i="1"/>
  <c r="U49" i="1"/>
  <c r="W46" i="1"/>
  <c r="Y47" i="1"/>
  <c r="X50" i="1"/>
  <c r="W48" i="1"/>
  <c r="X46" i="1"/>
  <c r="U48" i="1"/>
  <c r="W50" i="1"/>
  <c r="Y50" i="1"/>
  <c r="Y48" i="1"/>
  <c r="X49" i="1"/>
  <c r="W47" i="1"/>
  <c r="W49" i="1"/>
  <c r="Y46" i="1"/>
  <c r="U47" i="1"/>
  <c r="U50" i="1"/>
  <c r="X48" i="1"/>
  <c r="U46" i="1"/>
  <c r="AB38" i="11"/>
  <c r="AB36" i="11"/>
  <c r="AB34" i="11"/>
  <c r="X32" i="11"/>
  <c r="AB32" i="11"/>
  <c r="AB30" i="11"/>
  <c r="AA38" i="11"/>
  <c r="AA34" i="11"/>
  <c r="AA33" i="11"/>
  <c r="AA30" i="11"/>
  <c r="X35" i="11"/>
  <c r="AA35" i="11"/>
  <c r="X36" i="11"/>
  <c r="AA36" i="11"/>
  <c r="X38" i="11"/>
  <c r="AB35" i="11"/>
  <c r="AA32" i="11"/>
  <c r="AA31" i="11"/>
  <c r="X33" i="11"/>
  <c r="AA37" i="11"/>
  <c r="X31" i="11"/>
  <c r="X30" i="11"/>
  <c r="X34" i="11"/>
  <c r="X37" i="11"/>
  <c r="AB31" i="11"/>
  <c r="AB37" i="11"/>
  <c r="AB33" i="11"/>
  <c r="AD26" i="11"/>
  <c r="I37" i="15"/>
  <c r="N47" i="15" l="1"/>
  <c r="AI34" i="10" s="1"/>
  <c r="AH31" i="11"/>
  <c r="AI31" i="11"/>
  <c r="AG31" i="11"/>
  <c r="AI38" i="11"/>
  <c r="AG38" i="11"/>
  <c r="AH38" i="11"/>
  <c r="AI33" i="11"/>
  <c r="AG33" i="11"/>
  <c r="AH33" i="11"/>
  <c r="AH36" i="11"/>
  <c r="AI36" i="11"/>
  <c r="AG36" i="11"/>
  <c r="AI34" i="11"/>
  <c r="AG34" i="11"/>
  <c r="AH34" i="11"/>
  <c r="AI30" i="11"/>
  <c r="AG30" i="11"/>
  <c r="AH30" i="11"/>
  <c r="AH32" i="11"/>
  <c r="AI32" i="11"/>
  <c r="AG32" i="11"/>
  <c r="AI29" i="11"/>
  <c r="AG29" i="11"/>
  <c r="AH29" i="11"/>
  <c r="AH35" i="11"/>
  <c r="AI35" i="11"/>
  <c r="AG35" i="11"/>
  <c r="AI37" i="11"/>
  <c r="AG37" i="11"/>
  <c r="AH37" i="11"/>
  <c r="O44" i="11"/>
  <c r="T44" i="11"/>
  <c r="U44" i="11"/>
  <c r="S44" i="11"/>
  <c r="P44" i="11"/>
  <c r="M44" i="11"/>
  <c r="N44" i="11"/>
  <c r="R44" i="11"/>
  <c r="Q44" i="11"/>
  <c r="T39" i="11"/>
  <c r="U39" i="11"/>
  <c r="N39" i="11"/>
  <c r="S39" i="11"/>
  <c r="Q39" i="11"/>
  <c r="R39" i="11"/>
  <c r="M39" i="11"/>
  <c r="O39" i="11"/>
  <c r="P39" i="11"/>
  <c r="O52" i="11"/>
  <c r="P52" i="11"/>
  <c r="U52" i="11"/>
  <c r="S52" i="11"/>
  <c r="Q52" i="11"/>
  <c r="R52" i="11"/>
  <c r="N52" i="11"/>
  <c r="T52" i="11"/>
  <c r="O53" i="11"/>
  <c r="R53" i="11"/>
  <c r="Q53" i="11"/>
  <c r="T53" i="11"/>
  <c r="U53" i="11"/>
  <c r="S53" i="11"/>
  <c r="P53" i="11"/>
  <c r="N53" i="11"/>
  <c r="N50" i="11"/>
  <c r="S50" i="11"/>
  <c r="T50" i="11"/>
  <c r="P50" i="11"/>
  <c r="O50" i="11"/>
  <c r="U50" i="11"/>
  <c r="R50" i="11"/>
  <c r="Q50" i="11"/>
  <c r="Q40" i="11"/>
  <c r="O40" i="11"/>
  <c r="M40" i="11"/>
  <c r="N40" i="11"/>
  <c r="T40" i="11"/>
  <c r="S40" i="11"/>
  <c r="P40" i="11"/>
  <c r="R40" i="11"/>
  <c r="U40" i="11"/>
  <c r="P47" i="11"/>
  <c r="S47" i="11"/>
  <c r="U47" i="11"/>
  <c r="Q47" i="11"/>
  <c r="N47" i="11"/>
  <c r="R47" i="11"/>
  <c r="O47" i="11"/>
  <c r="T47" i="11"/>
  <c r="R45" i="11"/>
  <c r="P45" i="11"/>
  <c r="U45" i="11"/>
  <c r="N45" i="11"/>
  <c r="Q45" i="11"/>
  <c r="T45" i="11"/>
  <c r="S45" i="11"/>
  <c r="O45" i="11"/>
  <c r="M45" i="11"/>
  <c r="T48" i="11"/>
  <c r="U48" i="11"/>
  <c r="S48" i="11"/>
  <c r="Q48" i="11"/>
  <c r="N48" i="11"/>
  <c r="R48" i="11"/>
  <c r="O48" i="11"/>
  <c r="P48" i="11"/>
  <c r="O43" i="11"/>
  <c r="T43" i="11"/>
  <c r="U43" i="11"/>
  <c r="S43" i="11"/>
  <c r="Q43" i="11"/>
  <c r="R43" i="11"/>
  <c r="M43" i="11"/>
  <c r="N43" i="11"/>
  <c r="P43" i="11"/>
  <c r="Q49" i="11"/>
  <c r="N49" i="11"/>
  <c r="T49" i="11"/>
  <c r="O49" i="11"/>
  <c r="S49" i="11"/>
  <c r="P49" i="11"/>
  <c r="R49" i="11"/>
  <c r="U49" i="11"/>
  <c r="M41" i="11"/>
  <c r="N41" i="11"/>
  <c r="R41" i="11"/>
  <c r="T41" i="11"/>
  <c r="P41" i="11"/>
  <c r="S41" i="11"/>
  <c r="U41" i="11"/>
  <c r="O41" i="11"/>
  <c r="Q41" i="11"/>
  <c r="S42" i="11"/>
  <c r="N42" i="11"/>
  <c r="R42" i="11"/>
  <c r="O42" i="11"/>
  <c r="P42" i="11"/>
  <c r="U42" i="11"/>
  <c r="Q42" i="11"/>
  <c r="T42" i="11"/>
  <c r="M42" i="11"/>
  <c r="S51" i="11"/>
  <c r="N51" i="11"/>
  <c r="R51" i="11"/>
  <c r="O51" i="11"/>
  <c r="U51" i="11"/>
  <c r="Q51" i="11"/>
  <c r="P51" i="11"/>
  <c r="T51" i="11"/>
  <c r="AF50" i="1"/>
  <c r="AE50" i="1"/>
  <c r="AG50" i="1"/>
  <c r="AE45" i="1"/>
  <c r="AG45" i="1"/>
  <c r="AF45" i="1"/>
  <c r="AG48" i="1"/>
  <c r="AF48" i="1"/>
  <c r="AE48" i="1"/>
  <c r="AG49" i="1"/>
  <c r="AF49" i="1"/>
  <c r="AE49" i="1"/>
  <c r="AG51" i="1"/>
  <c r="AF51" i="1"/>
  <c r="AE51" i="1"/>
  <c r="AG46" i="1"/>
  <c r="AE46" i="1"/>
  <c r="AF46" i="1"/>
  <c r="AG47" i="1"/>
  <c r="AF47" i="1"/>
  <c r="AE47" i="1"/>
  <c r="AF4" i="1"/>
  <c r="AE4" i="1"/>
  <c r="AE9" i="1"/>
  <c r="AF9" i="1"/>
  <c r="AE10" i="1"/>
  <c r="AF10" i="1"/>
  <c r="AE7" i="1"/>
  <c r="AF7" i="1"/>
  <c r="AF5" i="1"/>
  <c r="AE5" i="1"/>
  <c r="AF6" i="1"/>
  <c r="AE6" i="1"/>
  <c r="AF8" i="1"/>
  <c r="AE8" i="1"/>
  <c r="M47" i="15"/>
  <c r="AH34" i="10" s="1"/>
  <c r="L47" i="15"/>
  <c r="AD51" i="1"/>
  <c r="AD47" i="1"/>
  <c r="AD46" i="1"/>
  <c r="AD49" i="1"/>
  <c r="AD45" i="1"/>
  <c r="AD48" i="1"/>
  <c r="AD50" i="1"/>
  <c r="AD6" i="1"/>
  <c r="AD7" i="1"/>
  <c r="AD8" i="1"/>
  <c r="AD4" i="1"/>
  <c r="AD5" i="1"/>
  <c r="AD10" i="1"/>
  <c r="AD9" i="1"/>
  <c r="J41" i="15"/>
  <c r="W34" i="12"/>
  <c r="W32" i="12"/>
  <c r="W33" i="12"/>
  <c r="W35" i="12"/>
  <c r="W36" i="12"/>
  <c r="J61" i="1"/>
  <c r="J62" i="1"/>
  <c r="AA62" i="1"/>
  <c r="J60" i="1"/>
  <c r="AA61" i="1"/>
  <c r="AA51" i="1"/>
  <c r="AA60" i="1"/>
  <c r="J51" i="1"/>
  <c r="O47" i="15" l="1"/>
  <c r="Q34" i="10"/>
  <c r="AM34" i="10" s="1"/>
  <c r="N34" i="10"/>
  <c r="O6" i="12"/>
  <c r="V23" i="11" l="1"/>
  <c r="B6" i="11"/>
  <c r="B5" i="11"/>
  <c r="AJ13" i="13"/>
  <c r="AI13" i="13"/>
  <c r="AI3" i="13"/>
  <c r="P6" i="13"/>
  <c r="AJ4" i="13" s="1"/>
  <c r="P5" i="13"/>
  <c r="B5" i="13"/>
  <c r="AK35" i="1"/>
  <c r="AB25" i="1" s="1"/>
  <c r="AJ35" i="1"/>
  <c r="S9" i="1"/>
  <c r="AK7" i="1" s="1"/>
  <c r="AJ31" i="1"/>
  <c r="B8" i="1"/>
  <c r="AJ7" i="1" s="1"/>
  <c r="B5" i="1"/>
  <c r="O5" i="12"/>
  <c r="G14" i="12"/>
  <c r="F14" i="12"/>
  <c r="E15" i="12"/>
  <c r="E16" i="12"/>
  <c r="E17" i="12"/>
  <c r="E18" i="12"/>
  <c r="E14" i="12"/>
  <c r="C14" i="12"/>
  <c r="B5" i="12"/>
  <c r="B5" i="14"/>
  <c r="N4" i="14" s="1"/>
  <c r="G17" i="14"/>
  <c r="E17" i="14"/>
  <c r="F17" i="14"/>
  <c r="C17" i="14"/>
  <c r="D22" i="11"/>
  <c r="U25" i="1"/>
  <c r="D53" i="1"/>
  <c r="Q33" i="13"/>
  <c r="Q34" i="13"/>
  <c r="Q35" i="13"/>
  <c r="Q36" i="13"/>
  <c r="Q37" i="13"/>
  <c r="Q38" i="13"/>
  <c r="Q39" i="13"/>
  <c r="D12" i="13" l="1"/>
  <c r="D11" i="13"/>
  <c r="D10" i="13"/>
  <c r="D6" i="13"/>
  <c r="D5" i="13"/>
  <c r="D4" i="13"/>
  <c r="R20" i="13"/>
  <c r="R19" i="13"/>
  <c r="E34" i="11"/>
  <c r="E33" i="11"/>
  <c r="E32" i="11"/>
  <c r="E31" i="11"/>
  <c r="E30" i="11"/>
  <c r="E36" i="11"/>
  <c r="E35" i="11"/>
  <c r="E28" i="1"/>
  <c r="E30" i="1"/>
  <c r="E29" i="1"/>
  <c r="E31" i="1"/>
  <c r="R17" i="13"/>
  <c r="R18" i="13"/>
  <c r="R15" i="13"/>
  <c r="R14" i="13"/>
  <c r="R16" i="13"/>
  <c r="H30" i="11"/>
  <c r="E27" i="1"/>
  <c r="E26" i="1"/>
  <c r="E25" i="1"/>
  <c r="D7" i="14"/>
  <c r="L7" i="14" s="1"/>
  <c r="D6" i="14"/>
  <c r="L6" i="14" s="1"/>
  <c r="D5" i="14"/>
  <c r="L5" i="14" s="1"/>
  <c r="D4" i="14"/>
  <c r="L4" i="14" s="1"/>
  <c r="AJ4" i="1"/>
  <c r="I17" i="14"/>
  <c r="G30" i="11"/>
  <c r="C4" i="12"/>
  <c r="D36" i="11"/>
  <c r="F36" i="11"/>
  <c r="G36" i="11"/>
  <c r="H36" i="11"/>
  <c r="G34" i="11"/>
  <c r="D33" i="11"/>
  <c r="H35" i="11"/>
  <c r="H33" i="11"/>
  <c r="D32" i="11"/>
  <c r="H34" i="11"/>
  <c r="H32" i="11"/>
  <c r="D31" i="11"/>
  <c r="D35" i="11"/>
  <c r="H31" i="11"/>
  <c r="G32" i="11"/>
  <c r="D34" i="11"/>
  <c r="G31" i="11"/>
  <c r="G33" i="11"/>
  <c r="G35" i="11"/>
  <c r="F6" i="13"/>
  <c r="C6" i="13"/>
  <c r="F5" i="13"/>
  <c r="C5" i="13"/>
  <c r="D30" i="11"/>
  <c r="F11" i="13"/>
  <c r="C12" i="13"/>
  <c r="C11" i="13"/>
  <c r="F12" i="13"/>
  <c r="H26" i="1"/>
  <c r="F26" i="1"/>
  <c r="G29" i="1"/>
  <c r="G28" i="1"/>
  <c r="D30" i="1"/>
  <c r="H28" i="1"/>
  <c r="G30" i="1"/>
  <c r="F27" i="1"/>
  <c r="D28" i="1"/>
  <c r="D26" i="1"/>
  <c r="F28" i="1"/>
  <c r="G26" i="1"/>
  <c r="G27" i="1"/>
  <c r="H30" i="1"/>
  <c r="D29" i="1"/>
  <c r="G31" i="1"/>
  <c r="H27" i="1"/>
  <c r="H29" i="1"/>
  <c r="D27" i="1"/>
  <c r="F31" i="1"/>
  <c r="F30" i="1"/>
  <c r="D31" i="1"/>
  <c r="F29" i="1"/>
  <c r="H31" i="1"/>
  <c r="C6" i="14"/>
  <c r="C7" i="14"/>
  <c r="C5" i="14"/>
  <c r="G19" i="14"/>
  <c r="G26" i="14"/>
  <c r="E4" i="14"/>
  <c r="E11" i="14"/>
  <c r="G6" i="14"/>
  <c r="G13" i="14"/>
  <c r="C24" i="15"/>
  <c r="C11" i="14"/>
  <c r="C4" i="14"/>
  <c r="E19" i="14"/>
  <c r="E26" i="14"/>
  <c r="E6" i="14"/>
  <c r="E13" i="14"/>
  <c r="G18" i="14"/>
  <c r="G25" i="14"/>
  <c r="Q22" i="12"/>
  <c r="D33" i="1"/>
  <c r="E18" i="14"/>
  <c r="E25" i="14"/>
  <c r="G12" i="14"/>
  <c r="G5" i="14"/>
  <c r="C21" i="13"/>
  <c r="C4" i="13"/>
  <c r="C10" i="13"/>
  <c r="Q39" i="12"/>
  <c r="E12" i="14"/>
  <c r="E5" i="14"/>
  <c r="F11" i="14"/>
  <c r="F4" i="14"/>
  <c r="U12" i="1"/>
  <c r="U33" i="1"/>
  <c r="D25" i="1"/>
  <c r="U4" i="1"/>
  <c r="Q29" i="12"/>
  <c r="F6" i="14"/>
  <c r="F13" i="14"/>
  <c r="G11" i="14"/>
  <c r="G4" i="14"/>
  <c r="F10" i="13"/>
  <c r="F4" i="13"/>
  <c r="X4" i="11"/>
  <c r="X17" i="11"/>
  <c r="F12" i="14"/>
  <c r="F5" i="14"/>
  <c r="E10" i="13"/>
  <c r="E4" i="13"/>
  <c r="U19" i="13"/>
  <c r="T20" i="13"/>
  <c r="Q15" i="13"/>
  <c r="U20" i="13"/>
  <c r="Q16" i="13"/>
  <c r="S15" i="13"/>
  <c r="Q17" i="13"/>
  <c r="U18" i="13"/>
  <c r="T15" i="13"/>
  <c r="S16" i="13"/>
  <c r="Q18" i="13"/>
  <c r="S20" i="13"/>
  <c r="U15" i="13"/>
  <c r="T16" i="13"/>
  <c r="S17" i="13"/>
  <c r="Q19" i="13"/>
  <c r="U16" i="13"/>
  <c r="T17" i="13"/>
  <c r="S18" i="13"/>
  <c r="Q20" i="13"/>
  <c r="U17" i="13"/>
  <c r="T18" i="13"/>
  <c r="S19" i="13"/>
  <c r="Q14" i="13"/>
  <c r="T19" i="13"/>
  <c r="AJ3" i="1"/>
  <c r="E21" i="13"/>
  <c r="E15" i="13"/>
  <c r="M18" i="1"/>
  <c r="M19" i="1"/>
  <c r="M20" i="1"/>
  <c r="M21" i="1"/>
  <c r="M17" i="1"/>
  <c r="U79" i="1"/>
  <c r="D79" i="1"/>
  <c r="Q57" i="12"/>
  <c r="C23" i="12"/>
  <c r="C33" i="12"/>
  <c r="C16" i="13"/>
  <c r="C22" i="13"/>
  <c r="C32" i="15"/>
  <c r="C52" i="15"/>
  <c r="D65" i="11"/>
  <c r="Q64" i="12"/>
  <c r="Q46" i="12"/>
  <c r="F15" i="13"/>
  <c r="F21" i="13"/>
  <c r="U66" i="1"/>
  <c r="D66" i="1"/>
  <c r="X29" i="11"/>
  <c r="X42" i="11"/>
  <c r="C24" i="14"/>
  <c r="F24" i="14"/>
  <c r="F17" i="13"/>
  <c r="F23" i="13"/>
  <c r="C17" i="13"/>
  <c r="C23" i="13"/>
  <c r="D39" i="11"/>
  <c r="D57" i="11"/>
  <c r="E24" i="14"/>
  <c r="G24" i="14"/>
  <c r="F16" i="13"/>
  <c r="F22" i="13"/>
  <c r="Q26" i="13"/>
  <c r="Q23" i="13"/>
  <c r="U58" i="1"/>
  <c r="D58" i="1"/>
  <c r="C15" i="13"/>
  <c r="Q29" i="13"/>
  <c r="Q27" i="13"/>
  <c r="Q24" i="13"/>
  <c r="Q25" i="13"/>
  <c r="D45" i="1"/>
  <c r="U45" i="1"/>
  <c r="Q28" i="13"/>
  <c r="P4" i="15"/>
  <c r="D6" i="15" s="1"/>
  <c r="AK4" i="12"/>
  <c r="AK3" i="12"/>
  <c r="R5" i="12" s="1"/>
  <c r="V5" i="11"/>
  <c r="V4" i="11"/>
  <c r="AJ3" i="13"/>
  <c r="R6" i="12" l="1"/>
  <c r="E10" i="11"/>
  <c r="E8" i="11"/>
  <c r="E9" i="11"/>
  <c r="R9" i="12"/>
  <c r="R8" i="12"/>
  <c r="R7" i="12"/>
  <c r="L4" i="13"/>
  <c r="M4" i="13"/>
  <c r="N4" i="13"/>
  <c r="L5" i="13"/>
  <c r="M5" i="13"/>
  <c r="N5" i="13"/>
  <c r="L6" i="13"/>
  <c r="N6" i="13"/>
  <c r="M6" i="13"/>
  <c r="D9" i="15"/>
  <c r="D8" i="15"/>
  <c r="D7" i="15"/>
  <c r="R11" i="12"/>
  <c r="R18" i="12"/>
  <c r="R14" i="12"/>
  <c r="R17" i="12"/>
  <c r="R16" i="12"/>
  <c r="R13" i="12"/>
  <c r="R12" i="12"/>
  <c r="R15" i="12"/>
  <c r="R10" i="13"/>
  <c r="R9" i="13"/>
  <c r="E10" i="1"/>
  <c r="E9" i="1"/>
  <c r="E8" i="1"/>
  <c r="E7" i="1"/>
  <c r="E16" i="11"/>
  <c r="E15" i="11"/>
  <c r="E14" i="11"/>
  <c r="E13" i="11"/>
  <c r="E18" i="11"/>
  <c r="E12" i="11"/>
  <c r="E17" i="11"/>
  <c r="E12" i="1"/>
  <c r="E15" i="1"/>
  <c r="E14" i="1"/>
  <c r="E13" i="1"/>
  <c r="R4" i="13"/>
  <c r="R6" i="13"/>
  <c r="R7" i="13"/>
  <c r="R8" i="13"/>
  <c r="R5" i="13"/>
  <c r="J13" i="10"/>
  <c r="D4" i="15"/>
  <c r="D5" i="15"/>
  <c r="E4" i="11"/>
  <c r="E7" i="11"/>
  <c r="E6" i="11"/>
  <c r="E5" i="11"/>
  <c r="F4" i="1"/>
  <c r="E6" i="1"/>
  <c r="E4" i="1"/>
  <c r="E5" i="1"/>
  <c r="H7" i="10"/>
  <c r="R4" i="12"/>
  <c r="D12" i="1"/>
  <c r="I18" i="15"/>
  <c r="I19" i="14"/>
  <c r="I25" i="14"/>
  <c r="I18" i="14"/>
  <c r="I26" i="14"/>
  <c r="I24" i="14"/>
  <c r="J42" i="1"/>
  <c r="J36" i="11"/>
  <c r="I13" i="14"/>
  <c r="J41" i="1"/>
  <c r="W15" i="13"/>
  <c r="J30" i="1"/>
  <c r="J40" i="1"/>
  <c r="J31" i="1"/>
  <c r="J39" i="1"/>
  <c r="J27" i="1"/>
  <c r="J26" i="1"/>
  <c r="J28" i="1"/>
  <c r="J29" i="1"/>
  <c r="I12" i="14"/>
  <c r="I6" i="14"/>
  <c r="I5" i="14"/>
  <c r="U8" i="12"/>
  <c r="Q9" i="12"/>
  <c r="T7" i="12"/>
  <c r="U7" i="12"/>
  <c r="Q8" i="12"/>
  <c r="T9" i="12"/>
  <c r="U9" i="12"/>
  <c r="Q7" i="12"/>
  <c r="T8" i="12"/>
  <c r="U6" i="12"/>
  <c r="T6" i="12"/>
  <c r="Q5" i="12"/>
  <c r="Q6" i="12"/>
  <c r="T5" i="12"/>
  <c r="U5" i="12"/>
  <c r="Q15" i="12"/>
  <c r="T16" i="12"/>
  <c r="U16" i="12"/>
  <c r="S18" i="12"/>
  <c r="Q17" i="12"/>
  <c r="T18" i="12"/>
  <c r="Q14" i="12"/>
  <c r="T15" i="12"/>
  <c r="U18" i="12"/>
  <c r="U15" i="12"/>
  <c r="T14" i="12"/>
  <c r="Q16" i="12"/>
  <c r="U14" i="12"/>
  <c r="Q18" i="12"/>
  <c r="Q12" i="12"/>
  <c r="T13" i="12"/>
  <c r="Q13" i="12"/>
  <c r="T12" i="12"/>
  <c r="H9" i="1"/>
  <c r="D6" i="1"/>
  <c r="F10" i="1"/>
  <c r="H8" i="1"/>
  <c r="H6" i="1"/>
  <c r="G6" i="1"/>
  <c r="F8" i="1"/>
  <c r="F7" i="1"/>
  <c r="H5" i="1"/>
  <c r="D9" i="1"/>
  <c r="F6" i="1"/>
  <c r="D5" i="1"/>
  <c r="F9" i="1"/>
  <c r="D10" i="1"/>
  <c r="G8" i="1"/>
  <c r="G9" i="1"/>
  <c r="G10" i="1"/>
  <c r="G5" i="1"/>
  <c r="G7" i="1"/>
  <c r="F5" i="1"/>
  <c r="H10" i="1"/>
  <c r="D8" i="1"/>
  <c r="D7" i="1"/>
  <c r="H7" i="1"/>
  <c r="D4" i="1"/>
  <c r="Q4" i="12"/>
  <c r="C9" i="15"/>
  <c r="F9" i="15"/>
  <c r="E9" i="15"/>
  <c r="G9" i="15"/>
  <c r="G5" i="15"/>
  <c r="E8" i="15"/>
  <c r="C7" i="15"/>
  <c r="E5" i="15"/>
  <c r="E7" i="15"/>
  <c r="C8" i="15"/>
  <c r="G8" i="15"/>
  <c r="F6" i="15"/>
  <c r="G6" i="15"/>
  <c r="C5" i="15"/>
  <c r="G7" i="15"/>
  <c r="F8" i="15"/>
  <c r="F5" i="15"/>
  <c r="C6" i="15"/>
  <c r="E6" i="15"/>
  <c r="F7" i="15"/>
  <c r="Q11" i="12"/>
  <c r="C4" i="15"/>
  <c r="G8" i="11"/>
  <c r="H8" i="11"/>
  <c r="D9" i="11"/>
  <c r="G10" i="11"/>
  <c r="H10" i="11"/>
  <c r="D8" i="11"/>
  <c r="G9" i="11"/>
  <c r="D10" i="11"/>
  <c r="H9" i="11"/>
  <c r="D7" i="11"/>
  <c r="D5" i="11"/>
  <c r="H7" i="11"/>
  <c r="G6" i="11"/>
  <c r="G7" i="11"/>
  <c r="D6" i="11"/>
  <c r="H6" i="11"/>
  <c r="G5" i="11"/>
  <c r="H5" i="11"/>
  <c r="G18" i="11"/>
  <c r="D18" i="11"/>
  <c r="D14" i="11"/>
  <c r="D16" i="11"/>
  <c r="G16" i="11"/>
  <c r="G13" i="11"/>
  <c r="G15" i="11"/>
  <c r="G17" i="11"/>
  <c r="G14" i="11"/>
  <c r="H16" i="11"/>
  <c r="H14" i="11"/>
  <c r="H18" i="11"/>
  <c r="D15" i="11"/>
  <c r="D17" i="11"/>
  <c r="H17" i="11"/>
  <c r="H15" i="11"/>
  <c r="D13" i="11"/>
  <c r="H13" i="11"/>
  <c r="F15" i="1"/>
  <c r="D14" i="1"/>
  <c r="H13" i="1"/>
  <c r="G14" i="1"/>
  <c r="D13" i="1"/>
  <c r="F14" i="1"/>
  <c r="G15" i="1"/>
  <c r="D15" i="1"/>
  <c r="G13" i="1"/>
  <c r="H15" i="1"/>
  <c r="H14" i="1"/>
  <c r="F13" i="1"/>
  <c r="D12" i="11"/>
  <c r="D4" i="11"/>
  <c r="I10" i="13"/>
  <c r="W18" i="13"/>
  <c r="I4" i="14"/>
  <c r="W16" i="13"/>
  <c r="I11" i="14"/>
  <c r="W19" i="13"/>
  <c r="W17" i="13"/>
  <c r="W20" i="13"/>
  <c r="I4" i="13"/>
  <c r="U7" i="13"/>
  <c r="T8" i="13"/>
  <c r="S9" i="13"/>
  <c r="Q4" i="13"/>
  <c r="U8" i="13"/>
  <c r="T9" i="13"/>
  <c r="S10" i="13"/>
  <c r="Q5" i="13"/>
  <c r="T7" i="13"/>
  <c r="U9" i="13"/>
  <c r="T10" i="13"/>
  <c r="Q10" i="13"/>
  <c r="U10" i="13"/>
  <c r="Q6" i="13"/>
  <c r="S5" i="13"/>
  <c r="Q7" i="13"/>
  <c r="T5" i="13"/>
  <c r="S6" i="13"/>
  <c r="Q8" i="13"/>
  <c r="S8" i="13"/>
  <c r="U5" i="13"/>
  <c r="T6" i="13"/>
  <c r="S7" i="13"/>
  <c r="Q9" i="13"/>
  <c r="U6" i="13"/>
  <c r="I15" i="13"/>
  <c r="AA15" i="1"/>
  <c r="AA14" i="1"/>
  <c r="AA13" i="1"/>
  <c r="I21" i="13"/>
  <c r="AB8" i="12" l="1"/>
  <c r="AC8" i="12"/>
  <c r="AC16" i="12"/>
  <c r="AB16" i="12"/>
  <c r="AB7" i="12"/>
  <c r="AC7" i="12"/>
  <c r="AB5" i="12"/>
  <c r="AC5" i="12"/>
  <c r="AC4" i="12"/>
  <c r="AB4" i="12"/>
  <c r="AB13" i="12"/>
  <c r="AC13" i="12"/>
  <c r="AC17" i="12"/>
  <c r="AB17" i="12"/>
  <c r="AB14" i="12"/>
  <c r="AC14" i="12"/>
  <c r="AB9" i="12"/>
  <c r="AC9" i="12"/>
  <c r="AC18" i="12"/>
  <c r="AB18" i="12"/>
  <c r="AB12" i="12"/>
  <c r="AC12" i="12"/>
  <c r="AB11" i="12"/>
  <c r="AC11" i="12"/>
  <c r="AB15" i="12"/>
  <c r="AC15" i="12"/>
  <c r="AB6" i="12"/>
  <c r="AC6" i="12"/>
  <c r="AA4" i="13"/>
  <c r="AH4" i="13"/>
  <c r="AE4" i="13"/>
  <c r="AB4" i="13"/>
  <c r="AG4" i="13"/>
  <c r="AF4" i="13"/>
  <c r="AD4" i="13"/>
  <c r="AC4" i="13"/>
  <c r="AH9" i="13"/>
  <c r="AG9" i="13"/>
  <c r="AF9" i="13"/>
  <c r="AE9" i="13"/>
  <c r="AD9" i="13"/>
  <c r="AC9" i="13"/>
  <c r="AB9" i="13"/>
  <c r="AA9" i="13"/>
  <c r="AH8" i="13"/>
  <c r="AG8" i="13"/>
  <c r="AB8" i="13"/>
  <c r="AA8" i="13"/>
  <c r="AF8" i="13"/>
  <c r="AE8" i="13"/>
  <c r="AD8" i="13"/>
  <c r="AC8" i="13"/>
  <c r="AB10" i="13"/>
  <c r="AA10" i="13"/>
  <c r="AH10" i="13"/>
  <c r="AG10" i="13"/>
  <c r="AF10" i="13"/>
  <c r="AE10" i="13"/>
  <c r="AD10" i="13"/>
  <c r="AC10" i="13"/>
  <c r="AB6" i="13"/>
  <c r="AA6" i="13"/>
  <c r="AH6" i="13"/>
  <c r="AG6" i="13"/>
  <c r="AF6" i="13"/>
  <c r="AE6" i="13"/>
  <c r="AD6" i="13"/>
  <c r="AC6" i="13"/>
  <c r="AB5" i="13"/>
  <c r="AH5" i="13"/>
  <c r="AG5" i="13"/>
  <c r="AF5" i="13"/>
  <c r="AE5" i="13"/>
  <c r="AD5" i="13"/>
  <c r="AC5" i="13"/>
  <c r="AA5" i="13"/>
  <c r="AF7" i="13"/>
  <c r="AE7" i="13"/>
  <c r="AC7" i="13"/>
  <c r="AB7" i="13"/>
  <c r="AA7" i="13"/>
  <c r="AH7" i="13"/>
  <c r="AG7" i="13"/>
  <c r="AD7" i="13"/>
  <c r="Q4" i="1"/>
  <c r="P4" i="1"/>
  <c r="O4" i="1"/>
  <c r="N4" i="1"/>
  <c r="Q15" i="1"/>
  <c r="P15" i="1"/>
  <c r="O15" i="1"/>
  <c r="N15" i="1"/>
  <c r="Q10" i="1"/>
  <c r="P10" i="1"/>
  <c r="O10" i="1"/>
  <c r="N10" i="1"/>
  <c r="AI14" i="12"/>
  <c r="AJ14" i="12"/>
  <c r="Q6" i="1"/>
  <c r="P6" i="1"/>
  <c r="O6" i="1"/>
  <c r="N6" i="1"/>
  <c r="Q12" i="1"/>
  <c r="P12" i="1"/>
  <c r="O12" i="1"/>
  <c r="N12" i="1"/>
  <c r="Q7" i="1"/>
  <c r="P7" i="1"/>
  <c r="O7" i="1"/>
  <c r="N7" i="1"/>
  <c r="AI13" i="12"/>
  <c r="AJ13" i="12"/>
  <c r="M8" i="15"/>
  <c r="N8" i="15"/>
  <c r="M5" i="15"/>
  <c r="N5" i="15"/>
  <c r="Q13" i="1"/>
  <c r="P13" i="1"/>
  <c r="O13" i="1"/>
  <c r="N13" i="1"/>
  <c r="Q8" i="1"/>
  <c r="P8" i="1"/>
  <c r="O8" i="1"/>
  <c r="N8" i="1"/>
  <c r="AJ16" i="12"/>
  <c r="AI16" i="12"/>
  <c r="AJ11" i="12"/>
  <c r="AI11" i="12"/>
  <c r="M9" i="15"/>
  <c r="N9" i="15"/>
  <c r="AJ12" i="12"/>
  <c r="AI12" i="12"/>
  <c r="N7" i="15"/>
  <c r="M7" i="15"/>
  <c r="AI18" i="12"/>
  <c r="AJ18" i="12"/>
  <c r="P5" i="1"/>
  <c r="O5" i="1"/>
  <c r="N5" i="1"/>
  <c r="Q5" i="1"/>
  <c r="N4" i="15"/>
  <c r="M4" i="15"/>
  <c r="P14" i="1"/>
  <c r="O14" i="1"/>
  <c r="N14" i="1"/>
  <c r="Q14" i="1"/>
  <c r="P9" i="1"/>
  <c r="O9" i="1"/>
  <c r="N9" i="1"/>
  <c r="Q9" i="1"/>
  <c r="AJ15" i="12"/>
  <c r="AI15" i="12"/>
  <c r="AI17" i="12"/>
  <c r="AJ17" i="12"/>
  <c r="N6" i="15"/>
  <c r="M6" i="15"/>
  <c r="S6" i="11"/>
  <c r="T6" i="11"/>
  <c r="R6" i="11"/>
  <c r="U6" i="11"/>
  <c r="T18" i="11"/>
  <c r="R18" i="11"/>
  <c r="S18" i="11"/>
  <c r="U18" i="11"/>
  <c r="U7" i="11"/>
  <c r="S7" i="11"/>
  <c r="T7" i="11"/>
  <c r="R7" i="11"/>
  <c r="S13" i="11"/>
  <c r="T13" i="11"/>
  <c r="U13" i="11"/>
  <c r="R13" i="11"/>
  <c r="S5" i="11"/>
  <c r="R5" i="11"/>
  <c r="T5" i="11"/>
  <c r="U5" i="11"/>
  <c r="T4" i="11"/>
  <c r="U4" i="11"/>
  <c r="S4" i="11"/>
  <c r="R4" i="11"/>
  <c r="U14" i="11"/>
  <c r="R14" i="11"/>
  <c r="T14" i="11"/>
  <c r="S14" i="11"/>
  <c r="T12" i="11"/>
  <c r="R12" i="11"/>
  <c r="U12" i="11"/>
  <c r="S12" i="11"/>
  <c r="T10" i="11"/>
  <c r="U10" i="11"/>
  <c r="R10" i="11"/>
  <c r="S10" i="11"/>
  <c r="S15" i="11"/>
  <c r="U15" i="11"/>
  <c r="R15" i="11"/>
  <c r="T15" i="11"/>
  <c r="R9" i="11"/>
  <c r="U9" i="11"/>
  <c r="T9" i="11"/>
  <c r="S9" i="11"/>
  <c r="T16" i="11"/>
  <c r="U16" i="11"/>
  <c r="R16" i="11"/>
  <c r="S16" i="11"/>
  <c r="R8" i="11"/>
  <c r="U8" i="11"/>
  <c r="S8" i="11"/>
  <c r="T8" i="11"/>
  <c r="R17" i="11"/>
  <c r="T17" i="11"/>
  <c r="S17" i="11"/>
  <c r="U17" i="11"/>
  <c r="N18" i="11"/>
  <c r="Q18" i="11"/>
  <c r="P18" i="11"/>
  <c r="O18" i="11"/>
  <c r="Q7" i="11"/>
  <c r="P7" i="11"/>
  <c r="N7" i="11"/>
  <c r="O7" i="11"/>
  <c r="Q13" i="11"/>
  <c r="N13" i="11"/>
  <c r="P13" i="11"/>
  <c r="O13" i="11"/>
  <c r="N4" i="11"/>
  <c r="O4" i="11"/>
  <c r="Q4" i="11"/>
  <c r="P4" i="11"/>
  <c r="Q14" i="11"/>
  <c r="N14" i="11"/>
  <c r="P14" i="11"/>
  <c r="O14" i="11"/>
  <c r="N12" i="11"/>
  <c r="Q12" i="11"/>
  <c r="P12" i="11"/>
  <c r="O12" i="11"/>
  <c r="O10" i="11"/>
  <c r="Q10" i="11"/>
  <c r="N10" i="11"/>
  <c r="P10" i="11"/>
  <c r="P15" i="11"/>
  <c r="O15" i="11"/>
  <c r="Q15" i="11"/>
  <c r="N15" i="11"/>
  <c r="P5" i="11"/>
  <c r="O5" i="11"/>
  <c r="N5" i="11"/>
  <c r="Q5" i="11"/>
  <c r="O9" i="11"/>
  <c r="Q9" i="11"/>
  <c r="P9" i="11"/>
  <c r="N9" i="11"/>
  <c r="P16" i="11"/>
  <c r="O16" i="11"/>
  <c r="Q16" i="11"/>
  <c r="N16" i="11"/>
  <c r="P6" i="11"/>
  <c r="O6" i="11"/>
  <c r="Q6" i="11"/>
  <c r="N6" i="11"/>
  <c r="O8" i="11"/>
  <c r="Q8" i="11"/>
  <c r="P8" i="11"/>
  <c r="N8" i="11"/>
  <c r="P17" i="11"/>
  <c r="O17" i="11"/>
  <c r="Q17" i="11"/>
  <c r="N17" i="11"/>
  <c r="AG17" i="12"/>
  <c r="AE17" i="12"/>
  <c r="AH17" i="12"/>
  <c r="AD17" i="12"/>
  <c r="AF17" i="12"/>
  <c r="AE5" i="12"/>
  <c r="AD5" i="12"/>
  <c r="AG5" i="12"/>
  <c r="AF5" i="12"/>
  <c r="AD14" i="12"/>
  <c r="AF14" i="12"/>
  <c r="AH14" i="12"/>
  <c r="AG14" i="12"/>
  <c r="AE14" i="12"/>
  <c r="AH11" i="12"/>
  <c r="AG11" i="12"/>
  <c r="AF11" i="12"/>
  <c r="AE11" i="12"/>
  <c r="AD11" i="12"/>
  <c r="AE15" i="12"/>
  <c r="AD15" i="12"/>
  <c r="AF15" i="12"/>
  <c r="AH15" i="12"/>
  <c r="AG15" i="12"/>
  <c r="AG6" i="12"/>
  <c r="AD6" i="12"/>
  <c r="AE6" i="12"/>
  <c r="AF6" i="12"/>
  <c r="AH12" i="12"/>
  <c r="AD12" i="12"/>
  <c r="AG12" i="12"/>
  <c r="AF12" i="12"/>
  <c r="AE12" i="12"/>
  <c r="AE9" i="12"/>
  <c r="AD9" i="12"/>
  <c r="AF9" i="12"/>
  <c r="AG9" i="12"/>
  <c r="AG18" i="12"/>
  <c r="AE18" i="12"/>
  <c r="AD18" i="12"/>
  <c r="AF18" i="12"/>
  <c r="AH18" i="12"/>
  <c r="AF13" i="12"/>
  <c r="AH13" i="12"/>
  <c r="AE13" i="12"/>
  <c r="AG13" i="12"/>
  <c r="AD13" i="12"/>
  <c r="AD8" i="12"/>
  <c r="AF8" i="12"/>
  <c r="AG8" i="12"/>
  <c r="AE8" i="12"/>
  <c r="AE16" i="12"/>
  <c r="AD16" i="12"/>
  <c r="AG16" i="12"/>
  <c r="AF16" i="12"/>
  <c r="AH16" i="12"/>
  <c r="AF7" i="12"/>
  <c r="AD7" i="12"/>
  <c r="AG7" i="12"/>
  <c r="AE7" i="12"/>
  <c r="M15" i="1"/>
  <c r="Z9" i="13"/>
  <c r="Z5" i="13"/>
  <c r="Z8" i="13"/>
  <c r="Z10" i="13"/>
  <c r="Z7" i="13"/>
  <c r="Z6" i="13"/>
  <c r="Z4" i="13"/>
  <c r="L8" i="15"/>
  <c r="L5" i="15"/>
  <c r="L6" i="15"/>
  <c r="L4" i="15"/>
  <c r="L7" i="15"/>
  <c r="L9" i="15"/>
  <c r="M8" i="11"/>
  <c r="M6" i="11"/>
  <c r="M5" i="11"/>
  <c r="M7" i="11"/>
  <c r="M4" i="11"/>
  <c r="M10" i="11"/>
  <c r="M9" i="11"/>
  <c r="M12" i="1"/>
  <c r="M13" i="1"/>
  <c r="M14" i="1"/>
  <c r="M10" i="1"/>
  <c r="M9" i="1"/>
  <c r="M5" i="1"/>
  <c r="M7" i="1"/>
  <c r="M8" i="1"/>
  <c r="M4" i="1"/>
  <c r="M6" i="1"/>
  <c r="AA7" i="12"/>
  <c r="Z7" i="12"/>
  <c r="AA6" i="12"/>
  <c r="Z6" i="12"/>
  <c r="AA5" i="12"/>
  <c r="Z5" i="12"/>
  <c r="Z9" i="12"/>
  <c r="AA9" i="12"/>
  <c r="Z4" i="12"/>
  <c r="AA4" i="12"/>
  <c r="AA8" i="12"/>
  <c r="Z8" i="12"/>
  <c r="I14" i="15"/>
  <c r="I13" i="15"/>
  <c r="I17" i="15"/>
  <c r="I15" i="15"/>
  <c r="I16" i="15"/>
  <c r="I7" i="15"/>
  <c r="J13" i="1"/>
  <c r="J6" i="1"/>
  <c r="I9" i="15"/>
  <c r="I8" i="15"/>
  <c r="J9" i="1"/>
  <c r="I6" i="15"/>
  <c r="J10" i="1"/>
  <c r="I5" i="15"/>
  <c r="J8" i="1"/>
  <c r="J15" i="1"/>
  <c r="W18" i="12"/>
  <c r="J14" i="1"/>
  <c r="J7" i="1"/>
  <c r="J5" i="1"/>
  <c r="W10" i="13"/>
  <c r="W9" i="13"/>
  <c r="W6" i="13"/>
  <c r="W7" i="13"/>
  <c r="W8" i="13"/>
  <c r="W5" i="13"/>
  <c r="N19" i="15" l="1"/>
  <c r="AI13" i="10" s="1"/>
  <c r="L19" i="15"/>
  <c r="M19" i="15"/>
  <c r="AH13" i="10" s="1"/>
  <c r="J13" i="15"/>
  <c r="H53" i="1"/>
  <c r="Y25" i="1"/>
  <c r="H12" i="11"/>
  <c r="H22" i="11"/>
  <c r="G4" i="12"/>
  <c r="G5" i="12"/>
  <c r="G6" i="12"/>
  <c r="G8" i="12"/>
  <c r="G53" i="1"/>
  <c r="X25" i="1"/>
  <c r="G12" i="11"/>
  <c r="G22" i="11"/>
  <c r="G4" i="11"/>
  <c r="F4" i="12"/>
  <c r="Q13" i="10" l="1"/>
  <c r="AM13" i="10" s="1"/>
  <c r="O19" i="15"/>
  <c r="N13" i="10"/>
  <c r="O13" i="10" s="1"/>
  <c r="H4" i="11"/>
  <c r="H12" i="1"/>
  <c r="H33" i="1"/>
  <c r="F7" i="14"/>
  <c r="F14" i="14"/>
  <c r="Y12" i="1"/>
  <c r="Y33" i="1"/>
  <c r="F4" i="15"/>
  <c r="G4" i="15"/>
  <c r="AA4" i="11"/>
  <c r="AA17" i="11"/>
  <c r="T14" i="13"/>
  <c r="T4" i="13"/>
  <c r="U22" i="12"/>
  <c r="U4" i="12"/>
  <c r="T11" i="12"/>
  <c r="T29" i="12"/>
  <c r="G25" i="1"/>
  <c r="G4" i="1"/>
  <c r="X4" i="1"/>
  <c r="AB4" i="11"/>
  <c r="AB17" i="11"/>
  <c r="U31" i="12"/>
  <c r="U13" i="12"/>
  <c r="X12" i="1"/>
  <c r="X33" i="1"/>
  <c r="G7" i="14"/>
  <c r="G14" i="14"/>
  <c r="U30" i="12"/>
  <c r="U12" i="12"/>
  <c r="U14" i="13"/>
  <c r="U4" i="13"/>
  <c r="T22" i="12"/>
  <c r="T4" i="12"/>
  <c r="G12" i="1"/>
  <c r="G33" i="1"/>
  <c r="G20" i="14"/>
  <c r="G27" i="14"/>
  <c r="U11" i="12"/>
  <c r="H25" i="1"/>
  <c r="Y4" i="1"/>
  <c r="U57" i="12"/>
  <c r="H4" i="1"/>
  <c r="T57" i="12"/>
  <c r="AA29" i="11"/>
  <c r="AA42" i="11"/>
  <c r="T29" i="13"/>
  <c r="T39" i="13"/>
  <c r="T25" i="13"/>
  <c r="T35" i="13"/>
  <c r="U29" i="13"/>
  <c r="U39" i="13"/>
  <c r="U25" i="13"/>
  <c r="U35" i="13"/>
  <c r="F23" i="12"/>
  <c r="F33" i="12"/>
  <c r="T28" i="13"/>
  <c r="T38" i="13"/>
  <c r="T24" i="13"/>
  <c r="T34" i="13"/>
  <c r="H39" i="11"/>
  <c r="H57" i="11"/>
  <c r="H47" i="11"/>
  <c r="H65" i="11"/>
  <c r="G52" i="15"/>
  <c r="U28" i="13"/>
  <c r="U38" i="13"/>
  <c r="U24" i="13"/>
  <c r="U34" i="13"/>
  <c r="G39" i="11"/>
  <c r="G57" i="11"/>
  <c r="F52" i="15"/>
  <c r="X66" i="1"/>
  <c r="G66" i="1"/>
  <c r="T27" i="13"/>
  <c r="T37" i="13"/>
  <c r="T23" i="13"/>
  <c r="T33" i="13"/>
  <c r="AB29" i="11"/>
  <c r="AB42" i="11"/>
  <c r="Y66" i="1"/>
  <c r="H66" i="1"/>
  <c r="U27" i="13"/>
  <c r="U37" i="13"/>
  <c r="U23" i="13"/>
  <c r="U33" i="13"/>
  <c r="T46" i="12"/>
  <c r="T64" i="12"/>
  <c r="G47" i="11"/>
  <c r="G65" i="11"/>
  <c r="X79" i="1"/>
  <c r="G79" i="1"/>
  <c r="T26" i="13"/>
  <c r="T36" i="13"/>
  <c r="G23" i="12"/>
  <c r="G33" i="12"/>
  <c r="U64" i="12"/>
  <c r="U46" i="12"/>
  <c r="Y79" i="1"/>
  <c r="H79" i="1"/>
  <c r="U26" i="13"/>
  <c r="U36" i="13"/>
  <c r="T39" i="12"/>
  <c r="G58" i="1"/>
  <c r="X58" i="1"/>
  <c r="U39" i="12"/>
  <c r="Y45" i="1"/>
  <c r="H45" i="1"/>
  <c r="H58" i="1"/>
  <c r="Y58" i="1"/>
  <c r="X45" i="1"/>
  <c r="G45" i="1"/>
  <c r="AA10" i="1"/>
  <c r="F35" i="11"/>
  <c r="J35" i="11" s="1"/>
  <c r="F34" i="11"/>
  <c r="J34" i="11" s="1"/>
  <c r="F33" i="11"/>
  <c r="J33" i="11" s="1"/>
  <c r="F32" i="11"/>
  <c r="J32" i="11" s="1"/>
  <c r="F31" i="11"/>
  <c r="J31" i="11" s="1"/>
  <c r="F30" i="11"/>
  <c r="J30" i="11" s="1"/>
  <c r="F53" i="1"/>
  <c r="AA31" i="1"/>
  <c r="W25" i="1"/>
  <c r="F53" i="11"/>
  <c r="F66" i="11"/>
  <c r="F67" i="11"/>
  <c r="F68" i="11"/>
  <c r="F69" i="11"/>
  <c r="F70" i="11"/>
  <c r="F71" i="11"/>
  <c r="F14" i="11"/>
  <c r="J14" i="11" s="1"/>
  <c r="F15" i="11"/>
  <c r="J15" i="11" s="1"/>
  <c r="F18" i="11"/>
  <c r="J18" i="11" s="1"/>
  <c r="F12" i="11"/>
  <c r="J12" i="11" s="1"/>
  <c r="F23" i="11"/>
  <c r="J23" i="11" s="1"/>
  <c r="F24" i="11"/>
  <c r="J24" i="11" s="1"/>
  <c r="F25" i="11"/>
  <c r="J25" i="11" s="1"/>
  <c r="F26" i="11"/>
  <c r="J26" i="11" s="1"/>
  <c r="F27" i="11"/>
  <c r="J27" i="11" s="1"/>
  <c r="F45" i="11"/>
  <c r="J45" i="11" s="1"/>
  <c r="F22" i="11"/>
  <c r="J22" i="11" s="1"/>
  <c r="F9" i="11"/>
  <c r="J9" i="11" s="1"/>
  <c r="S65" i="12"/>
  <c r="S66" i="12"/>
  <c r="S67" i="12"/>
  <c r="S68" i="12"/>
  <c r="S53" i="12"/>
  <c r="S14" i="12"/>
  <c r="W14" i="12" s="1"/>
  <c r="S15" i="12"/>
  <c r="W15" i="12" s="1"/>
  <c r="S16" i="12"/>
  <c r="W16" i="12" s="1"/>
  <c r="S17" i="12"/>
  <c r="S44" i="12"/>
  <c r="Z30" i="11"/>
  <c r="Z31" i="11"/>
  <c r="Z32" i="11"/>
  <c r="Z33" i="11"/>
  <c r="Z34" i="11"/>
  <c r="Z35" i="11"/>
  <c r="Z36" i="11"/>
  <c r="Z37" i="11"/>
  <c r="Z43" i="11"/>
  <c r="Z44" i="11"/>
  <c r="Z45" i="11"/>
  <c r="Z46" i="11"/>
  <c r="Z47" i="11"/>
  <c r="Z48" i="11"/>
  <c r="Z49" i="11"/>
  <c r="Z50" i="11"/>
  <c r="E5" i="12"/>
  <c r="I5" i="12" s="1"/>
  <c r="E6" i="12"/>
  <c r="I16" i="12" s="1"/>
  <c r="E7" i="12"/>
  <c r="E8" i="12"/>
  <c r="I8" i="12" s="1"/>
  <c r="I4" i="12"/>
  <c r="F51" i="11" l="1"/>
  <c r="J51" i="11" s="1"/>
  <c r="F50" i="11"/>
  <c r="J50" i="11" s="1"/>
  <c r="S51" i="12"/>
  <c r="W51" i="12" s="1"/>
  <c r="F48" i="11"/>
  <c r="J48" i="11" s="1"/>
  <c r="S8" i="12"/>
  <c r="W8" i="12" s="1"/>
  <c r="S49" i="12"/>
  <c r="W49" i="12" s="1"/>
  <c r="F52" i="11"/>
  <c r="J52" i="11" s="1"/>
  <c r="S52" i="12"/>
  <c r="W52" i="12" s="1"/>
  <c r="S50" i="12"/>
  <c r="W50" i="12" s="1"/>
  <c r="S7" i="12"/>
  <c r="W7" i="12" s="1"/>
  <c r="S48" i="12"/>
  <c r="W48" i="12" s="1"/>
  <c r="S47" i="12"/>
  <c r="W47" i="12" s="1"/>
  <c r="F49" i="11"/>
  <c r="J49" i="11" s="1"/>
  <c r="F13" i="11"/>
  <c r="J13" i="11" s="1"/>
  <c r="F8" i="11"/>
  <c r="J8" i="11" s="1"/>
  <c r="F28" i="11"/>
  <c r="J28" i="11" s="1"/>
  <c r="K22" i="11" s="1"/>
  <c r="F10" i="11"/>
  <c r="J10" i="11" s="1"/>
  <c r="F17" i="11"/>
  <c r="J17" i="11" s="1"/>
  <c r="F16" i="11"/>
  <c r="J16" i="11" s="1"/>
  <c r="F6" i="11"/>
  <c r="J6" i="11" s="1"/>
  <c r="E20" i="12"/>
  <c r="E10" i="12"/>
  <c r="F7" i="11"/>
  <c r="J7" i="11" s="1"/>
  <c r="E19" i="12"/>
  <c r="E9" i="12"/>
  <c r="F5" i="11"/>
  <c r="J5" i="11" s="1"/>
  <c r="W62" i="12"/>
  <c r="S9" i="12"/>
  <c r="W9" i="12" s="1"/>
  <c r="F4" i="11"/>
  <c r="J4" i="11" s="1"/>
  <c r="S41" i="12"/>
  <c r="W41" i="12" s="1"/>
  <c r="S59" i="12"/>
  <c r="W59" i="12" s="1"/>
  <c r="S13" i="12"/>
  <c r="W13" i="12" s="1"/>
  <c r="S31" i="12"/>
  <c r="W31" i="12" s="1"/>
  <c r="F41" i="11"/>
  <c r="J41" i="11" s="1"/>
  <c r="F59" i="11"/>
  <c r="J59" i="11" s="1"/>
  <c r="I24" i="15"/>
  <c r="J24" i="15" s="1"/>
  <c r="E4" i="15"/>
  <c r="I4" i="15" s="1"/>
  <c r="N10" i="15" s="1"/>
  <c r="AI12" i="10" s="1"/>
  <c r="E5" i="13"/>
  <c r="I5" i="13" s="1"/>
  <c r="E11" i="13"/>
  <c r="I11" i="13" s="1"/>
  <c r="E25" i="12"/>
  <c r="I25" i="12" s="1"/>
  <c r="E35" i="12"/>
  <c r="I35" i="12" s="1"/>
  <c r="E20" i="14"/>
  <c r="I20" i="14" s="1"/>
  <c r="E27" i="14"/>
  <c r="I27" i="14" s="1"/>
  <c r="Z10" i="11"/>
  <c r="AD10" i="11" s="1"/>
  <c r="Z23" i="11"/>
  <c r="AD23" i="11" s="1"/>
  <c r="Z38" i="11"/>
  <c r="AD38" i="11" s="1"/>
  <c r="S61" i="12"/>
  <c r="W61" i="12" s="1"/>
  <c r="S43" i="12"/>
  <c r="W43" i="12" s="1"/>
  <c r="F61" i="11"/>
  <c r="J61" i="11" s="1"/>
  <c r="F43" i="11"/>
  <c r="J43" i="11" s="1"/>
  <c r="W12" i="1"/>
  <c r="AA12" i="1" s="1"/>
  <c r="W33" i="1"/>
  <c r="AA33" i="1" s="1"/>
  <c r="E39" i="12"/>
  <c r="I39" i="12" s="1"/>
  <c r="E29" i="12"/>
  <c r="I29" i="12" s="1"/>
  <c r="Z9" i="11"/>
  <c r="AD9" i="11" s="1"/>
  <c r="Z22" i="11"/>
  <c r="AD22" i="11" s="1"/>
  <c r="S42" i="12"/>
  <c r="W42" i="12" s="1"/>
  <c r="S60" i="12"/>
  <c r="W60" i="12" s="1"/>
  <c r="S11" i="12"/>
  <c r="W11" i="12" s="1"/>
  <c r="S29" i="12"/>
  <c r="F60" i="11"/>
  <c r="J60" i="11" s="1"/>
  <c r="F42" i="11"/>
  <c r="J42" i="11" s="1"/>
  <c r="F33" i="1"/>
  <c r="J33" i="1" s="1"/>
  <c r="F12" i="1"/>
  <c r="J12" i="1" s="1"/>
  <c r="I6" i="12"/>
  <c r="I18" i="12"/>
  <c r="I15" i="12"/>
  <c r="I7" i="12"/>
  <c r="I17" i="12"/>
  <c r="E27" i="12"/>
  <c r="I27" i="12" s="1"/>
  <c r="E37" i="12"/>
  <c r="I37" i="12" s="1"/>
  <c r="Z7" i="11"/>
  <c r="AD7" i="11" s="1"/>
  <c r="Z20" i="11"/>
  <c r="AD20" i="11" s="1"/>
  <c r="S58" i="12"/>
  <c r="W58" i="12" s="1"/>
  <c r="S40" i="12"/>
  <c r="W40" i="12" s="1"/>
  <c r="S30" i="12"/>
  <c r="W30" i="12" s="1"/>
  <c r="S12" i="12"/>
  <c r="W12" i="12" s="1"/>
  <c r="F58" i="11"/>
  <c r="J58" i="11" s="1"/>
  <c r="F40" i="11"/>
  <c r="J40" i="11" s="1"/>
  <c r="E38" i="12"/>
  <c r="I38" i="12" s="1"/>
  <c r="E28" i="12"/>
  <c r="I28" i="12" s="1"/>
  <c r="J38" i="1"/>
  <c r="AA38" i="1"/>
  <c r="J17" i="1"/>
  <c r="Z8" i="11"/>
  <c r="AD8" i="11" s="1"/>
  <c r="Z21" i="11"/>
  <c r="AD21" i="11" s="1"/>
  <c r="Z6" i="11"/>
  <c r="AD6" i="11" s="1"/>
  <c r="Z19" i="11"/>
  <c r="AD19" i="11" s="1"/>
  <c r="S22" i="12"/>
  <c r="W22" i="12" s="1"/>
  <c r="S4" i="12"/>
  <c r="W4" i="12" s="1"/>
  <c r="E12" i="13"/>
  <c r="I12" i="13" s="1"/>
  <c r="E6" i="13"/>
  <c r="I6" i="13" s="1"/>
  <c r="E24" i="12"/>
  <c r="I24" i="12" s="1"/>
  <c r="E34" i="12"/>
  <c r="I34" i="12" s="1"/>
  <c r="S23" i="12"/>
  <c r="W23" i="12" s="1"/>
  <c r="S5" i="12"/>
  <c r="W5" i="12" s="1"/>
  <c r="F25" i="1"/>
  <c r="J25" i="1" s="1"/>
  <c r="J4" i="1"/>
  <c r="W4" i="1"/>
  <c r="AA4" i="1" s="1"/>
  <c r="E26" i="12"/>
  <c r="I26" i="12" s="1"/>
  <c r="E36" i="12"/>
  <c r="I36" i="12" s="1"/>
  <c r="S24" i="12"/>
  <c r="W24" i="12" s="1"/>
  <c r="S6" i="12"/>
  <c r="W6" i="12" s="1"/>
  <c r="E7" i="14"/>
  <c r="I7" i="14" s="1"/>
  <c r="J4" i="14" s="1"/>
  <c r="E14" i="14"/>
  <c r="I14" i="14" s="1"/>
  <c r="J11" i="14" s="1"/>
  <c r="Z4" i="11"/>
  <c r="AD4" i="11" s="1"/>
  <c r="Z17" i="11"/>
  <c r="AD17" i="11" s="1"/>
  <c r="F62" i="11"/>
  <c r="J62" i="11" s="1"/>
  <c r="F44" i="11"/>
  <c r="J44" i="11" s="1"/>
  <c r="S14" i="13"/>
  <c r="W14" i="13" s="1"/>
  <c r="X14" i="13" s="1"/>
  <c r="S4" i="13"/>
  <c r="W4" i="13" s="1"/>
  <c r="X4" i="13" s="1"/>
  <c r="I14" i="12"/>
  <c r="Z5" i="11"/>
  <c r="AD5" i="11" s="1"/>
  <c r="Z18" i="11"/>
  <c r="AD18" i="11" s="1"/>
  <c r="S57" i="12"/>
  <c r="W57" i="12" s="1"/>
  <c r="W53" i="12"/>
  <c r="E23" i="13"/>
  <c r="I23" i="13" s="1"/>
  <c r="E17" i="13"/>
  <c r="I17" i="13" s="1"/>
  <c r="E22" i="13"/>
  <c r="I22" i="13" s="1"/>
  <c r="E16" i="13"/>
  <c r="I16" i="13" s="1"/>
  <c r="J63" i="11"/>
  <c r="AD37" i="11"/>
  <c r="AD50" i="11"/>
  <c r="W68" i="12"/>
  <c r="J53" i="11"/>
  <c r="J71" i="11"/>
  <c r="E23" i="12"/>
  <c r="I23" i="12" s="1"/>
  <c r="E33" i="12"/>
  <c r="I33" i="12" s="1"/>
  <c r="AD32" i="11"/>
  <c r="AD45" i="11"/>
  <c r="W67" i="12"/>
  <c r="J70" i="11"/>
  <c r="W79" i="1"/>
  <c r="AA79" i="1" s="1"/>
  <c r="F79" i="1"/>
  <c r="J79" i="1" s="1"/>
  <c r="S28" i="13"/>
  <c r="W28" i="13" s="1"/>
  <c r="S38" i="13"/>
  <c r="W38" i="13" s="1"/>
  <c r="S24" i="13"/>
  <c r="W24" i="13" s="1"/>
  <c r="S34" i="13"/>
  <c r="W34" i="13" s="1"/>
  <c r="AD35" i="11"/>
  <c r="AD48" i="11"/>
  <c r="AD31" i="11"/>
  <c r="AD44" i="11"/>
  <c r="W70" i="12"/>
  <c r="W66" i="12"/>
  <c r="J69" i="11"/>
  <c r="I35" i="15"/>
  <c r="I55" i="15"/>
  <c r="AA69" i="1"/>
  <c r="J69" i="1"/>
  <c r="AA77" i="1"/>
  <c r="J77" i="1"/>
  <c r="AA80" i="1"/>
  <c r="J80" i="1"/>
  <c r="S27" i="13"/>
  <c r="W27" i="13" s="1"/>
  <c r="S37" i="13"/>
  <c r="W37" i="13" s="1"/>
  <c r="I32" i="15"/>
  <c r="E52" i="15"/>
  <c r="I52" i="15" s="1"/>
  <c r="I33" i="15"/>
  <c r="I53" i="15"/>
  <c r="AA67" i="1"/>
  <c r="J67" i="1"/>
  <c r="I36" i="15"/>
  <c r="I56" i="15"/>
  <c r="AA70" i="1"/>
  <c r="J70" i="1"/>
  <c r="AA74" i="1"/>
  <c r="J74" i="1"/>
  <c r="Z29" i="11"/>
  <c r="AD29" i="11" s="1"/>
  <c r="Z42" i="11"/>
  <c r="AD42" i="11" s="1"/>
  <c r="AD34" i="11"/>
  <c r="AD47" i="11"/>
  <c r="AD30" i="11"/>
  <c r="AD43" i="11"/>
  <c r="W69" i="12"/>
  <c r="W65" i="12"/>
  <c r="F39" i="11"/>
  <c r="J39" i="11" s="1"/>
  <c r="F57" i="11"/>
  <c r="J57" i="11" s="1"/>
  <c r="F47" i="11"/>
  <c r="J47" i="11" s="1"/>
  <c r="F65" i="11"/>
  <c r="J65" i="11" s="1"/>
  <c r="J68" i="11"/>
  <c r="I34" i="15"/>
  <c r="I54" i="15"/>
  <c r="W66" i="1"/>
  <c r="AA66" i="1" s="1"/>
  <c r="F66" i="1"/>
  <c r="J66" i="1" s="1"/>
  <c r="AA68" i="1"/>
  <c r="J68" i="1"/>
  <c r="AA76" i="1"/>
  <c r="J76" i="1"/>
  <c r="S23" i="13"/>
  <c r="W23" i="13" s="1"/>
  <c r="S33" i="13"/>
  <c r="W33" i="13" s="1"/>
  <c r="S26" i="13"/>
  <c r="W26" i="13" s="1"/>
  <c r="S36" i="13"/>
  <c r="W36" i="13" s="1"/>
  <c r="J67" i="11"/>
  <c r="AA75" i="1"/>
  <c r="J75" i="1"/>
  <c r="S25" i="13"/>
  <c r="W25" i="13" s="1"/>
  <c r="S35" i="13"/>
  <c r="W35" i="13" s="1"/>
  <c r="AD33" i="11"/>
  <c r="AD46" i="11"/>
  <c r="AA71" i="1"/>
  <c r="J71" i="1"/>
  <c r="S29" i="13"/>
  <c r="W29" i="13" s="1"/>
  <c r="S39" i="13"/>
  <c r="W39" i="13" s="1"/>
  <c r="AD36" i="11"/>
  <c r="AD49" i="11"/>
  <c r="S46" i="12"/>
  <c r="W46" i="12" s="1"/>
  <c r="S64" i="12"/>
  <c r="W64" i="12" s="1"/>
  <c r="J66" i="11"/>
  <c r="J49" i="1"/>
  <c r="AA49" i="1"/>
  <c r="AA53" i="1"/>
  <c r="J53" i="1"/>
  <c r="W58" i="1"/>
  <c r="AA58" i="1" s="1"/>
  <c r="F58" i="1"/>
  <c r="J58" i="1" s="1"/>
  <c r="S39" i="12"/>
  <c r="W39" i="12" s="1"/>
  <c r="AA48" i="1"/>
  <c r="J48" i="1"/>
  <c r="AA56" i="1"/>
  <c r="AA36" i="1"/>
  <c r="J56" i="1"/>
  <c r="AA59" i="1"/>
  <c r="J59" i="1"/>
  <c r="W44" i="12"/>
  <c r="F45" i="1"/>
  <c r="J45" i="1" s="1"/>
  <c r="W45" i="1"/>
  <c r="AA45" i="1" s="1"/>
  <c r="J47" i="1"/>
  <c r="AA47" i="1"/>
  <c r="AA35" i="1"/>
  <c r="AA55" i="1"/>
  <c r="J55" i="1"/>
  <c r="AA50" i="1"/>
  <c r="J50" i="1"/>
  <c r="AA46" i="1"/>
  <c r="J46" i="1"/>
  <c r="AA54" i="1"/>
  <c r="AA34" i="1"/>
  <c r="J54" i="1"/>
  <c r="AA17" i="1"/>
  <c r="AA7" i="1"/>
  <c r="AA28" i="1"/>
  <c r="AA42" i="1"/>
  <c r="AA21" i="1"/>
  <c r="AA9" i="1"/>
  <c r="AA30" i="1"/>
  <c r="AA27" i="1"/>
  <c r="AA6" i="1"/>
  <c r="AA20" i="1"/>
  <c r="AA41" i="1"/>
  <c r="AA5" i="1"/>
  <c r="AA26" i="1"/>
  <c r="AA40" i="1"/>
  <c r="AA19" i="1"/>
  <c r="AA18" i="1"/>
  <c r="AA39" i="1"/>
  <c r="AA25" i="1"/>
  <c r="AA29" i="1"/>
  <c r="AA8" i="1"/>
  <c r="X39" i="12" l="1"/>
  <c r="N30" i="10" s="1"/>
  <c r="O30" i="10" s="1"/>
  <c r="AB54" i="12"/>
  <c r="AH30" i="10" s="1"/>
  <c r="AC54" i="12"/>
  <c r="AI30" i="10" s="1"/>
  <c r="N38" i="15"/>
  <c r="AI33" i="10" s="1"/>
  <c r="AB11" i="13"/>
  <c r="AG15" i="10" s="1"/>
  <c r="AE11" i="13"/>
  <c r="AG11" i="13"/>
  <c r="AD11" i="13"/>
  <c r="AC11" i="13"/>
  <c r="AA11" i="13"/>
  <c r="AF15" i="10" s="1"/>
  <c r="AH11" i="13"/>
  <c r="Z15" i="10" s="1"/>
  <c r="AF11" i="13"/>
  <c r="AG54" i="12"/>
  <c r="Y30" i="10" s="1"/>
  <c r="AJ54" i="12"/>
  <c r="AB30" i="10" s="1"/>
  <c r="AI54" i="12"/>
  <c r="AE54" i="12"/>
  <c r="AD54" i="12"/>
  <c r="V30" i="10" s="1"/>
  <c r="AH54" i="12"/>
  <c r="AA30" i="10" s="1"/>
  <c r="AF54" i="12"/>
  <c r="X30" i="10" s="1"/>
  <c r="L7" i="13"/>
  <c r="AA14" i="10" s="1"/>
  <c r="M7" i="13"/>
  <c r="N18" i="13"/>
  <c r="L18" i="13"/>
  <c r="AA35" i="10" s="1"/>
  <c r="M18" i="13"/>
  <c r="U54" i="11"/>
  <c r="V31" i="10" s="1"/>
  <c r="M54" i="11"/>
  <c r="T54" i="11"/>
  <c r="S54" i="11"/>
  <c r="R54" i="11"/>
  <c r="P54" i="11"/>
  <c r="AD31" i="10" s="1"/>
  <c r="Q54" i="11"/>
  <c r="AE31" i="10" s="1"/>
  <c r="O54" i="11"/>
  <c r="AK31" i="10" s="1"/>
  <c r="N54" i="11"/>
  <c r="AJ31" i="10" s="1"/>
  <c r="T19" i="11"/>
  <c r="S19" i="11"/>
  <c r="R19" i="11"/>
  <c r="Q19" i="11"/>
  <c r="AE10" i="10" s="1"/>
  <c r="O19" i="11"/>
  <c r="AK10" i="10" s="1"/>
  <c r="L38" i="15"/>
  <c r="M38" i="15"/>
  <c r="AH33" i="10" s="1"/>
  <c r="J4" i="15"/>
  <c r="N12" i="10" s="1"/>
  <c r="M10" i="15"/>
  <c r="AH12" i="10" s="1"/>
  <c r="L10" i="15"/>
  <c r="U19" i="11"/>
  <c r="V10" i="10" s="1"/>
  <c r="P19" i="11"/>
  <c r="AD10" i="10" s="1"/>
  <c r="AA54" i="12"/>
  <c r="R30" i="10" s="1"/>
  <c r="Z54" i="12"/>
  <c r="N5" i="10"/>
  <c r="L8" i="14"/>
  <c r="P5" i="10" s="1"/>
  <c r="AM5" i="10" s="1"/>
  <c r="AE29" i="11"/>
  <c r="AE4" i="11"/>
  <c r="AK5" i="11" s="1"/>
  <c r="AE17" i="11"/>
  <c r="I9" i="12"/>
  <c r="I19" i="12"/>
  <c r="K4" i="11"/>
  <c r="N10" i="10" s="1"/>
  <c r="I10" i="12"/>
  <c r="I20" i="12"/>
  <c r="AB66" i="1"/>
  <c r="AO29" i="10" s="1"/>
  <c r="AP29" i="10" s="1"/>
  <c r="X33" i="13"/>
  <c r="AO35" i="10" s="1"/>
  <c r="K4" i="1"/>
  <c r="K25" i="1"/>
  <c r="J10" i="13"/>
  <c r="AO13" i="10" s="1"/>
  <c r="AP13" i="10" s="1"/>
  <c r="J4" i="13"/>
  <c r="N14" i="10" s="1"/>
  <c r="J23" i="12"/>
  <c r="AB4" i="1"/>
  <c r="AB45" i="1"/>
  <c r="K66" i="1"/>
  <c r="AO32" i="10" s="1"/>
  <c r="AP32" i="10" s="1"/>
  <c r="K45" i="1"/>
  <c r="AR8" i="10"/>
  <c r="AQ8" i="10"/>
  <c r="AR29" i="10"/>
  <c r="AQ29" i="10"/>
  <c r="AR30" i="10"/>
  <c r="N7" i="13"/>
  <c r="AB14" i="10" s="1"/>
  <c r="AR10" i="10"/>
  <c r="AQ10" i="10"/>
  <c r="AR33" i="10"/>
  <c r="AQ33" i="10"/>
  <c r="N19" i="11"/>
  <c r="AJ10" i="10" s="1"/>
  <c r="M19" i="11"/>
  <c r="S10" i="10" s="1"/>
  <c r="J24" i="14"/>
  <c r="AO26" i="10" s="1"/>
  <c r="AR26" i="10"/>
  <c r="L36" i="14"/>
  <c r="AQ26" i="10" s="1"/>
  <c r="AR13" i="10"/>
  <c r="AQ13" i="10"/>
  <c r="J17" i="14"/>
  <c r="N26" i="10" s="1"/>
  <c r="L29" i="14"/>
  <c r="P26" i="10" s="1"/>
  <c r="AM26" i="10" s="1"/>
  <c r="AQ30" i="10"/>
  <c r="AR12" i="10"/>
  <c r="AQ12" i="10"/>
  <c r="AR34" i="10"/>
  <c r="AQ34" i="10"/>
  <c r="AO5" i="10"/>
  <c r="AP5" i="10" s="1"/>
  <c r="AR5" i="10"/>
  <c r="L20" i="14"/>
  <c r="AQ5" i="10" s="1"/>
  <c r="AR31" i="10"/>
  <c r="AQ31" i="10"/>
  <c r="J21" i="13"/>
  <c r="AO34" i="10" s="1"/>
  <c r="AP34" i="10" s="1"/>
  <c r="AO14" i="10"/>
  <c r="X23" i="13"/>
  <c r="J32" i="15"/>
  <c r="J15" i="13"/>
  <c r="N35" i="10" s="1"/>
  <c r="O35" i="10" s="1"/>
  <c r="J52" i="15"/>
  <c r="AO33" i="10" s="1"/>
  <c r="AP33" i="10" s="1"/>
  <c r="K39" i="11"/>
  <c r="N31" i="10" s="1"/>
  <c r="X57" i="12"/>
  <c r="AO30" i="10" s="1"/>
  <c r="AP30" i="10" s="1"/>
  <c r="K57" i="11"/>
  <c r="AO31" i="10" s="1"/>
  <c r="AP31" i="10" s="1"/>
  <c r="AO10" i="10"/>
  <c r="AP10" i="10" s="1"/>
  <c r="AO12" i="10"/>
  <c r="AP12" i="10" s="1"/>
  <c r="AA30" i="13" l="1"/>
  <c r="AF36" i="10" s="1"/>
  <c r="Z30" i="13"/>
  <c r="S36" i="10" s="1"/>
  <c r="AH30" i="13"/>
  <c r="Z36" i="10" s="1"/>
  <c r="J4" i="12"/>
  <c r="M11" i="12" s="1"/>
  <c r="T6" i="10" s="1"/>
  <c r="AG22" i="1"/>
  <c r="AF8" i="10" s="1"/>
  <c r="N8" i="10"/>
  <c r="AH14" i="11"/>
  <c r="AC7" i="10" s="1"/>
  <c r="AI14" i="11"/>
  <c r="AD7" i="10" s="1"/>
  <c r="AG14" i="11"/>
  <c r="S7" i="10" s="1"/>
  <c r="N28" i="10"/>
  <c r="O28" i="10" s="1"/>
  <c r="AK31" i="11"/>
  <c r="AB35" i="10"/>
  <c r="AM35" i="10" s="1"/>
  <c r="W30" i="10"/>
  <c r="O10" i="15"/>
  <c r="AF30" i="13"/>
  <c r="AB30" i="13"/>
  <c r="AG36" i="10" s="1"/>
  <c r="AE30" i="13"/>
  <c r="AG30" i="13"/>
  <c r="AD30" i="13"/>
  <c r="AC30" i="13"/>
  <c r="Q63" i="1"/>
  <c r="AG32" i="10" s="1"/>
  <c r="P63" i="1"/>
  <c r="AF32" i="10" s="1"/>
  <c r="O22" i="1"/>
  <c r="AK11" i="10" s="1"/>
  <c r="Q22" i="1"/>
  <c r="AG11" i="10" s="1"/>
  <c r="P22" i="1"/>
  <c r="AF11" i="10" s="1"/>
  <c r="O38" i="15"/>
  <c r="Q30" i="10"/>
  <c r="AL54" i="12"/>
  <c r="O18" i="13"/>
  <c r="AM14" i="10"/>
  <c r="O7" i="13"/>
  <c r="V54" i="11"/>
  <c r="S31" i="10"/>
  <c r="AM31" i="10" s="1"/>
  <c r="AH63" i="1"/>
  <c r="AG29" i="10" s="1"/>
  <c r="AG63" i="1"/>
  <c r="AF29" i="10" s="1"/>
  <c r="AF63" i="1"/>
  <c r="AK29" i="10" s="1"/>
  <c r="AE63" i="1"/>
  <c r="AJ29" i="10" s="1"/>
  <c r="AF22" i="1"/>
  <c r="AK8" i="10" s="1"/>
  <c r="AE22" i="1"/>
  <c r="AJ8" i="10" s="1"/>
  <c r="N27" i="10"/>
  <c r="O27" i="10" s="1"/>
  <c r="M30" i="12"/>
  <c r="T27" i="10" s="1"/>
  <c r="AM10" i="10"/>
  <c r="O26" i="10"/>
  <c r="Q33" i="10"/>
  <c r="AM33" i="10" s="1"/>
  <c r="Q12" i="10"/>
  <c r="AM12" i="10" s="1"/>
  <c r="N36" i="10"/>
  <c r="V19" i="11"/>
  <c r="N29" i="10"/>
  <c r="O29" i="10" s="1"/>
  <c r="AD63" i="1"/>
  <c r="S29" i="10" s="1"/>
  <c r="AH22" i="1"/>
  <c r="AG8" i="10" s="1"/>
  <c r="AD22" i="1"/>
  <c r="N32" i="10"/>
  <c r="O32" i="10" s="1"/>
  <c r="O63" i="1"/>
  <c r="AK32" i="10" s="1"/>
  <c r="M63" i="1"/>
  <c r="N63" i="1"/>
  <c r="AJ32" i="10" s="1"/>
  <c r="N33" i="10"/>
  <c r="O33" i="10" s="1"/>
  <c r="O34" i="10"/>
  <c r="AP35" i="10"/>
  <c r="AQ35" i="10"/>
  <c r="AR35" i="10"/>
  <c r="AP26" i="10"/>
  <c r="AO36" i="10"/>
  <c r="AP36" i="10" s="1"/>
  <c r="O31" i="10"/>
  <c r="J14" i="12"/>
  <c r="M21" i="12" s="1"/>
  <c r="N15" i="10"/>
  <c r="O15" i="10" s="1"/>
  <c r="Z11" i="13"/>
  <c r="AQ32" i="10"/>
  <c r="AR32" i="10"/>
  <c r="N11" i="10"/>
  <c r="O11" i="10" s="1"/>
  <c r="N22" i="1"/>
  <c r="AJ11" i="10" s="1"/>
  <c r="M22" i="1"/>
  <c r="S11" i="10" s="1"/>
  <c r="AR11" i="10"/>
  <c r="AQ11" i="10"/>
  <c r="N7" i="10"/>
  <c r="O7" i="10" s="1"/>
  <c r="AO7" i="10"/>
  <c r="AP7" i="10" s="1"/>
  <c r="AQ7" i="10"/>
  <c r="AR7" i="10"/>
  <c r="AQ28" i="10"/>
  <c r="AR28" i="10"/>
  <c r="N30" i="12"/>
  <c r="U27" i="10" s="1"/>
  <c r="L30" i="12"/>
  <c r="Q27" i="10" s="1"/>
  <c r="N40" i="12"/>
  <c r="AR27" i="10" s="1"/>
  <c r="L40" i="12"/>
  <c r="AQ27" i="10" s="1"/>
  <c r="O5" i="10"/>
  <c r="AP14" i="10"/>
  <c r="AR14" i="10"/>
  <c r="AQ14" i="10"/>
  <c r="O14" i="10"/>
  <c r="O12" i="10"/>
  <c r="O10" i="10"/>
  <c r="AO11" i="10"/>
  <c r="AP11" i="10" s="1"/>
  <c r="AO8" i="10"/>
  <c r="AI11" i="13" l="1"/>
  <c r="S15" i="10"/>
  <c r="AM15" i="10" s="1"/>
  <c r="AM27" i="10"/>
  <c r="AM30" i="10"/>
  <c r="AM29" i="10"/>
  <c r="AM36" i="10"/>
  <c r="AK37" i="10"/>
  <c r="AJ37" i="10"/>
  <c r="AI37" i="10"/>
  <c r="AG37" i="10"/>
  <c r="AH39" i="11"/>
  <c r="AC28" i="10" s="1"/>
  <c r="AC37" i="10" s="1"/>
  <c r="AI39" i="11"/>
  <c r="AD28" i="10" s="1"/>
  <c r="AD37" i="10" s="1"/>
  <c r="AG39" i="11"/>
  <c r="AJ14" i="11"/>
  <c r="AM7" i="10"/>
  <c r="AE37" i="10"/>
  <c r="AB37" i="10"/>
  <c r="V37" i="10"/>
  <c r="W37" i="10"/>
  <c r="X37" i="10"/>
  <c r="Y37" i="10"/>
  <c r="Z37" i="10"/>
  <c r="U37" i="10"/>
  <c r="R22" i="1"/>
  <c r="T37" i="10"/>
  <c r="S32" i="10"/>
  <c r="AM32" i="10" s="1"/>
  <c r="R63" i="1"/>
  <c r="S8" i="10"/>
  <c r="AM8" i="10" s="1"/>
  <c r="AI22" i="1"/>
  <c r="L11" i="12"/>
  <c r="N11" i="12"/>
  <c r="U6" i="10" s="1"/>
  <c r="AM11" i="10"/>
  <c r="Q37" i="10"/>
  <c r="AH37" i="10"/>
  <c r="AF37" i="10"/>
  <c r="R37" i="10"/>
  <c r="AA37" i="10"/>
  <c r="P37" i="10"/>
  <c r="O36" i="10"/>
  <c r="AI30" i="13"/>
  <c r="AI63" i="1"/>
  <c r="N37" i="10"/>
  <c r="O37" i="10" s="1"/>
  <c r="AR36" i="10"/>
  <c r="AQ36" i="10"/>
  <c r="AO6" i="10"/>
  <c r="AP6" i="10" s="1"/>
  <c r="N21" i="12"/>
  <c r="AR6" i="10" s="1"/>
  <c r="L21" i="12"/>
  <c r="AQ6" i="10" s="1"/>
  <c r="N6" i="10"/>
  <c r="AP8" i="10"/>
  <c r="O8" i="10"/>
  <c r="S28" i="10" l="1"/>
  <c r="AJ39" i="11"/>
  <c r="Q6" i="10"/>
  <c r="AM6" i="10" s="1"/>
  <c r="O11" i="12"/>
  <c r="O6" i="10"/>
  <c r="S37" i="10" l="1"/>
  <c r="AL37" i="10" s="1"/>
  <c r="AM28" i="10"/>
  <c r="U29" i="12"/>
  <c r="W29" i="12" s="1"/>
  <c r="AR9" i="10" l="1"/>
  <c r="X22" i="12"/>
  <c r="AO9" i="10" s="1"/>
  <c r="AQ9" i="10" l="1"/>
  <c r="AQ15" i="10" s="1"/>
  <c r="AP9" i="10"/>
  <c r="AR15" i="10"/>
  <c r="AO15" i="10"/>
  <c r="AP15" i="10" s="1"/>
  <c r="S11" i="6" l="1"/>
  <c r="U17" i="12" s="1"/>
  <c r="S11" i="5" l="1"/>
  <c r="T17" i="12" s="1"/>
  <c r="W17" i="12" s="1"/>
  <c r="AB19" i="12" l="1"/>
  <c r="AH9" i="10" s="1"/>
  <c r="AC19" i="12"/>
  <c r="AI9" i="10" s="1"/>
  <c r="AI19" i="12"/>
  <c r="AJ19" i="12"/>
  <c r="AB9" i="10" s="1"/>
  <c r="AH19" i="12"/>
  <c r="AA9" i="10" s="1"/>
  <c r="AF19" i="12"/>
  <c r="X9" i="10" s="1"/>
  <c r="AG19" i="12"/>
  <c r="Y9" i="10" s="1"/>
  <c r="Z19" i="12"/>
  <c r="AE19" i="12"/>
  <c r="W9" i="10" s="1"/>
  <c r="AA19" i="12"/>
  <c r="R9" i="10" s="1"/>
  <c r="AD19" i="12"/>
  <c r="V9" i="10" s="1"/>
  <c r="X4" i="12"/>
  <c r="N9" i="10" s="1"/>
  <c r="AK16" i="10" l="1"/>
  <c r="AJ16" i="10"/>
  <c r="AG16" i="10"/>
  <c r="AH16" i="10"/>
  <c r="AI16" i="10"/>
  <c r="AD16" i="10"/>
  <c r="AC16" i="10"/>
  <c r="AE16" i="10"/>
  <c r="AB16" i="10"/>
  <c r="W16" i="10"/>
  <c r="Z16" i="10"/>
  <c r="Y16" i="10"/>
  <c r="X16" i="10"/>
  <c r="U16" i="10"/>
  <c r="T16" i="10"/>
  <c r="AL19" i="12"/>
  <c r="AF16" i="10"/>
  <c r="AA16" i="10"/>
  <c r="V16" i="10"/>
  <c r="S16" i="10"/>
  <c r="R16" i="10"/>
  <c r="Q9" i="10"/>
  <c r="P16" i="10"/>
  <c r="N16" i="10"/>
  <c r="O16" i="10" s="1"/>
  <c r="O9" i="10"/>
  <c r="Q16" i="10" l="1"/>
  <c r="AL16" i="10" s="1"/>
  <c r="AM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U7" authorId="0" shapeId="0" xr:uid="{00000000-0006-0000-0B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Noch nicht erfasst, weiss nicht wie am besten einzugeben.</t>
        </r>
      </text>
    </comment>
    <comment ref="L14" authorId="0" shapeId="0" xr:uid="{00000000-0006-0000-0B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Was ist eine Sickerplatte
Violettes angepasst wegen anderem Bewehrungsanteil</t>
        </r>
      </text>
    </comment>
  </commentList>
</comments>
</file>

<file path=xl/sharedStrings.xml><?xml version="1.0" encoding="utf-8"?>
<sst xmlns="http://schemas.openxmlformats.org/spreadsheetml/2006/main" count="2935" uniqueCount="477">
  <si>
    <t>Standardbauweise</t>
  </si>
  <si>
    <t>Leichtbauweise</t>
  </si>
  <si>
    <t>Mischbauweise</t>
  </si>
  <si>
    <t>Möglich, aber nicht häufig</t>
  </si>
  <si>
    <t>Struktur</t>
  </si>
  <si>
    <t>Sinnlose Kombination</t>
  </si>
  <si>
    <t>6a</t>
  </si>
  <si>
    <t>ungedämmt</t>
  </si>
  <si>
    <t>Betonplatte als Flachfundation, nicht wasserdicht, CEM II 300 kg/m3, Bewehrung 105 kg/m3, inkl. Sauberkeitsschicht</t>
  </si>
  <si>
    <t>6b</t>
  </si>
  <si>
    <t>gedämmt</t>
  </si>
  <si>
    <t>Dämmung XPS, U=0.15 W/m2K (inkl. Bodenplatte)</t>
  </si>
  <si>
    <t>6c</t>
  </si>
  <si>
    <t>Dämmung Schaumglas, U=0.15 W/m2K (inkl. Bodenplatte)</t>
  </si>
  <si>
    <t>Struktur Bodenplatte</t>
  </si>
  <si>
    <t>7a</t>
  </si>
  <si>
    <t>Betonwand 25 cm, CEM II 300 kg/m3, Bewehrung 97.5 kg/m3 , Bitumenanstrich &amp; Noppenfolie</t>
  </si>
  <si>
    <t>Unbeheizt</t>
  </si>
  <si>
    <t>7b</t>
  </si>
  <si>
    <t>Beheizt</t>
  </si>
  <si>
    <t>Dämmung XPS U-Wert=0.15 W/m2K (inkl. Betonwand)</t>
  </si>
  <si>
    <t>7c</t>
  </si>
  <si>
    <r>
      <t xml:space="preserve">Betonwand 25 cm, CEM II 300 kg/m3, Bewehrung 90 kg/m3 , Bitumenanstrich &amp; </t>
    </r>
    <r>
      <rPr>
        <sz val="11"/>
        <color indexed="2"/>
        <rFont val="Arial"/>
        <family val="2"/>
      </rPr>
      <t>Sickerplatte</t>
    </r>
  </si>
  <si>
    <t>Dämmung Foamlgas U-Wert=0.15 W/m2K (inkl. Betonwand)</t>
  </si>
  <si>
    <t>Struktur Aussenwand unter Terrain</t>
  </si>
  <si>
    <t>8a</t>
  </si>
  <si>
    <t>Betondecke 30 cm, CEM II 300 kg/m3, Bewehrung 112.5 kg/m3, 1xPolymerbitumendichtungsbahn, Schutzmatte, Kies</t>
  </si>
  <si>
    <t>8b</t>
  </si>
  <si>
    <t>Betondecke 30 cm, CEM II 300 kg/m3, Bewehrung 112.5 kg/m3, Dämmung XPS 20 cm (U-Wert 0.15 W/m2K für gesamter Dachaufbau), 2xPolymerbitumendichtungsbahn, Schutzmatte, Kies</t>
  </si>
  <si>
    <t>8c</t>
  </si>
  <si>
    <t>Betondecke 30 cm, CEM II 300 kg/m3, Bewehrung 112.5 kg/m3, Dämmung Schaumglas 25 cm (U-Wert 0.15 W/m2K für gesamter Dachaufbau), 2xPolymerbitumendichtungsbahn, Schutzmatte, Kies</t>
  </si>
  <si>
    <t>Struktur Dach unter Terrain</t>
  </si>
  <si>
    <t>Bodenbelag + Installationen</t>
  </si>
  <si>
    <t>11b</t>
  </si>
  <si>
    <t>11c</t>
  </si>
  <si>
    <t>12a</t>
  </si>
  <si>
    <t>12b</t>
  </si>
  <si>
    <t>12c</t>
  </si>
  <si>
    <t>12d</t>
  </si>
  <si>
    <t>Abgehängte Installationsdecke Gipswerkstoffe</t>
  </si>
  <si>
    <t>Abgehängte Installationsdecke Metall</t>
  </si>
  <si>
    <t>Fertiger Bodenbelag (ohne Unterkonstruktion) inkl. Befestigung</t>
  </si>
  <si>
    <t>Unterkonstruktion und Bodenbelag</t>
  </si>
  <si>
    <t>Gipswerkstoffe heruntergehängt, 15-20 cm als Installationszone, Unterkonstruktion aus Metall, gespachtelt und gestrichen</t>
  </si>
  <si>
    <t>Metalldecke heruntergehängt, 15-20 cm als Installationszone, Unterkonstruktion aus Metall</t>
  </si>
  <si>
    <t>Linoleum inkl. Klebstoff</t>
  </si>
  <si>
    <t>Parkett inkl. Klebstoff</t>
  </si>
  <si>
    <t>Mehrschichtparkett, Zementunterlagsboden, Trennschicht, 2cm Trittschall</t>
  </si>
  <si>
    <t>Keramikplatten, Zementunterlagsboden, Trennschicht, 2cm Trittschall</t>
  </si>
  <si>
    <t>Tragwerk</t>
  </si>
  <si>
    <t>10a</t>
  </si>
  <si>
    <t>Betondecke mit Innenputz</t>
  </si>
  <si>
    <t>Betondecke 25cm</t>
  </si>
  <si>
    <t>Falls Haustechnikzone über angehängter Decke vorhanden</t>
  </si>
  <si>
    <t>Putzaufbau und Wanddispersion</t>
  </si>
  <si>
    <t>10b</t>
  </si>
  <si>
    <t>Holzelementdecke (mit unterer Gipsbekleidung)</t>
  </si>
  <si>
    <t>Hohlkörperdecke (6m Spannweite, Elementhöhe 24cm, Breite 100cm), mit Schalldämmung (Schüttung), Massivholz verleimt</t>
  </si>
  <si>
    <t>Gipsbekleidung inkl. Spachtel, Anstrich und Unterkonstruktion</t>
  </si>
  <si>
    <t>10c</t>
  </si>
  <si>
    <t>Holzbetonverbund (mit unterer Gipsbekleidung)</t>
  </si>
  <si>
    <t>Holzbetonverbund 22cm, 9cm Beton, 13cm Brettstapel</t>
  </si>
  <si>
    <t>11a</t>
  </si>
  <si>
    <t>Dämmung gegen unbeheizt</t>
  </si>
  <si>
    <t>Glaswolle 12 cm und Vlies</t>
  </si>
  <si>
    <t>Geschossdecke über UG</t>
  </si>
  <si>
    <t>Struktur Dach</t>
  </si>
  <si>
    <t>Struktur Decke</t>
  </si>
  <si>
    <t>Struktur UG</t>
  </si>
  <si>
    <t>Dacheindeckung</t>
  </si>
  <si>
    <t>5a</t>
  </si>
  <si>
    <t>5b</t>
  </si>
  <si>
    <t>5c</t>
  </si>
  <si>
    <t>5d</t>
  </si>
  <si>
    <t>5e</t>
  </si>
  <si>
    <t>5f</t>
  </si>
  <si>
    <t>5g</t>
  </si>
  <si>
    <t>gedämmt (Flachdach) EPS</t>
  </si>
  <si>
    <t>gedämmt (Flachdach) PUR</t>
  </si>
  <si>
    <t>gedämmt (Flachdach) Steinwolle</t>
  </si>
  <si>
    <t>ungedämmt (Flachdach)</t>
  </si>
  <si>
    <t>gedämmt mit Steinwolle (geneigtes Dach)</t>
  </si>
  <si>
    <t>gedämmt mit Glaswolle (geneigtes Dach)</t>
  </si>
  <si>
    <t>ungedämmt (geneigtes Dach)</t>
  </si>
  <si>
    <t>Dachaufbau: EPS, Bituminöse Dampfbremse, 2x Polymerbitumendichtungsbahn, Schutz-/Trennschicht, Extensivbegrünung.</t>
  </si>
  <si>
    <t>Dachaufbau: PUR, Bituminöse Dampfbremse, 2x Polymerbitumendichtungsbahn, Schutz-/Trennschicht, Mittelwert Platten/Extensivbegrünung</t>
  </si>
  <si>
    <t>Dachaufbau: Steinwolle, Bituminöse Dampfbremse, 2x Polymerbitumendichtungsbahn, Schutz-/Trennschicht, Mittelwert Platten/Extensivbegrünung</t>
  </si>
  <si>
    <t>Dachaufbau ohne Dämmung, bituminös (2x Polymerbitumendichtungsbahn, Trennschicht, Extensivbegrünung)</t>
  </si>
  <si>
    <t>Geneigtes Dach, gedämmt mit 22 cm Steinwolle, Ziegeleindeckung inkl. Unterdach und Verankerung (Standardeindeckung, Konter- und Ziegellattung, diffusionsoffene Unterdachfolie)</t>
  </si>
  <si>
    <t>Geneigtes Dach, gedämmt mit 22 cm Glaswolle, Ziegeleindeckung inkl. Unterdach und Verankerung (Standardeindeckung, Konter- und Ziegellattung, diffusionsoffene Unterdachfolie)</t>
  </si>
  <si>
    <t>Ziegeleindeckung inkl. Unterdach und Verankerung (Standardeindeckung, Konter- und Ziegellattung, diffusionsoffene Unterdachfolie)</t>
  </si>
  <si>
    <t>4a</t>
  </si>
  <si>
    <t>Betondecke (mit Innenputz)</t>
  </si>
  <si>
    <t>Innerstädtisch</t>
  </si>
  <si>
    <t>4b</t>
  </si>
  <si>
    <t>Betondecke (mit Inneputz)</t>
  </si>
  <si>
    <t>Betondecke 40cm</t>
  </si>
  <si>
    <t>4c</t>
  </si>
  <si>
    <t>Profilblech Verbunddecke</t>
  </si>
  <si>
    <t>Profilblech Verbunddecke, Spannweite 5m inkl. IPE Träger, Überdeckung 11cm, Gesamtstärke 27cm</t>
  </si>
  <si>
    <t>4d</t>
  </si>
  <si>
    <t>Holzdecke (mit unterer Gipsbekleidung)</t>
  </si>
  <si>
    <t>Brettstapeldecke 5-6m Spannweite, 23cm Massivholz verdübelt</t>
  </si>
  <si>
    <t>4e</t>
  </si>
  <si>
    <t>Holzkonstruktion (geneigtes Dach)</t>
  </si>
  <si>
    <t>Holzbalkendecke</t>
  </si>
  <si>
    <t>Ländlich</t>
  </si>
  <si>
    <t>Wandbekleidung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</si>
  <si>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</si>
  <si>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</si>
  <si>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</si>
  <si>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</si>
  <si>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</si>
  <si>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</si>
  <si>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</si>
  <si>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</si>
  <si>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</si>
  <si>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</si>
  <si>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Verputz ohne Dämmung</t>
  </si>
  <si>
    <t>Verputzte Aussenwärmedämmung</t>
  </si>
  <si>
    <t>Bekleidung Holz</t>
  </si>
  <si>
    <t>Bekleidung Faserzement</t>
  </si>
  <si>
    <t>Bekleidung Naturstein</t>
  </si>
  <si>
    <t>Bekleidung Metall</t>
  </si>
  <si>
    <t>Bekleidung Glas</t>
  </si>
  <si>
    <t>Zweischalenwand, äussere Schale</t>
  </si>
  <si>
    <t>Fassadensystem</t>
  </si>
  <si>
    <t>Mineralisches Aussenputzsystem (Grundputz, Deckputz ) inkl. Farbanstrich</t>
  </si>
  <si>
    <t>Aussenwärmedämmung Steinwolle, mineralischer Verputz, inkl. Befestigung und Farbanstrich, U-Wert=0.15 W/m2K (gesamter Aufbau inkl. Wand 25 cm Beton)</t>
  </si>
  <si>
    <t>Aussenwärmedämmung EPS, mineralischer Verputz, inkl. Befestigung und Farbanstrich, U-Wert=0.15 W/m2K (gesamter Aufbau inkl. Wand 25 cm Beton)</t>
  </si>
  <si>
    <t>Holzschalung inkl. Unterkonstrukton (System Rogger für Dämmstärke 20 cm), 20 cm Glaswolle</t>
  </si>
  <si>
    <t>Faserzement inkl. Unterkonstrukton (System Wagner UKS für Dämmstärke 20 cm), 20 cm Glaswolle</t>
  </si>
  <si>
    <t>Naturstein, Leichtmetall Unterkonstruktion, 22 cm Steinwolle</t>
  </si>
  <si>
    <t>Alu-Verbundplatte (Sandwich 4mm Alu beidseitig mit Kunststoffker, Leichtmetall Unterkonstruktion), 22 cm Steinwolle</t>
  </si>
  <si>
    <t>ESG Bekleidung, Leichtmetall Unterkonstruktion, 20 cm Glaswolle</t>
  </si>
  <si>
    <t>Klinkervormauerung 11.5cm, 22 cm Steinwolle</t>
  </si>
  <si>
    <t>Alu/Glas und Sonnenschutz (Mittelwert Lamellenstoren/Knickarmmarkise inkl. Storenkasten, Führungsschienen und Antrieb)</t>
  </si>
  <si>
    <t>1a</t>
  </si>
  <si>
    <t>Betonwand (mit Innenputz)</t>
  </si>
  <si>
    <t>Betonwand 20 cm, CEM II 300 kg/m3, Bewehrung 97.5 kg/m3</t>
  </si>
  <si>
    <t>Ab mittleren Bauvolumen</t>
  </si>
  <si>
    <t>1b</t>
  </si>
  <si>
    <t>Backsteinwand (mit Innenputz)</t>
  </si>
  <si>
    <t>Backsteinwand 17.5 cm</t>
  </si>
  <si>
    <t>Für kleinere Bauvolumen</t>
  </si>
  <si>
    <t>1c</t>
  </si>
  <si>
    <t>Holzwand (mit innerer Gipsbekleidung)</t>
  </si>
  <si>
    <t>Brettstapelwand 10 cm</t>
  </si>
  <si>
    <t>1d</t>
  </si>
  <si>
    <t>Ortbetonstütze</t>
  </si>
  <si>
    <t>20x20 cm, K   48 (3G / 4 x 4 m), CEM II 300 kg/m3, Bewehrung 300 kg/m3 Vd = 600 kN, 1 Stütze alle 3 m Aussenwand</t>
  </si>
  <si>
    <t>1e</t>
  </si>
  <si>
    <t>Stütze vorfabriziert</t>
  </si>
  <si>
    <t>20 x 20 cm, K   48 (3G / 4 x 4 m), CEM I 400 kg/m3, Bewehrung 250 kg/m3 Vd = 800 kN, 1 Stütze alle 3 m Aussenwand</t>
  </si>
  <si>
    <t>1f</t>
  </si>
  <si>
    <t>Einsteinmauerwerk dämmend (mit Innenputz)</t>
  </si>
  <si>
    <t>Porotherm T7 49 cm U-Wert ca. 0.14 W/m2K inkl. Dünnbettmörtel</t>
  </si>
  <si>
    <t>Struktur Aussenwand über Terrain</t>
  </si>
  <si>
    <t>9a</t>
  </si>
  <si>
    <t>x 
(innerstädtisch)</t>
  </si>
  <si>
    <t>Beidseitiger Putzaufbau und Wanddispersion</t>
  </si>
  <si>
    <t>9b</t>
  </si>
  <si>
    <t>Mauwerwerk Backstein (mit Innenputz)</t>
  </si>
  <si>
    <t>Backsteinwand 15 cm inkl. Mörtel</t>
  </si>
  <si>
    <t>x
(ländlich)</t>
  </si>
  <si>
    <t>9c</t>
  </si>
  <si>
    <t>Mauwerwerk Kalksandstein (mit Innenputz)</t>
  </si>
  <si>
    <t>Kalksandsteinwand 15cm inkl. Mörtel</t>
  </si>
  <si>
    <t>9d</t>
  </si>
  <si>
    <t>Leichtbauwand (mit Spachtel)</t>
  </si>
  <si>
    <t>Leichtbauwand, 60dB, Beplankung mit Gipskarton</t>
  </si>
  <si>
    <t>Beidseitiger Spachtel und Wanddispersion</t>
  </si>
  <si>
    <t>9e</t>
  </si>
  <si>
    <t>Leichtbauwand, 60dB, Beplankung mit Gipsfaserplatten</t>
  </si>
  <si>
    <t>Struktur Innenwand</t>
  </si>
  <si>
    <t>13a</t>
  </si>
  <si>
    <t>Balkon</t>
  </si>
  <si>
    <t>Betonkragplatte 1.6 m Auskragung inkl. Metallgeländer</t>
  </si>
  <si>
    <t>3a</t>
  </si>
  <si>
    <t>Fenster inkl. Sonnenschutz</t>
  </si>
  <si>
    <t>Holz-Metallfenster über Brüstung, Ug=0.6 W/m2K, Rahmenanteil 22% (entspricht Normalfenster), Lamellenstoren (Aluminiumlamellen inkl. Storenkasten, Antrieb, Führungsschienen)</t>
  </si>
  <si>
    <t>Fenster</t>
  </si>
  <si>
    <t>THGE /kg KBOB</t>
  </si>
  <si>
    <t>ID</t>
  </si>
  <si>
    <t>Bodenplatte</t>
  </si>
  <si>
    <t>Aussenwand unter Terrain</t>
  </si>
  <si>
    <t>Dach unter Terrain</t>
  </si>
  <si>
    <t>Aussenwand über Terrain</t>
  </si>
  <si>
    <t>Äussere Wandbekleidung über Terrain</t>
  </si>
  <si>
    <t>Dach</t>
  </si>
  <si>
    <t>Dachaufbau</t>
  </si>
  <si>
    <t>Bodenbelag</t>
  </si>
  <si>
    <t>Innenwand</t>
  </si>
  <si>
    <t>THGE Baumaterial</t>
  </si>
  <si>
    <t>TOTAL</t>
  </si>
  <si>
    <t>Bodenplatte Standardbauweise</t>
  </si>
  <si>
    <t>Bodenplatte Sinnlos</t>
  </si>
  <si>
    <t>Aussenwand unter Terrain Standardbauweise unbeheitz</t>
  </si>
  <si>
    <t>Aussenwand unter Terrain Standardbauweise beheitz</t>
  </si>
  <si>
    <t>Dach unter Terrain Standardbauweise</t>
  </si>
  <si>
    <t>Äussere Wandbekleidung über Terrain Standardbauweise</t>
  </si>
  <si>
    <t>Aussenwand über Terrain Standardbauweise</t>
  </si>
  <si>
    <t>Aussenwand über Terrain Standardbauweise klein Bauvolumen</t>
  </si>
  <si>
    <t>Äussere Wandbekleidung über Terrain Mischbau</t>
  </si>
  <si>
    <t>Äussere Wandbekleidung über Terrain Leichtbau</t>
  </si>
  <si>
    <t>Aussenwand über Terrain Leichtbau</t>
  </si>
  <si>
    <t>Aussenwand über Terrain Mischbau</t>
  </si>
  <si>
    <t>Dach Standardbauweise Stadt 1</t>
  </si>
  <si>
    <t>Dach Standardbauweise Stadt 2</t>
  </si>
  <si>
    <t>Dach Land</t>
  </si>
  <si>
    <t>Dach Misch-Leichtbau</t>
  </si>
  <si>
    <t>Dachaufbau Standardbauweise Stadt</t>
  </si>
  <si>
    <t>Dachaufbau Standardbauweise Land</t>
  </si>
  <si>
    <t>Innenwand Standardbauweise Stadt</t>
  </si>
  <si>
    <t>Innenwand Standardbauweise Land</t>
  </si>
  <si>
    <t>Innenwand Misch-Leichtbau</t>
  </si>
  <si>
    <t>Decke Mischbau</t>
  </si>
  <si>
    <t>Decke Standardbauweise</t>
  </si>
  <si>
    <t>Decke Leichtbau</t>
  </si>
  <si>
    <t>Installation Decke Standardbauweise UG</t>
  </si>
  <si>
    <t>Installation Decke Standardbauweise</t>
  </si>
  <si>
    <t>Installation Decke Mischbau</t>
  </si>
  <si>
    <t>Bodenbelag Standardbauweise 1</t>
  </si>
  <si>
    <t>Bodenbelag Standardbauweise 2</t>
  </si>
  <si>
    <t>-</t>
  </si>
  <si>
    <t>Dicke [mm]</t>
  </si>
  <si>
    <t>Dichte [kg/m3]</t>
  </si>
  <si>
    <t>Zusammensetzung Bauteil</t>
  </si>
  <si>
    <t>Gebäude</t>
  </si>
  <si>
    <t>Decke</t>
  </si>
  <si>
    <t>Aussenwand</t>
  </si>
  <si>
    <t>Fenster-Balkon</t>
  </si>
  <si>
    <t>Massivbauweise</t>
  </si>
  <si>
    <t>Unter Terrain beheizt</t>
  </si>
  <si>
    <t>Mit UG</t>
  </si>
  <si>
    <t>Ohne UG</t>
  </si>
  <si>
    <t>Stadt</t>
  </si>
  <si>
    <t>Land</t>
  </si>
  <si>
    <t>Mit abgehängte Installationsdecke</t>
  </si>
  <si>
    <t>Mit abgehängte Installationsdecke-Mischbau</t>
  </si>
  <si>
    <t>Bauweise</t>
  </si>
  <si>
    <t>Nur individuell!</t>
  </si>
  <si>
    <t>Dicke [cm]</t>
  </si>
  <si>
    <t>Dicke korrigiert [mm]</t>
  </si>
  <si>
    <t>[kg CO2 éq.]</t>
  </si>
  <si>
    <t>Decke mit UG</t>
  </si>
  <si>
    <t>Deckenkonstruktion</t>
  </si>
  <si>
    <t xml:space="preserve">Installation </t>
  </si>
  <si>
    <t>Bodenbelag mit Parkett</t>
  </si>
  <si>
    <t>Bodenbelag mit Keramik</t>
  </si>
  <si>
    <t>Dachkonstruktion</t>
  </si>
  <si>
    <t>Eindeckung</t>
  </si>
  <si>
    <t>Wandkonstruktion</t>
  </si>
  <si>
    <t>Decke unter Terrain</t>
  </si>
  <si>
    <t>Decke über Terrain</t>
  </si>
  <si>
    <t>Kombinationen mögliche Bauweisen</t>
  </si>
  <si>
    <t>Kombinationen Standardbauweisen</t>
  </si>
  <si>
    <t>Decke unter Terrain Installation</t>
  </si>
  <si>
    <t>Decke unter Terrain Bodenbelag</t>
  </si>
  <si>
    <t>Decke über Terrain Installation</t>
  </si>
  <si>
    <t>Decke über Terrain Bodenbelag</t>
  </si>
  <si>
    <t>Aussenwand über Terrain Bekleidung</t>
  </si>
  <si>
    <t>Dach Eindeckung</t>
  </si>
  <si>
    <t>Mögliche Varianten</t>
  </si>
  <si>
    <t>Aussenwand über Terrain Bekleidung 1</t>
  </si>
  <si>
    <t>Aussenwand über Terrain Bekleidung 2</t>
  </si>
  <si>
    <t>Aussenwand über Terrain Bekleidung 3</t>
  </si>
  <si>
    <t>Aussenwand über Terrain Bekleidung 4</t>
  </si>
  <si>
    <t>Aussenwand über Terrain Bekleidung 5</t>
  </si>
  <si>
    <t>Aussenwand über Terrain Bekleidung 6</t>
  </si>
  <si>
    <t>Aussenwand über Terrain Bekleidung 7</t>
  </si>
  <si>
    <t>Aussenwand über Terrain Bekleidung 8</t>
  </si>
  <si>
    <t>Aussenwand über Terrain 1</t>
  </si>
  <si>
    <t>Dach unter Terrain 1</t>
  </si>
  <si>
    <t>Dach unter Terrain 2</t>
  </si>
  <si>
    <t>Decke unter Terrain Bodenbelag 1</t>
  </si>
  <si>
    <t>Decke unter Terrain Bodenbelag 2</t>
  </si>
  <si>
    <t>Decke unter Terrain 1</t>
  </si>
  <si>
    <t>Decke unter Terrain Installation 1</t>
  </si>
  <si>
    <t>Decke über Terrain 1</t>
  </si>
  <si>
    <t>Decke über Terrain Installation 1</t>
  </si>
  <si>
    <t>Decke über Terrain Bodenbelag 1</t>
  </si>
  <si>
    <t>Decke über Terrain Bodenbelag 2</t>
  </si>
  <si>
    <t xml:space="preserve">Dach Eindeckung </t>
  </si>
  <si>
    <t>Decken</t>
  </si>
  <si>
    <t>Decken mit UG</t>
  </si>
  <si>
    <t>Decken Installation</t>
  </si>
  <si>
    <t>Decken mit UG Installation</t>
  </si>
  <si>
    <t>30-35</t>
  </si>
  <si>
    <t>100-165</t>
  </si>
  <si>
    <t>Gebäude Standardkombination</t>
  </si>
  <si>
    <t>Aussenwand über Terrain 2</t>
  </si>
  <si>
    <t>Aussenwand über Terrain 3</t>
  </si>
  <si>
    <t>Dach Eindeckung 1</t>
  </si>
  <si>
    <t>Dach Eindeckung 2</t>
  </si>
  <si>
    <t>Dach 1</t>
  </si>
  <si>
    <t>Dach 2</t>
  </si>
  <si>
    <t>Flachdach</t>
  </si>
  <si>
    <t>Geneigtes Dach</t>
  </si>
  <si>
    <t>Deck über Terrain</t>
  </si>
  <si>
    <t>Decke ohne Installation</t>
  </si>
  <si>
    <t>Decke ohne Installation + unter Terrain beheitz</t>
  </si>
  <si>
    <t>Kombinationen</t>
  </si>
  <si>
    <t>Betonwand</t>
  </si>
  <si>
    <t>Backsteinwand</t>
  </si>
  <si>
    <t>Ausbau</t>
  </si>
  <si>
    <t>Rohbau</t>
  </si>
  <si>
    <t>Funktion</t>
  </si>
  <si>
    <t>[kg CO2 éq./m2 EBF]</t>
  </si>
  <si>
    <t>Gebäudehüllzahl</t>
  </si>
  <si>
    <t>m</t>
  </si>
  <si>
    <t>Anzahl Stockwerke unter Terrain</t>
  </si>
  <si>
    <t>Anzahl Stockwerke über Terrain</t>
  </si>
  <si>
    <t>Stockwerkshöhe unter Terrain</t>
  </si>
  <si>
    <t>Stockwerkshöhe über Terrain</t>
  </si>
  <si>
    <t>Breite im Grundriss</t>
  </si>
  <si>
    <t>Länge im Grundriss</t>
  </si>
  <si>
    <t>Untergeschoss UG (Fläche)</t>
  </si>
  <si>
    <t>Dach unter Terrain (Fläche)</t>
  </si>
  <si>
    <t>Aussenwand unter Terrain (Fläche)</t>
  </si>
  <si>
    <t>Balkon (Fläche)</t>
  </si>
  <si>
    <t>Ja</t>
  </si>
  <si>
    <t>Nein</t>
  </si>
  <si>
    <t>Abgehängte Installationsdecke (Innendecke)</t>
  </si>
  <si>
    <t>Dachform</t>
  </si>
  <si>
    <t>Beheizung UG</t>
  </si>
  <si>
    <t>Weitere Decken im UG</t>
  </si>
  <si>
    <t>Wärmedämmung Decke über UG</t>
  </si>
  <si>
    <t>Material Aussenwand (Massivbau)</t>
  </si>
  <si>
    <t>Abgehängte Installationsdecke (Decke unter Terrain)</t>
  </si>
  <si>
    <t>Ohne Bodenbelag</t>
  </si>
  <si>
    <t>Ohne Dämmung</t>
  </si>
  <si>
    <t>Mit Dämmung</t>
  </si>
  <si>
    <t>Ohne Installation</t>
  </si>
  <si>
    <t>Bodenbelag (Innendecke)</t>
  </si>
  <si>
    <t>Bodenbelag (Decke unter Terrain)</t>
  </si>
  <si>
    <t>Parameter wählen</t>
  </si>
  <si>
    <t>Messungen eingeben</t>
  </si>
  <si>
    <t>Oben : übliche Varianten</t>
  </si>
  <si>
    <t>Unten : mögliche Varianten</t>
  </si>
  <si>
    <t>Bauteile</t>
  </si>
  <si>
    <t>Verschieden Bauschichten von den gewählten Varianten</t>
  </si>
  <si>
    <t>Individuell : händlich Parameter wählen pro Bauteil</t>
  </si>
  <si>
    <t>Überblick/Zusammenfassung vom ganzen Gebäude</t>
  </si>
  <si>
    <t>Übliche Gebäude</t>
  </si>
  <si>
    <t>Übliche Gebäude Individuell</t>
  </si>
  <si>
    <t>Mögliche Gebäude Individuell</t>
  </si>
  <si>
    <t>Mögliche Gebäude</t>
  </si>
  <si>
    <r>
      <t xml:space="preserve">Bauweise gewählt steht für alle Bauteile sonst </t>
    </r>
    <r>
      <rPr>
        <b/>
        <sz val="11"/>
        <color theme="8"/>
        <rFont val="Arial Narrow"/>
        <family val="2"/>
      </rPr>
      <t>individuell ändern</t>
    </r>
  </si>
  <si>
    <t>Generell</t>
  </si>
  <si>
    <t>Bemerkungen</t>
  </si>
  <si>
    <t>SIA2032-Liste wurde korrigiert</t>
  </si>
  <si>
    <t>Varianten und Kombinationen sind im "Kombinationen"-Sheet explizit dargestellt</t>
  </si>
  <si>
    <t xml:space="preserve">"ID-SIA2032"-Sheet beschreibt die Varianten </t>
  </si>
  <si>
    <t>Bodenplatte ist gleich für alle Bauweisen</t>
  </si>
  <si>
    <t>Fenster ist gleich für alle Bauweisen</t>
  </si>
  <si>
    <t>Balkon ist gleich für alle Bauweisen</t>
  </si>
  <si>
    <t>Bauteile kommt aus der SIA2032-Liste</t>
  </si>
  <si>
    <t>Massivbauweise : verschiedene übliche Varianten mit Flachdach/Steildach und Betonwand/Backsteinwand</t>
  </si>
  <si>
    <t>Unter Terrain ist gleich für aller Bauweisen, kann beheizt oder unbeheizt sein (abhängig von Nutzung)</t>
  </si>
  <si>
    <t>Übliche Varianten</t>
  </si>
  <si>
    <t>Bauteil (mögliche Variante)</t>
  </si>
  <si>
    <t>Bauteil (übliche Variante)</t>
  </si>
  <si>
    <t>Übliche</t>
  </si>
  <si>
    <t>Mögliche</t>
  </si>
  <si>
    <t>Kombinationen Übliche</t>
  </si>
  <si>
    <t>Kombinationen Mögliche</t>
  </si>
  <si>
    <t>Totale Kombinationen</t>
  </si>
  <si>
    <t>Mit abgehängte Installationsdecke-Mischbau 2</t>
  </si>
  <si>
    <t>Mit abgehängte Installationsdecke-Mischbau 1</t>
  </si>
  <si>
    <t>Dachtyp</t>
  </si>
  <si>
    <t>Amortisationszeit [Jahre]</t>
  </si>
  <si>
    <r>
      <t>m</t>
    </r>
    <r>
      <rPr>
        <vertAlign val="superscript"/>
        <sz val="12"/>
        <color theme="1"/>
        <rFont val="Arial Narrow"/>
        <family val="2"/>
      </rPr>
      <t>2</t>
    </r>
  </si>
  <si>
    <t>2. Schicht</t>
  </si>
  <si>
    <t>Innenwand tragend</t>
  </si>
  <si>
    <t>Innenwand nicht tragend</t>
  </si>
  <si>
    <t>Tragende Innenwand</t>
  </si>
  <si>
    <t>nicht tragende Innenwand</t>
  </si>
  <si>
    <t>[kg CO2 éq./m2 EBF a]</t>
  </si>
  <si>
    <t>Innendecke (Fläche/Stockwerk)</t>
  </si>
  <si>
    <t>Fenster (totale Fläche)</t>
  </si>
  <si>
    <t>Balkon (totale Fläche)</t>
  </si>
  <si>
    <t>Innenwand tragend (totale Fläche)</t>
  </si>
  <si>
    <t>Innenwand nicht tragend (totale Fläche)</t>
  </si>
  <si>
    <t>Aussenwand über Terrain (totale Fläche)</t>
  </si>
  <si>
    <t>Aussenwand unter Terrain (totale Fläche)</t>
  </si>
  <si>
    <t>Dach (totale Fläche im Grundriss)</t>
  </si>
  <si>
    <t>Dach unter Terrain (totale Fläche)</t>
  </si>
  <si>
    <t>Bodenplatte (totale Fläche)</t>
  </si>
  <si>
    <t>Untergeschoss UG (Fläche/Stockwerk)</t>
  </si>
  <si>
    <t>Energiebezugsfläche EBF (totale Fläche)</t>
  </si>
  <si>
    <t>Bodenplatte C1</t>
  </si>
  <si>
    <t>Wandkonstruktion C2</t>
  </si>
  <si>
    <t>Stützenkonstruktion C3</t>
  </si>
  <si>
    <t>Deckenkonstruktion C4</t>
  </si>
  <si>
    <t>C2</t>
  </si>
  <si>
    <t xml:space="preserve"> C1</t>
  </si>
  <si>
    <t>C3</t>
  </si>
  <si>
    <t>C4</t>
  </si>
  <si>
    <t>Total</t>
  </si>
  <si>
    <t>E1.2</t>
  </si>
  <si>
    <t>E1.3</t>
  </si>
  <si>
    <t>Schutzschicht unter Terrain E1.3</t>
  </si>
  <si>
    <t>Äussere Beschichtung E2.1</t>
  </si>
  <si>
    <t>Aussenwärmedämmung E2.2</t>
  </si>
  <si>
    <t>Fassadenbekleidung E2.3</t>
  </si>
  <si>
    <t>Fassadensystem E2.4</t>
  </si>
  <si>
    <t>Fenster E3.1</t>
  </si>
  <si>
    <t>Tür,Tor E3.2</t>
  </si>
  <si>
    <t>Sonnenschutz E3.3</t>
  </si>
  <si>
    <t>Unterkonstruktion G4.1</t>
  </si>
  <si>
    <t>Wandbekleidung G4.2</t>
  </si>
  <si>
    <t>Unterkonstruktion B G2.1</t>
  </si>
  <si>
    <t>Fertiger B G2.2</t>
  </si>
  <si>
    <t>Flachdach F1.2</t>
  </si>
  <si>
    <t>Geneigtes Dach F1.3</t>
  </si>
  <si>
    <t>Dachabdichtung F1.1</t>
  </si>
  <si>
    <t>Flachdach 1.2</t>
  </si>
  <si>
    <t>Unterkonstruktion Wbkl. G3.1</t>
  </si>
  <si>
    <t>Fertige Wbkl. G3.2</t>
  </si>
  <si>
    <t>Bekl. Untersicht E2.5</t>
  </si>
  <si>
    <t>Absturzsicherung E2.6</t>
  </si>
  <si>
    <t>Aussenwärmedämmung unter Terrain E1.2</t>
  </si>
  <si>
    <t>E2.1</t>
  </si>
  <si>
    <t xml:space="preserve">  </t>
  </si>
  <si>
    <t>E2.2</t>
  </si>
  <si>
    <t>E2.3</t>
  </si>
  <si>
    <t>E2.4</t>
  </si>
  <si>
    <t>E2.6</t>
  </si>
  <si>
    <t>E3.1</t>
  </si>
  <si>
    <t>E3.3</t>
  </si>
  <si>
    <t>F1.1</t>
  </si>
  <si>
    <t>F1.2</t>
  </si>
  <si>
    <t>F1.3</t>
  </si>
  <si>
    <t>G2.1</t>
  </si>
  <si>
    <t>G2.2</t>
  </si>
  <si>
    <t>Unterkonstruktion Wdbkl. G3.1</t>
  </si>
  <si>
    <t>Fertige Wdbkl. G3.2</t>
  </si>
  <si>
    <t>G3.1</t>
  </si>
  <si>
    <t>G3.2</t>
  </si>
  <si>
    <t>G4.1</t>
  </si>
  <si>
    <t>G4.2</t>
  </si>
  <si>
    <t>Deckenbekleidung G4.2</t>
  </si>
  <si>
    <t>G4</t>
  </si>
  <si>
    <t>G5</t>
  </si>
  <si>
    <t>G6</t>
  </si>
  <si>
    <t>Condition</t>
  </si>
  <si>
    <t>Cell</t>
  </si>
  <si>
    <t>Options</t>
  </si>
  <si>
    <t>ONLY IF G5 = Mit UG --&gt;</t>
  </si>
  <si>
    <t>G7</t>
  </si>
  <si>
    <t>G8</t>
  </si>
  <si>
    <t>G9</t>
  </si>
  <si>
    <t>G10</t>
  </si>
  <si>
    <t>G11</t>
  </si>
  <si>
    <t>G12</t>
  </si>
  <si>
    <t>G13</t>
  </si>
  <si>
    <t>G14</t>
  </si>
  <si>
    <t>OPT</t>
  </si>
  <si>
    <t>na</t>
  </si>
  <si>
    <t>G25</t>
  </si>
  <si>
    <t>G26</t>
  </si>
  <si>
    <t>G28</t>
  </si>
  <si>
    <t>G30</t>
  </si>
  <si>
    <t>G31</t>
  </si>
  <si>
    <t>G32</t>
  </si>
  <si>
    <t>G33</t>
  </si>
  <si>
    <t>G34</t>
  </si>
  <si>
    <t>G35</t>
  </si>
  <si>
    <t>G37</t>
  </si>
  <si>
    <t>G38</t>
  </si>
  <si>
    <t>G27 ONLY IF G26 = Mit UG --&gt;</t>
  </si>
  <si>
    <t xml:space="preserve">G29 </t>
  </si>
  <si>
    <t>ONLY IF G26 = Mit UG --&gt;</t>
  </si>
  <si>
    <t xml:space="preserve"> ONLY IF G25 = Massivbauweise --&gt;</t>
  </si>
  <si>
    <t xml:space="preserve">G36 </t>
  </si>
  <si>
    <t>ONLY IF G35 = Flachdach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</si>
</sst>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C_H_F_-;\-* #,##0.00\ _C_H_F_-;_-* &quot;-&quot;??\ _C_H_F_-;_-@_-"/>
    <numFmt numFmtId="165" formatCode="0.000"/>
    <numFmt numFmtId="166" formatCode="_-* #,##0\ _C_H_F_-;\-* #,##0\ _C_H_F_-;_-* &quot;-&quot;??\ _C_H_F_-;_-@_-"/>
    <numFmt numFmtId="167" formatCode="#,##0.0000"/>
    <numFmt numFmtId="168" formatCode="0.0%"/>
    <numFmt numFmtId="169" formatCode="_-* #,##0.0\ _C_H_F_-;\-* #,##0.0\ _C_H_F_-;_-* &quot;-&quot;??\ _C_H_F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indexed="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5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8"/>
      <name val="Arial Narrow"/>
      <family val="2"/>
    </font>
    <font>
      <b/>
      <sz val="20"/>
      <color theme="1"/>
      <name val="Arial Narrow"/>
      <family val="2"/>
    </font>
    <font>
      <u/>
      <sz val="12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1"/>
      <color rgb="FFFF0000"/>
      <name val="Calibri"/>
      <family val="2"/>
      <scheme val="minor"/>
    </font>
    <font>
      <vertAlign val="superscript"/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0" fillId="0" borderId="0" xfId="0" applyFont="1"/>
    <xf numFmtId="0" fontId="10" fillId="0" borderId="3" xfId="0" applyFont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/>
    <xf numFmtId="0" fontId="15" fillId="12" borderId="0" xfId="0" applyFont="1" applyFill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0" fontId="15" fillId="13" borderId="0" xfId="0" applyFont="1" applyFill="1"/>
    <xf numFmtId="2" fontId="14" fillId="13" borderId="0" xfId="0" applyNumberFormat="1" applyFont="1" applyFill="1"/>
    <xf numFmtId="165" fontId="14" fillId="13" borderId="0" xfId="0" applyNumberFormat="1" applyFont="1" applyFill="1"/>
    <xf numFmtId="0" fontId="18" fillId="0" borderId="0" xfId="0" applyFont="1"/>
    <xf numFmtId="1" fontId="14" fillId="13" borderId="0" xfId="0" applyNumberFormat="1" applyFont="1" applyFill="1"/>
    <xf numFmtId="0" fontId="19" fillId="0" borderId="0" xfId="0" applyFont="1"/>
    <xf numFmtId="164" fontId="15" fillId="12" borderId="0" xfId="1" applyFont="1" applyFill="1"/>
    <xf numFmtId="164" fontId="14" fillId="0" borderId="0" xfId="1" applyFont="1"/>
    <xf numFmtId="164" fontId="15" fillId="12" borderId="0" xfId="1" applyFont="1" applyFill="1" applyAlignment="1">
      <alignment horizontal="center"/>
    </xf>
    <xf numFmtId="164" fontId="15" fillId="12" borderId="0" xfId="1" applyNumberFormat="1" applyFont="1" applyFill="1"/>
    <xf numFmtId="0" fontId="0" fillId="12" borderId="0" xfId="0" applyFill="1"/>
    <xf numFmtId="166" fontId="14" fillId="0" borderId="0" xfId="1" applyNumberFormat="1" applyFont="1"/>
    <xf numFmtId="166" fontId="15" fillId="12" borderId="0" xfId="1" applyNumberFormat="1" applyFont="1" applyFill="1"/>
    <xf numFmtId="0" fontId="14" fillId="14" borderId="0" xfId="0" applyFont="1" applyFill="1" applyAlignment="1">
      <alignment horizontal="right"/>
    </xf>
    <xf numFmtId="0" fontId="15" fillId="0" borderId="0" xfId="0" applyFont="1" applyAlignment="1"/>
    <xf numFmtId="0" fontId="14" fillId="12" borderId="0" xfId="0" applyFont="1" applyFill="1"/>
    <xf numFmtId="167" fontId="0" fillId="0" borderId="0" xfId="0" applyNumberFormat="1"/>
    <xf numFmtId="0" fontId="14" fillId="15" borderId="0" xfId="0" applyFont="1" applyFill="1"/>
    <xf numFmtId="4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168" fontId="14" fillId="0" borderId="0" xfId="2" applyNumberFormat="1" applyFont="1"/>
    <xf numFmtId="9" fontId="15" fillId="12" borderId="0" xfId="2" applyFont="1" applyFill="1"/>
    <xf numFmtId="0" fontId="0" fillId="0" borderId="0" xfId="0" applyAlignment="1">
      <alignment horizontal="right"/>
    </xf>
    <xf numFmtId="0" fontId="20" fillId="12" borderId="0" xfId="0" applyFont="1" applyFill="1"/>
    <xf numFmtId="166" fontId="20" fillId="12" borderId="0" xfId="1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16" fillId="16" borderId="0" xfId="0" applyFont="1" applyFill="1"/>
    <xf numFmtId="0" fontId="15" fillId="16" borderId="0" xfId="0" applyFont="1" applyFill="1" applyAlignment="1">
      <alignment horizontal="center" vertical="center"/>
    </xf>
    <xf numFmtId="0" fontId="14" fillId="17" borderId="0" xfId="0" applyFont="1" applyFill="1"/>
    <xf numFmtId="4" fontId="0" fillId="12" borderId="0" xfId="0" applyNumberForma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13" borderId="0" xfId="0" applyFont="1" applyFill="1"/>
    <xf numFmtId="0" fontId="14" fillId="14" borderId="12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0" borderId="0" xfId="0" quotePrefix="1" applyFont="1"/>
    <xf numFmtId="169" fontId="14" fillId="0" borderId="0" xfId="1" applyNumberFormat="1" applyFont="1"/>
    <xf numFmtId="164" fontId="14" fillId="0" borderId="0" xfId="1" applyNumberFormat="1" applyFont="1"/>
    <xf numFmtId="166" fontId="0" fillId="0" borderId="0" xfId="0" applyNumberFormat="1"/>
    <xf numFmtId="0" fontId="14" fillId="0" borderId="11" xfId="0" applyFont="1" applyFill="1" applyBorder="1" applyAlignment="1"/>
    <xf numFmtId="164" fontId="15" fillId="12" borderId="0" xfId="1" applyNumberFormat="1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168" fontId="14" fillId="0" borderId="11" xfId="2" applyNumberFormat="1" applyFont="1" applyBorder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9" fontId="15" fillId="12" borderId="11" xfId="2" applyFont="1" applyFill="1" applyBorder="1" applyAlignment="1">
      <alignment horizontal="center"/>
    </xf>
    <xf numFmtId="168" fontId="0" fillId="0" borderId="0" xfId="0" applyNumberFormat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0" xfId="0" applyFont="1" applyBorder="1"/>
    <xf numFmtId="0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14" fillId="19" borderId="0" xfId="0" applyFont="1" applyFill="1"/>
    <xf numFmtId="0" fontId="0" fillId="17" borderId="0" xfId="0" applyFill="1"/>
    <xf numFmtId="0" fontId="0" fillId="20" borderId="0" xfId="0" applyFill="1"/>
    <xf numFmtId="2" fontId="14" fillId="13" borderId="0" xfId="0" applyNumberFormat="1" applyFont="1" applyFill="1" applyAlignment="1">
      <alignment horizontal="right"/>
    </xf>
    <xf numFmtId="0" fontId="0" fillId="21" borderId="0" xfId="0" applyFill="1"/>
    <xf numFmtId="0" fontId="14" fillId="21" borderId="0" xfId="0" applyFont="1" applyFill="1"/>
    <xf numFmtId="0" fontId="0" fillId="22" borderId="0" xfId="0" applyFill="1"/>
    <xf numFmtId="0" fontId="14" fillId="22" borderId="0" xfId="0" applyFont="1" applyFill="1"/>
    <xf numFmtId="2" fontId="14" fillId="17" borderId="0" xfId="0" applyNumberFormat="1" applyFont="1" applyFill="1" applyAlignment="1">
      <alignment horizontal="right"/>
    </xf>
    <xf numFmtId="0" fontId="24" fillId="0" borderId="0" xfId="0" applyFont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textRotation="90"/>
    </xf>
    <xf numFmtId="0" fontId="15" fillId="0" borderId="12" xfId="0" applyFont="1" applyFill="1" applyBorder="1" applyAlignment="1">
      <alignment horizontal="center" vertical="center" textRotation="90"/>
    </xf>
    <xf numFmtId="0" fontId="15" fillId="0" borderId="13" xfId="0" applyFont="1" applyFill="1" applyBorder="1" applyAlignment="1">
      <alignment horizontal="center" vertical="center" textRotation="90"/>
    </xf>
    <xf numFmtId="0" fontId="14" fillId="0" borderId="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FR/Gestion%20de%20projets/00%20projets/84379%20OptiBat_GWP%20-%20Zwicky/09_Analyse/Bauteil/VP_Bauteile_Lesosai/Anhang_D_Dokumentation_20190207_id_as_aktuell_90425_as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ang D"/>
      <sheetName val="Vorarbeiten"/>
      <sheetName val="Gebäudehülle u.T."/>
      <sheetName val="Gebäudehülle über Terrain"/>
      <sheetName val="Innenbauteile &amp; Aussenbauteile"/>
      <sheetName val="Gebäudetechnik"/>
      <sheetName val="Baumaterialien Matériaux"/>
      <sheetName val="Gebäudetechnik Technique du bât"/>
      <sheetName val="Transporte Transports"/>
      <sheetName val="Lesosai Ergebnisse"/>
      <sheetName val="Test_Exports"/>
      <sheetName val="Lesosai Ergebnisse alt"/>
      <sheetName val="Bewertung_Bauteilsysteme"/>
    </sheetNames>
    <sheetDataSet>
      <sheetData sheetId="0"/>
      <sheetData sheetId="1"/>
      <sheetData sheetId="2">
        <row r="4">
          <cell r="D4" t="str">
            <v>Magerbeton 7 cm [kg]</v>
          </cell>
          <cell r="G4" t="str">
            <v>C1.5</v>
          </cell>
          <cell r="H4">
            <v>2150</v>
          </cell>
          <cell r="I4">
            <v>7.0000000000000009</v>
          </cell>
          <cell r="L4">
            <v>5.91E-2</v>
          </cell>
        </row>
        <row r="5">
          <cell r="D5" t="str">
            <v>Hochbaubeton, 30 cm [kg]</v>
          </cell>
          <cell r="G5" t="str">
            <v>C1.5</v>
          </cell>
          <cell r="H5">
            <v>2300</v>
          </cell>
          <cell r="I5">
            <v>29.598726114649683</v>
          </cell>
          <cell r="L5">
            <v>9.9199999999999997E-2</v>
          </cell>
        </row>
        <row r="6">
          <cell r="D6" t="str">
            <v>Armierungsstahl [kg]</v>
          </cell>
          <cell r="G6" t="str">
            <v>C1.5</v>
          </cell>
          <cell r="H6">
            <v>7850</v>
          </cell>
          <cell r="I6">
            <v>0.40127388535031849</v>
          </cell>
          <cell r="L6">
            <v>0.68200000000000005</v>
          </cell>
        </row>
        <row r="9">
          <cell r="G9" t="str">
            <v>C1.5</v>
          </cell>
        </row>
        <row r="10">
          <cell r="G10" t="str">
            <v>C1.5</v>
          </cell>
        </row>
        <row r="11">
          <cell r="G11" t="str">
            <v>C1.5</v>
          </cell>
        </row>
        <row r="12">
          <cell r="D12" t="str">
            <v>Polystyrol extrudiert, 33 kg/m3, lamdaD 0.033 W/mK, 20 cm [kg]</v>
          </cell>
          <cell r="G12" t="str">
            <v>C1.2</v>
          </cell>
          <cell r="H12">
            <v>33</v>
          </cell>
          <cell r="I12">
            <v>20</v>
          </cell>
          <cell r="L12">
            <v>14.5</v>
          </cell>
        </row>
        <row r="16">
          <cell r="D16" t="str">
            <v>Foamglas T4+, 115 kg/m3, lambdaD 0.041 W/mK, 25 cm [kg]</v>
          </cell>
          <cell r="H16">
            <v>115</v>
          </cell>
          <cell r="I16">
            <v>25</v>
          </cell>
          <cell r="L16">
            <v>1.17</v>
          </cell>
        </row>
        <row r="23">
          <cell r="D23" t="str">
            <v>Hochbaubeton, 25 cm [kg]</v>
          </cell>
          <cell r="G23" t="str">
            <v>C2.1</v>
          </cell>
          <cell r="H23">
            <v>2300</v>
          </cell>
          <cell r="I23">
            <v>24.689490445859871</v>
          </cell>
          <cell r="L23">
            <v>9.9199999999999997E-2</v>
          </cell>
        </row>
        <row r="24">
          <cell r="D24" t="str">
            <v>Armierungsstahl [kg]</v>
          </cell>
          <cell r="G24" t="str">
            <v>C2.1</v>
          </cell>
          <cell r="H24">
            <v>7850</v>
          </cell>
          <cell r="I24">
            <v>0.31050955414012743</v>
          </cell>
          <cell r="L24">
            <v>0.68200000000000005</v>
          </cell>
        </row>
        <row r="25">
          <cell r="D25" t="str">
            <v>3-SP Schalung 2.5cm (Annahme 5xverwendet) [kg]</v>
          </cell>
          <cell r="G25" t="str">
            <v>C2.1</v>
          </cell>
          <cell r="H25">
            <v>470</v>
          </cell>
          <cell r="I25">
            <v>1.0000000000000002</v>
          </cell>
          <cell r="L25">
            <v>0.52300000000000002</v>
          </cell>
        </row>
        <row r="26">
          <cell r="D26" t="str">
            <v>Bitumenanstrich [m2]</v>
          </cell>
          <cell r="G26" t="str">
            <v>E1.3</v>
          </cell>
          <cell r="H26">
            <v>250</v>
          </cell>
          <cell r="I26">
            <v>0.1</v>
          </cell>
          <cell r="L26">
            <v>2.8239999999999998</v>
          </cell>
        </row>
        <row r="27">
          <cell r="D27" t="str">
            <v>Noppenfolie PE [kg]</v>
          </cell>
          <cell r="G27" t="str">
            <v>E1.3</v>
          </cell>
          <cell r="H27">
            <v>960</v>
          </cell>
          <cell r="I27">
            <v>0.26041666666666663</v>
          </cell>
          <cell r="L27">
            <v>5.41</v>
          </cell>
        </row>
        <row r="31">
          <cell r="D31" t="str">
            <v>Polystyrol extrudiert, 33 kg/m3, lamdaD 0.033 W/mK, 20 cm [kg]</v>
          </cell>
          <cell r="G31" t="str">
            <v>E1.2</v>
          </cell>
          <cell r="H31">
            <v>33</v>
          </cell>
          <cell r="I31">
            <v>20</v>
          </cell>
          <cell r="L31">
            <v>14.5</v>
          </cell>
        </row>
        <row r="32">
          <cell r="D32" t="str">
            <v>Bitumenkleber [kg]</v>
          </cell>
          <cell r="G32" t="str">
            <v>E1.2</v>
          </cell>
          <cell r="H32">
            <v>1000</v>
          </cell>
          <cell r="I32">
            <v>0.3</v>
          </cell>
          <cell r="L32">
            <v>3.06</v>
          </cell>
        </row>
        <row r="35">
          <cell r="D35" t="str">
            <v>Hochbaubeton, 25 cm [kg]</v>
          </cell>
          <cell r="G35" t="str">
            <v>C2.1</v>
          </cell>
          <cell r="H35">
            <v>2300</v>
          </cell>
          <cell r="I35">
            <v>24.71337579617834</v>
          </cell>
          <cell r="L35">
            <v>9.9199999999999997E-2</v>
          </cell>
        </row>
        <row r="36">
          <cell r="D36" t="str">
            <v>Armierungsstahl [kg]</v>
          </cell>
          <cell r="G36" t="str">
            <v>C2.1</v>
          </cell>
          <cell r="H36">
            <v>7850</v>
          </cell>
          <cell r="I36">
            <v>0.28662420382165604</v>
          </cell>
          <cell r="L36">
            <v>0.68200000000000005</v>
          </cell>
        </row>
        <row r="37">
          <cell r="D37" t="str">
            <v>3-SP Schalung 2.5cm (Annahme 5xverwendet) [kg]</v>
          </cell>
          <cell r="G37" t="str">
            <v>C2.1</v>
          </cell>
          <cell r="H37">
            <v>470</v>
          </cell>
          <cell r="I37">
            <v>1.0000000000000002</v>
          </cell>
          <cell r="L37">
            <v>0.52300000000000002</v>
          </cell>
        </row>
        <row r="38">
          <cell r="D38" t="str">
            <v>Bitumenanstrich [m2]</v>
          </cell>
          <cell r="G38" t="str">
            <v>E1.3</v>
          </cell>
          <cell r="H38">
            <v>250</v>
          </cell>
          <cell r="I38">
            <v>0.1</v>
          </cell>
          <cell r="L38">
            <v>2.8239999999999998</v>
          </cell>
        </row>
        <row r="39">
          <cell r="D39" t="str">
            <v>Sickerplatte</v>
          </cell>
          <cell r="G39" t="str">
            <v>E1.3</v>
          </cell>
          <cell r="H39">
            <v>960</v>
          </cell>
          <cell r="I39">
            <v>0.26041666666666663</v>
          </cell>
          <cell r="L39">
            <v>5.41</v>
          </cell>
        </row>
        <row r="40">
          <cell r="D40" t="str">
            <v>Foamglas T4+, 115 kg/m3, lambdaD 0.041 W/mK, 25 cm [kg]</v>
          </cell>
          <cell r="G40" t="str">
            <v>E1.2</v>
          </cell>
          <cell r="H40">
            <v>115</v>
          </cell>
          <cell r="I40">
            <v>25</v>
          </cell>
          <cell r="L40">
            <v>1.17</v>
          </cell>
        </row>
        <row r="41">
          <cell r="D41" t="str">
            <v>Bitumenkleber [kg]</v>
          </cell>
          <cell r="G41" t="str">
            <v>E1.2</v>
          </cell>
          <cell r="H41">
            <v>1000</v>
          </cell>
          <cell r="I41">
            <v>0.3</v>
          </cell>
          <cell r="L41">
            <v>3.06</v>
          </cell>
        </row>
        <row r="47">
          <cell r="D47" t="str">
            <v>Hochbaubeton 30 cm [kg]</v>
          </cell>
          <cell r="G47" t="str">
            <v>C4.4</v>
          </cell>
          <cell r="H47">
            <v>2300</v>
          </cell>
          <cell r="I47">
            <v>29.57006369426751</v>
          </cell>
          <cell r="L47">
            <v>9.9199999999999997E-2</v>
          </cell>
        </row>
        <row r="48">
          <cell r="D48" t="str">
            <v>Armierungsstahl [kg]</v>
          </cell>
          <cell r="G48" t="str">
            <v>C4.4</v>
          </cell>
          <cell r="H48">
            <v>7850</v>
          </cell>
          <cell r="I48">
            <v>0.42993630573248409</v>
          </cell>
          <cell r="L48">
            <v>0.68200000000000005</v>
          </cell>
        </row>
        <row r="49">
          <cell r="D49" t="str">
            <v>3-SP Schalung 2.5 cm (Annahme 5xverwendet) [kg]</v>
          </cell>
          <cell r="G49" t="str">
            <v>C4.4</v>
          </cell>
          <cell r="H49">
            <v>470</v>
          </cell>
          <cell r="I49">
            <v>1.0000000000000002</v>
          </cell>
          <cell r="L49">
            <v>0.52300000000000002</v>
          </cell>
        </row>
        <row r="50">
          <cell r="D50" t="str">
            <v>Bitumenemulsion [m2]</v>
          </cell>
          <cell r="G50" t="str">
            <v>F1.1</v>
          </cell>
          <cell r="H50">
            <v>250</v>
          </cell>
          <cell r="I50">
            <v>0.1</v>
          </cell>
          <cell r="L50">
            <v>2.8239999999999998</v>
          </cell>
        </row>
        <row r="51">
          <cell r="D51" t="str">
            <v>Polymerbitumenbahn EP5 [kg]</v>
          </cell>
          <cell r="G51" t="str">
            <v>F1.1</v>
          </cell>
          <cell r="H51">
            <v>1180</v>
          </cell>
          <cell r="I51">
            <v>0.5</v>
          </cell>
          <cell r="L51">
            <v>3.06</v>
          </cell>
        </row>
        <row r="52">
          <cell r="D52" t="str">
            <v>Trenn-/Schutzvlies [kg]</v>
          </cell>
          <cell r="G52" t="str">
            <v>F1.1</v>
          </cell>
          <cell r="H52">
            <v>920</v>
          </cell>
          <cell r="I52">
            <v>4.3478260869565216E-2</v>
          </cell>
          <cell r="L52">
            <v>5.53</v>
          </cell>
        </row>
        <row r="53">
          <cell r="D53" t="str">
            <v>Kies 3 cm [kg]</v>
          </cell>
          <cell r="G53" t="str">
            <v>F1.2</v>
          </cell>
          <cell r="H53">
            <v>2000</v>
          </cell>
          <cell r="I53">
            <v>3</v>
          </cell>
          <cell r="L53">
            <v>1.17E-2</v>
          </cell>
        </row>
        <row r="56">
          <cell r="D56" t="str">
            <v>Hochbaubeton 30 cm [kg]</v>
          </cell>
          <cell r="G56" t="str">
            <v>C4.4</v>
          </cell>
          <cell r="H56">
            <v>2300</v>
          </cell>
          <cell r="I56">
            <v>29.57006369426751</v>
          </cell>
          <cell r="L56">
            <v>9.9199999999999997E-2</v>
          </cell>
        </row>
        <row r="57">
          <cell r="D57" t="str">
            <v>Armierungsstahl [kg]</v>
          </cell>
          <cell r="G57" t="str">
            <v>C4.4</v>
          </cell>
          <cell r="H57">
            <v>7850</v>
          </cell>
          <cell r="I57">
            <v>0.42993630573248409</v>
          </cell>
          <cell r="L57">
            <v>0.68200000000000005</v>
          </cell>
        </row>
        <row r="58">
          <cell r="D58" t="str">
            <v>3-SP Schalung 2.5 cm (Annahme 5xverwendet) [kg]</v>
          </cell>
          <cell r="G58" t="str">
            <v>C4.4</v>
          </cell>
          <cell r="H58">
            <v>470</v>
          </cell>
          <cell r="I58">
            <v>1.0000000000000002</v>
          </cell>
          <cell r="L58">
            <v>0.52300000000000002</v>
          </cell>
        </row>
        <row r="59">
          <cell r="D59" t="str">
            <v>Bitumenemulsion [m2]</v>
          </cell>
          <cell r="G59" t="str">
            <v>F1.1</v>
          </cell>
          <cell r="H59">
            <v>250</v>
          </cell>
          <cell r="I59">
            <v>0.1</v>
          </cell>
          <cell r="L59">
            <v>2.8239999999999998</v>
          </cell>
        </row>
        <row r="60">
          <cell r="D60" t="str">
            <v>Polymerbitumenbahn EP4 [kg]</v>
          </cell>
          <cell r="G60" t="str">
            <v>F1.1</v>
          </cell>
          <cell r="H60">
            <v>1175</v>
          </cell>
          <cell r="I60">
            <v>0.4</v>
          </cell>
          <cell r="L60">
            <v>3.07</v>
          </cell>
        </row>
        <row r="61">
          <cell r="D61" t="str">
            <v>Polystyrol extrudiert, 33 kg/m3, lamdaD 0.033 W/mK, 20 cm [kg]</v>
          </cell>
          <cell r="G61" t="str">
            <v>F1.1</v>
          </cell>
          <cell r="H61">
            <v>33</v>
          </cell>
          <cell r="I61">
            <v>20</v>
          </cell>
          <cell r="L61">
            <v>14.5</v>
          </cell>
        </row>
        <row r="62">
          <cell r="D62" t="str">
            <v>2xPolymerbitumenbahn EGV3 [kg]</v>
          </cell>
          <cell r="G62" t="str">
            <v>F1.1</v>
          </cell>
          <cell r="H62">
            <v>1200</v>
          </cell>
          <cell r="I62">
            <v>0.6</v>
          </cell>
          <cell r="L62">
            <v>2.98</v>
          </cell>
        </row>
        <row r="63">
          <cell r="D63" t="str">
            <v>Trenn-/Schutzvlies [kg]</v>
          </cell>
          <cell r="G63" t="str">
            <v>F1.1</v>
          </cell>
          <cell r="H63">
            <v>920</v>
          </cell>
          <cell r="I63">
            <v>4.3478260869565216E-2</v>
          </cell>
          <cell r="L63">
            <v>5.53</v>
          </cell>
        </row>
        <row r="64">
          <cell r="D64" t="str">
            <v>Kies 3 cm [kg]</v>
          </cell>
          <cell r="G64" t="str">
            <v>F1.2</v>
          </cell>
          <cell r="H64">
            <v>2000</v>
          </cell>
          <cell r="I64">
            <v>3</v>
          </cell>
          <cell r="L64">
            <v>1.17E-2</v>
          </cell>
        </row>
        <row r="67">
          <cell r="D67" t="str">
            <v>Hochbaubeton 30 cm [kg]</v>
          </cell>
          <cell r="G67" t="str">
            <v>C4.4</v>
          </cell>
          <cell r="H67">
            <v>2300</v>
          </cell>
          <cell r="I67">
            <v>29.57006369426751</v>
          </cell>
          <cell r="L67">
            <v>9.9199999999999997E-2</v>
          </cell>
        </row>
        <row r="68">
          <cell r="D68" t="str">
            <v>Armierungsstahl [kg]</v>
          </cell>
          <cell r="G68" t="str">
            <v>C4.4</v>
          </cell>
          <cell r="H68">
            <v>7850</v>
          </cell>
          <cell r="I68">
            <v>0.42993630573248409</v>
          </cell>
          <cell r="L68">
            <v>0.68200000000000005</v>
          </cell>
        </row>
        <row r="69">
          <cell r="D69" t="str">
            <v>3-SP Schalung 2.5cm (Annahme 5xverwendet) [kg]</v>
          </cell>
          <cell r="G69" t="str">
            <v>C4.4</v>
          </cell>
          <cell r="H69">
            <v>470</v>
          </cell>
          <cell r="I69">
            <v>1.0000000000000002</v>
          </cell>
          <cell r="L69">
            <v>0.52300000000000002</v>
          </cell>
        </row>
        <row r="70">
          <cell r="D70" t="str">
            <v>Bitumenemulsion [m2]</v>
          </cell>
          <cell r="G70" t="str">
            <v>F1.1</v>
          </cell>
          <cell r="H70">
            <v>250</v>
          </cell>
          <cell r="I70">
            <v>0.1</v>
          </cell>
          <cell r="L70">
            <v>2.8239999999999998</v>
          </cell>
        </row>
        <row r="71">
          <cell r="D71" t="str">
            <v>Polymerbitumenbahn EP4 [kg]</v>
          </cell>
          <cell r="G71" t="str">
            <v>F1.1</v>
          </cell>
          <cell r="H71">
            <v>1175</v>
          </cell>
          <cell r="I71">
            <v>0.4</v>
          </cell>
          <cell r="L71">
            <v>3.07</v>
          </cell>
        </row>
        <row r="72">
          <cell r="D72" t="str">
            <v>Foamglas T4+, 115 kg/m3, lambdaD 0.041 W/mK, 25 cm [kg]</v>
          </cell>
          <cell r="G72" t="str">
            <v>F1.1</v>
          </cell>
          <cell r="H72">
            <v>115</v>
          </cell>
          <cell r="I72">
            <v>25</v>
          </cell>
          <cell r="L72">
            <v>1.17</v>
          </cell>
        </row>
        <row r="73">
          <cell r="D73" t="str">
            <v>Heissbitumen [kg]</v>
          </cell>
          <cell r="G73" t="str">
            <v>F1.1</v>
          </cell>
          <cell r="H73">
            <v>1000</v>
          </cell>
          <cell r="I73">
            <v>1.3</v>
          </cell>
          <cell r="L73">
            <v>3.06</v>
          </cell>
        </row>
        <row r="74">
          <cell r="D74" t="str">
            <v>2xPolymerbitumenbahn EGV3 [kg]</v>
          </cell>
          <cell r="G74" t="str">
            <v>F1.1</v>
          </cell>
          <cell r="H74">
            <v>1200</v>
          </cell>
          <cell r="I74">
            <v>0.6</v>
          </cell>
          <cell r="L74">
            <v>2.98</v>
          </cell>
        </row>
        <row r="75">
          <cell r="D75" t="str">
            <v>Trenn-/Schutzvlies [kg]</v>
          </cell>
          <cell r="G75" t="str">
            <v>F1.1</v>
          </cell>
          <cell r="H75">
            <v>920</v>
          </cell>
          <cell r="I75">
            <v>4.3478260869565216E-2</v>
          </cell>
          <cell r="L75">
            <v>5.53</v>
          </cell>
        </row>
        <row r="76">
          <cell r="D76" t="str">
            <v>Kies 3 cm [kg]</v>
          </cell>
          <cell r="G76" t="str">
            <v>F1.2</v>
          </cell>
          <cell r="H76">
            <v>2000</v>
          </cell>
          <cell r="I76">
            <v>3</v>
          </cell>
          <cell r="L76">
            <v>1.17E-2</v>
          </cell>
        </row>
      </sheetData>
      <sheetData sheetId="3">
        <row r="4">
          <cell r="D4" t="str">
            <v>Hochbaubeton, 20 cm [kg]</v>
          </cell>
          <cell r="G4" t="str">
            <v>C2.1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C2.1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C2.1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1.1612903225806452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0.31818181818181818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Backstein [kg]</v>
          </cell>
          <cell r="G12" t="str">
            <v>C2.1</v>
          </cell>
          <cell r="H12">
            <v>900</v>
          </cell>
          <cell r="I12">
            <v>17.5</v>
          </cell>
          <cell r="L12">
            <v>0.25800000000000001</v>
          </cell>
        </row>
        <row r="13">
          <cell r="D13" t="str">
            <v>Mörtel [kg]</v>
          </cell>
          <cell r="G13" t="str">
            <v>C2.1</v>
          </cell>
          <cell r="H13">
            <v>1550</v>
          </cell>
          <cell r="I13">
            <v>3.3290322580645162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1.1612903225806452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0.31818181818181818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Nadelschnittholz [kg]</v>
          </cell>
          <cell r="G19" t="str">
            <v>C2.1</v>
          </cell>
          <cell r="H19">
            <v>485</v>
          </cell>
          <cell r="I19">
            <v>10</v>
          </cell>
          <cell r="L19">
            <v>0.10100000000000001</v>
          </cell>
        </row>
        <row r="20">
          <cell r="D20" t="str">
            <v>Nadelschnittholz [kg]</v>
          </cell>
          <cell r="G20" t="str">
            <v>G3.1</v>
          </cell>
          <cell r="H20">
            <v>485</v>
          </cell>
          <cell r="I20">
            <v>0.4</v>
          </cell>
          <cell r="L20">
            <v>0.10100000000000001</v>
          </cell>
        </row>
        <row r="21">
          <cell r="D21" t="str">
            <v>Gipskartonplatte [kg]</v>
          </cell>
          <cell r="G21" t="str">
            <v>G3.1</v>
          </cell>
          <cell r="H21">
            <v>850</v>
          </cell>
          <cell r="I21">
            <v>1.25</v>
          </cell>
          <cell r="L21">
            <v>0.29299999999999998</v>
          </cell>
        </row>
        <row r="22">
          <cell r="D22" t="str">
            <v>Spachtel [kg]</v>
          </cell>
          <cell r="G22" t="str">
            <v>G3.2</v>
          </cell>
          <cell r="H22">
            <v>925</v>
          </cell>
          <cell r="I22">
            <v>0.60540540540540544</v>
          </cell>
          <cell r="L22">
            <v>0.155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7">
          <cell r="D27" t="str">
            <v>Hochbaubeton  [kg]</v>
          </cell>
          <cell r="G27" t="str">
            <v>C3.1</v>
          </cell>
          <cell r="H27">
            <v>2300</v>
          </cell>
          <cell r="I27">
            <v>1.2823779193205949</v>
          </cell>
          <cell r="L27">
            <v>9.9199999999999997E-2</v>
          </cell>
        </row>
        <row r="28">
          <cell r="D28" t="str">
            <v>Armierungsstahl [kg]</v>
          </cell>
          <cell r="G28" t="str">
            <v>C3.1</v>
          </cell>
          <cell r="H28">
            <v>7850</v>
          </cell>
          <cell r="I28">
            <v>5.0955414012738856E-2</v>
          </cell>
          <cell r="L28">
            <v>0.68200000000000005</v>
          </cell>
        </row>
        <row r="29">
          <cell r="D29" t="str">
            <v>3-SP Schalung 2.5 cm (Annahme 5xverwendet) [kg]</v>
          </cell>
          <cell r="G29" t="str">
            <v>C3.1</v>
          </cell>
          <cell r="H29">
            <v>470</v>
          </cell>
          <cell r="I29">
            <v>0.1333333333333333</v>
          </cell>
          <cell r="L29">
            <v>0.52300000000000002</v>
          </cell>
        </row>
        <row r="32">
          <cell r="D32" t="str">
            <v>Betonfertigteil, Normalbeton, ab Werk [kg]</v>
          </cell>
          <cell r="G32" t="str">
            <v>C3.1</v>
          </cell>
          <cell r="H32">
            <v>2500</v>
          </cell>
          <cell r="I32">
            <v>1.2908704883227178</v>
          </cell>
          <cell r="L32">
            <v>0.17199999999999999</v>
          </cell>
        </row>
        <row r="33">
          <cell r="D33" t="str">
            <v>Armierungsstahl [kg]</v>
          </cell>
          <cell r="G33" t="str">
            <v>C3.1</v>
          </cell>
          <cell r="H33">
            <v>7850</v>
          </cell>
          <cell r="I33">
            <v>9.5541401273885357E-2</v>
          </cell>
          <cell r="L33">
            <v>0.68200000000000005</v>
          </cell>
        </row>
        <row r="34">
          <cell r="D34" t="str">
            <v>3-SP Schalung 2.5 cm (Annahme 5xverwendet) [kg]</v>
          </cell>
          <cell r="G34" t="str">
            <v>C3.1</v>
          </cell>
          <cell r="H34">
            <v>470</v>
          </cell>
          <cell r="I34">
            <v>0.1333333333333333</v>
          </cell>
          <cell r="L34">
            <v>0.52300000000000002</v>
          </cell>
        </row>
        <row r="40">
          <cell r="D40" t="str">
            <v>Blähperlit [kg]</v>
          </cell>
          <cell r="G40" t="str">
            <v>C2.1</v>
          </cell>
          <cell r="H40">
            <v>102.5</v>
          </cell>
          <cell r="I40">
            <v>37.287804878048782</v>
          </cell>
          <cell r="L40">
            <v>1.01</v>
          </cell>
        </row>
        <row r="41">
          <cell r="D41" t="str">
            <v>Backstein [kg]</v>
          </cell>
          <cell r="G41" t="str">
            <v>C2.1</v>
          </cell>
          <cell r="H41">
            <v>900</v>
          </cell>
          <cell r="I41">
            <v>28.464444444444435</v>
          </cell>
          <cell r="L41">
            <v>0.25800000000000001</v>
          </cell>
        </row>
        <row r="42">
          <cell r="D42" t="str">
            <v>Dünnbettmörtel [kg]</v>
          </cell>
          <cell r="G42" t="str">
            <v>C2.1</v>
          </cell>
          <cell r="H42">
            <v>1400</v>
          </cell>
          <cell r="I42">
            <v>0.255</v>
          </cell>
          <cell r="L42">
            <v>0.40600000000000003</v>
          </cell>
        </row>
        <row r="43">
          <cell r="D43" t="str">
            <v>Kalk-Zementgrundputz [kg]</v>
          </cell>
          <cell r="G43" t="str">
            <v>G3.1</v>
          </cell>
          <cell r="H43">
            <v>1550</v>
          </cell>
          <cell r="I43">
            <v>1.1612903225806452</v>
          </cell>
          <cell r="L43">
            <v>0.247</v>
          </cell>
        </row>
        <row r="44">
          <cell r="D44" t="str">
            <v>Deckputz (Weissputz) [kg]</v>
          </cell>
          <cell r="G44" t="str">
            <v>G3.2</v>
          </cell>
          <cell r="H44">
            <v>1100</v>
          </cell>
          <cell r="I44">
            <v>0.31818181818181818</v>
          </cell>
          <cell r="L44">
            <v>0.14699999999999999</v>
          </cell>
        </row>
        <row r="45">
          <cell r="D45" t="str">
            <v>Wanddispersion [m2]</v>
          </cell>
          <cell r="G45" t="str">
            <v>G3.2</v>
          </cell>
          <cell r="H45">
            <v>150</v>
          </cell>
          <cell r="I45">
            <v>0.2</v>
          </cell>
          <cell r="L45">
            <v>4.5333333333333341</v>
          </cell>
        </row>
        <row r="50">
          <cell r="D50" t="str">
            <v>Zement Grundputz 1cm [kg]</v>
          </cell>
          <cell r="G50" t="str">
            <v>E2.1</v>
          </cell>
          <cell r="H50">
            <v>1550</v>
          </cell>
          <cell r="I50">
            <v>1</v>
          </cell>
          <cell r="L50">
            <v>0.26900000000000002</v>
          </cell>
        </row>
        <row r="51">
          <cell r="D51" t="str">
            <v>Mineralischer Deckputz (Kalk-Zementputz) 1.5 mm [kg]</v>
          </cell>
          <cell r="G51" t="str">
            <v>E2.1</v>
          </cell>
          <cell r="H51">
            <v>1550</v>
          </cell>
          <cell r="I51">
            <v>0.15</v>
          </cell>
          <cell r="L51">
            <v>0.247</v>
          </cell>
        </row>
        <row r="52">
          <cell r="D52" t="str">
            <v>Anstrich [m2]</v>
          </cell>
          <cell r="G52" t="str">
            <v>E2.1</v>
          </cell>
          <cell r="H52">
            <v>150</v>
          </cell>
          <cell r="I52">
            <v>0.2</v>
          </cell>
          <cell r="L52">
            <v>4.5333333333333341</v>
          </cell>
        </row>
        <row r="55">
          <cell r="D55" t="str">
            <v>Zementkleber [kg]</v>
          </cell>
          <cell r="G55" t="str">
            <v>E2.1</v>
          </cell>
          <cell r="H55">
            <v>1400</v>
          </cell>
          <cell r="I55">
            <v>0.3928571428571429</v>
          </cell>
          <cell r="L55">
            <v>0.40600000000000003</v>
          </cell>
        </row>
        <row r="56">
          <cell r="D56" t="str">
            <v>Steinwolle 22cm (80 kg/m3, 0.034 W/mK) [kg]</v>
          </cell>
          <cell r="G56" t="str">
            <v>E2.2</v>
          </cell>
          <cell r="H56">
            <v>80</v>
          </cell>
          <cell r="I56">
            <v>22.000000000000004</v>
          </cell>
          <cell r="L56">
            <v>1.1299999999999999</v>
          </cell>
        </row>
        <row r="57">
          <cell r="D57" t="str">
            <v>Dämmstoffdübel (3 Stk. à 40g pro m2) [kg]</v>
          </cell>
          <cell r="G57" t="str">
            <v>E2.2</v>
          </cell>
          <cell r="H57">
            <v>1450</v>
          </cell>
          <cell r="I57">
            <v>8.2758620689655175E-3</v>
          </cell>
          <cell r="L57">
            <v>9.6</v>
          </cell>
        </row>
        <row r="58">
          <cell r="D58" t="str">
            <v>Einbettmörtel [kg]</v>
          </cell>
          <cell r="G58" t="str">
            <v>E2.1</v>
          </cell>
          <cell r="H58">
            <v>1100</v>
          </cell>
          <cell r="I58">
            <v>1.0909090909090911</v>
          </cell>
          <cell r="L58">
            <v>0.42699999999999999</v>
          </cell>
        </row>
        <row r="59">
          <cell r="D59" t="str">
            <v>Armierungsgewebe [kg]</v>
          </cell>
          <cell r="G59" t="str">
            <v>E2.1</v>
          </cell>
          <cell r="H59">
            <v>1450</v>
          </cell>
          <cell r="I59">
            <v>1.1034482758620689E-2</v>
          </cell>
          <cell r="L59">
            <v>9.6</v>
          </cell>
        </row>
        <row r="60">
          <cell r="D60" t="str">
            <v>Mineralischer Deckputz (Kalk-Zementputz) 1.5mm [kg]</v>
          </cell>
          <cell r="G60" t="str">
            <v>E2.1</v>
          </cell>
          <cell r="H60">
            <v>1550</v>
          </cell>
          <cell r="I60">
            <v>0.15</v>
          </cell>
          <cell r="L60">
            <v>0.247</v>
          </cell>
        </row>
        <row r="61">
          <cell r="D61" t="str">
            <v>Anstrich [m2]</v>
          </cell>
          <cell r="G61" t="str">
            <v>E2.1</v>
          </cell>
          <cell r="H61">
            <v>150</v>
          </cell>
          <cell r="I61">
            <v>0.2</v>
          </cell>
          <cell r="L61">
            <v>4.5333333333333341</v>
          </cell>
        </row>
        <row r="64">
          <cell r="D64" t="str">
            <v>Zementkleber [kg]</v>
          </cell>
          <cell r="G64" t="str">
            <v>E2.1</v>
          </cell>
          <cell r="H64">
            <v>1400</v>
          </cell>
          <cell r="I64">
            <v>0.3928571428571429</v>
          </cell>
          <cell r="L64">
            <v>0.40600000000000003</v>
          </cell>
        </row>
        <row r="65">
          <cell r="D65" t="str">
            <v>EPS 20cm (16 kg/m3, 0.031 W/mK) [kg]</v>
          </cell>
          <cell r="G65" t="str">
            <v>E2.2</v>
          </cell>
          <cell r="H65">
            <v>16</v>
          </cell>
          <cell r="I65">
            <v>20</v>
          </cell>
          <cell r="L65">
            <v>7.64</v>
          </cell>
        </row>
        <row r="66">
          <cell r="D66" t="str">
            <v>Dämmstoffdübel (3 Stk. à 40g pro m2) [kg]</v>
          </cell>
          <cell r="G66" t="str">
            <v>E2.2</v>
          </cell>
          <cell r="H66">
            <v>1450</v>
          </cell>
          <cell r="I66">
            <v>8.2758620689655175E-3</v>
          </cell>
          <cell r="L66">
            <v>9.6</v>
          </cell>
        </row>
        <row r="67">
          <cell r="D67" t="str">
            <v>Einbettmörtel [kg]</v>
          </cell>
          <cell r="G67" t="str">
            <v>E2.1</v>
          </cell>
          <cell r="H67">
            <v>1100</v>
          </cell>
          <cell r="I67">
            <v>1.0909090909090911</v>
          </cell>
          <cell r="L67">
            <v>0.42699999999999999</v>
          </cell>
        </row>
        <row r="68">
          <cell r="D68" t="str">
            <v>Armierungsgewebe [kg]</v>
          </cell>
          <cell r="G68" t="str">
            <v>E2.1</v>
          </cell>
          <cell r="H68">
            <v>1360</v>
          </cell>
          <cell r="I68">
            <v>1.1764705882352941E-2</v>
          </cell>
          <cell r="L68">
            <v>9.6</v>
          </cell>
        </row>
        <row r="69">
          <cell r="D69" t="str">
            <v>Mineralischer Deckputz (Kalk-Zementputz) 1.5mm [kg]</v>
          </cell>
          <cell r="G69" t="str">
            <v>E2.1</v>
          </cell>
          <cell r="H69">
            <v>1550</v>
          </cell>
          <cell r="I69">
            <v>0.15</v>
          </cell>
          <cell r="L69">
            <v>0.247</v>
          </cell>
        </row>
        <row r="70">
          <cell r="D70" t="str">
            <v>Anstrich [m2]</v>
          </cell>
          <cell r="G70" t="str">
            <v>E2.1</v>
          </cell>
          <cell r="H70">
            <v>150</v>
          </cell>
          <cell r="I70">
            <v>0.2</v>
          </cell>
          <cell r="L70">
            <v>4.5333333333333341</v>
          </cell>
        </row>
        <row r="76">
          <cell r="D76" t="str">
            <v>Holzschalung mit Nut und Kamm [kg]</v>
          </cell>
          <cell r="G76" t="str">
            <v>E2.3</v>
          </cell>
          <cell r="H76">
            <v>465</v>
          </cell>
          <cell r="I76">
            <v>2.85</v>
          </cell>
          <cell r="L76">
            <v>0.14299999999999999</v>
          </cell>
        </row>
        <row r="77">
          <cell r="D77" t="str">
            <v>Vergrauungslasur [m2]</v>
          </cell>
          <cell r="G77" t="str">
            <v>E2.1</v>
          </cell>
          <cell r="H77">
            <v>150</v>
          </cell>
          <cell r="I77">
            <v>0.2</v>
          </cell>
          <cell r="L77">
            <v>4.5333333333333341</v>
          </cell>
        </row>
        <row r="78">
          <cell r="D78" t="str">
            <v>Chromstahl 18/8 (Rogger Dübel), 3.5 Stk./m2 [kg]</v>
          </cell>
          <cell r="G78" t="str">
            <v>E2.4</v>
          </cell>
          <cell r="H78">
            <v>7900</v>
          </cell>
          <cell r="I78">
            <v>4.6917721518987335E-3</v>
          </cell>
          <cell r="L78">
            <v>3.76</v>
          </cell>
        </row>
        <row r="79">
          <cell r="D79" t="str">
            <v>Polyamid glasfaserverstärkt (Rogger Dübel) [kg]</v>
          </cell>
          <cell r="G79" t="str">
            <v>E2.4</v>
          </cell>
          <cell r="H79">
            <v>1450</v>
          </cell>
          <cell r="I79">
            <v>5.8206896551724141E-3</v>
          </cell>
          <cell r="L79">
            <v>9.6</v>
          </cell>
        </row>
        <row r="80">
          <cell r="D80" t="str">
            <v>Stahlprofile verzinkt [kg]</v>
          </cell>
          <cell r="G80" t="str">
            <v>E2.4</v>
          </cell>
          <cell r="H80">
            <v>7850</v>
          </cell>
          <cell r="I80">
            <v>6.8789808917197465E-3</v>
          </cell>
          <cell r="L80">
            <v>3.51</v>
          </cell>
        </row>
        <row r="81">
          <cell r="D81" t="str">
            <v>Dämmstoffdübel (3 Stk. à 40 g pro m2) [kg]</v>
          </cell>
          <cell r="G81" t="str">
            <v>E2.2</v>
          </cell>
          <cell r="H81">
            <v>1450</v>
          </cell>
          <cell r="I81">
            <v>8.2758620689655175E-3</v>
          </cell>
          <cell r="L81">
            <v>9.6</v>
          </cell>
        </row>
        <row r="82">
          <cell r="D82" t="str">
            <v>20 cm Glaswolle (38 kg/m3, 0.032 W/mK) [kg]</v>
          </cell>
          <cell r="G82" t="str">
            <v>E2.2</v>
          </cell>
          <cell r="H82">
            <v>38</v>
          </cell>
          <cell r="I82">
            <v>20</v>
          </cell>
          <cell r="L82">
            <v>1.1299999999999999</v>
          </cell>
        </row>
        <row r="83">
          <cell r="D83" t="str">
            <v>Winpapier (PE Spinnvlies) [kg]</v>
          </cell>
          <cell r="G83" t="str">
            <v>E2.1</v>
          </cell>
          <cell r="H83">
            <v>920</v>
          </cell>
          <cell r="I83">
            <v>2.391304347826087E-2</v>
          </cell>
          <cell r="L83">
            <v>5.53</v>
          </cell>
        </row>
        <row r="86">
          <cell r="D86" t="str">
            <v>Faserzement [kg]</v>
          </cell>
          <cell r="G86" t="str">
            <v>E2.3</v>
          </cell>
          <cell r="H86">
            <v>1800</v>
          </cell>
          <cell r="I86">
            <v>0.87222222222222212</v>
          </cell>
          <cell r="L86">
            <v>1.0900000000000001</v>
          </cell>
        </row>
        <row r="87">
          <cell r="D87" t="str">
            <v>Aluminiumprofile [kg]</v>
          </cell>
          <cell r="G87" t="str">
            <v>E2.4</v>
          </cell>
          <cell r="H87">
            <v>2690</v>
          </cell>
          <cell r="I87">
            <v>8.2070346010866463E-2</v>
          </cell>
          <cell r="L87">
            <v>5.71</v>
          </cell>
        </row>
        <row r="88">
          <cell r="D88" t="str">
            <v>Chromstahl 18/8 [kg]</v>
          </cell>
          <cell r="G88" t="str">
            <v>E2.4</v>
          </cell>
          <cell r="H88">
            <v>7900</v>
          </cell>
          <cell r="I88">
            <v>6.20253164556962E-4</v>
          </cell>
          <cell r="L88">
            <v>3.76</v>
          </cell>
        </row>
        <row r="89">
          <cell r="D89" t="str">
            <v>PVC [kg]</v>
          </cell>
          <cell r="G89" t="str">
            <v>E2.4</v>
          </cell>
          <cell r="H89">
            <v>1390</v>
          </cell>
          <cell r="I89">
            <v>8.6330935251798565E-4</v>
          </cell>
          <cell r="L89">
            <v>4.42</v>
          </cell>
        </row>
        <row r="90">
          <cell r="D90" t="str">
            <v>Dämmstoffdübel (3 Stk. à 40g pro m2) [kg]</v>
          </cell>
          <cell r="G90" t="str">
            <v>E2.2</v>
          </cell>
          <cell r="H90">
            <v>1360</v>
          </cell>
          <cell r="I90">
            <v>8.8235294117647058E-3</v>
          </cell>
          <cell r="L90">
            <v>9.6</v>
          </cell>
        </row>
        <row r="91">
          <cell r="D91" t="str">
            <v>20 cm Glaswolle (38 kg/m3, 0.032 W/mK) [kg]</v>
          </cell>
          <cell r="G91" t="str">
            <v>E2.2</v>
          </cell>
          <cell r="H91">
            <v>38</v>
          </cell>
          <cell r="I91">
            <v>20</v>
          </cell>
          <cell r="L91">
            <v>1.1299999999999999</v>
          </cell>
        </row>
        <row r="92">
          <cell r="D92" t="str">
            <v>Winpapier (PE Spinnvlies) [kg]</v>
          </cell>
          <cell r="G92" t="str">
            <v>E2.1</v>
          </cell>
          <cell r="H92">
            <v>920</v>
          </cell>
          <cell r="I92">
            <v>2.391304347826087E-2</v>
          </cell>
          <cell r="L92">
            <v>5.53</v>
          </cell>
        </row>
        <row r="95">
          <cell r="D95" t="str">
            <v>Naturstein</v>
          </cell>
          <cell r="G95" t="str">
            <v>E2.3</v>
          </cell>
          <cell r="H95">
            <v>2500</v>
          </cell>
          <cell r="I95">
            <v>3</v>
          </cell>
          <cell r="L95">
            <v>3.3599999999999998E-2</v>
          </cell>
        </row>
        <row r="96">
          <cell r="D96" t="str">
            <v>Aluminiumunterkonstruktion [kg]</v>
          </cell>
          <cell r="G96" t="str">
            <v>E2.4</v>
          </cell>
          <cell r="H96">
            <v>2690</v>
          </cell>
          <cell r="I96">
            <v>0.16517451466336225</v>
          </cell>
          <cell r="L96">
            <v>5.71</v>
          </cell>
        </row>
        <row r="97">
          <cell r="D97" t="str">
            <v>Dämmstoffdübel (3 Stk. à 40g pro m2) [kg]</v>
          </cell>
          <cell r="G97" t="str">
            <v>E2.2</v>
          </cell>
          <cell r="H97">
            <v>1450</v>
          </cell>
          <cell r="I97">
            <v>8.2758620689655175E-3</v>
          </cell>
          <cell r="L97">
            <v>9.6</v>
          </cell>
        </row>
        <row r="98">
          <cell r="D98" t="str">
            <v>22 cm Steinwolle (48 kg/m3, 0.034 W/mK) [kg]</v>
          </cell>
          <cell r="G98" t="str">
            <v>E2.2</v>
          </cell>
          <cell r="H98">
            <v>48</v>
          </cell>
          <cell r="I98">
            <v>22</v>
          </cell>
          <cell r="L98">
            <v>1.1299999999999999</v>
          </cell>
        </row>
        <row r="99">
          <cell r="D99" t="str">
            <v>Winpapier (PE Spinnvlies)</v>
          </cell>
          <cell r="G99" t="str">
            <v>E2.1</v>
          </cell>
          <cell r="H99">
            <v>920</v>
          </cell>
          <cell r="I99">
            <v>2.391304347826087E-2</v>
          </cell>
          <cell r="L99">
            <v>5.53</v>
          </cell>
        </row>
        <row r="105">
          <cell r="D105" t="str">
            <v>Fassadenplatte, Aluverbund, 4 mm</v>
          </cell>
          <cell r="G105" t="str">
            <v>E2.3</v>
          </cell>
          <cell r="H105">
            <v>1774.9999999999998</v>
          </cell>
          <cell r="I105">
            <v>0.4</v>
          </cell>
          <cell r="L105">
            <v>6.23943661971831</v>
          </cell>
        </row>
        <row r="106">
          <cell r="D106" t="str">
            <v>Aluminiumunterkonstruktion [kg]</v>
          </cell>
          <cell r="G106" t="str">
            <v>E2.4</v>
          </cell>
          <cell r="H106">
            <v>2690</v>
          </cell>
          <cell r="I106">
            <v>0.12484510532837656</v>
          </cell>
          <cell r="L106">
            <v>5.71</v>
          </cell>
        </row>
        <row r="107">
          <cell r="D107" t="str">
            <v>Dämmstoffdübel [kg]</v>
          </cell>
          <cell r="G107" t="str">
            <v>E2.2</v>
          </cell>
          <cell r="H107">
            <v>1450</v>
          </cell>
          <cell r="I107">
            <v>8.2758620689655175E-3</v>
          </cell>
          <cell r="L107">
            <v>9.6</v>
          </cell>
        </row>
        <row r="108">
          <cell r="D108" t="str">
            <v>22 cm Steinwolle (48 kg/m3, 0.034 W/mK) [kg]</v>
          </cell>
          <cell r="G108" t="str">
            <v>E2.2</v>
          </cell>
          <cell r="H108">
            <v>48</v>
          </cell>
          <cell r="I108">
            <v>22</v>
          </cell>
          <cell r="L108">
            <v>1.1299999999999999</v>
          </cell>
        </row>
        <row r="109">
          <cell r="D109" t="str">
            <v>Winpapier (PE Spinnvlies) [kg]</v>
          </cell>
          <cell r="G109" t="str">
            <v>E2.1</v>
          </cell>
          <cell r="H109">
            <v>920</v>
          </cell>
          <cell r="I109">
            <v>2.391304347826087E-2</v>
          </cell>
          <cell r="L109">
            <v>5.53</v>
          </cell>
        </row>
        <row r="113">
          <cell r="D113" t="str">
            <v>10 mm Einscheibensicherheitsglas [kg]</v>
          </cell>
          <cell r="G113" t="str">
            <v>E2.3</v>
          </cell>
          <cell r="H113">
            <v>2500</v>
          </cell>
          <cell r="I113">
            <v>1</v>
          </cell>
          <cell r="L113">
            <v>1.1599999999999999</v>
          </cell>
        </row>
        <row r="114">
          <cell r="D114" t="str">
            <v>Aluminiumunterkonstruktion [kg]</v>
          </cell>
          <cell r="G114" t="str">
            <v>E2.4</v>
          </cell>
          <cell r="H114">
            <v>2690</v>
          </cell>
          <cell r="I114">
            <v>0.16517451466336225</v>
          </cell>
          <cell r="L114">
            <v>5.71</v>
          </cell>
        </row>
        <row r="115">
          <cell r="D115" t="str">
            <v>Dämmstoffdübel (3 Stk. à 40g pro m2) [kg]</v>
          </cell>
          <cell r="G115" t="str">
            <v>E2.2</v>
          </cell>
          <cell r="H115">
            <v>1450</v>
          </cell>
          <cell r="I115">
            <v>8.2758620689655175E-3</v>
          </cell>
          <cell r="L115">
            <v>9.6</v>
          </cell>
        </row>
        <row r="116">
          <cell r="D116" t="str">
            <v>20 cm Glaswolle (38 kg/m3, 0.032 W/mK) [kg]</v>
          </cell>
          <cell r="G116" t="str">
            <v>E2.2</v>
          </cell>
          <cell r="H116">
            <v>38</v>
          </cell>
          <cell r="I116">
            <v>20</v>
          </cell>
          <cell r="L116">
            <v>1.1299999999999999</v>
          </cell>
        </row>
        <row r="117">
          <cell r="D117" t="str">
            <v>Winpapier (PE Spinnvlies)</v>
          </cell>
          <cell r="G117" t="str">
            <v>E2.1</v>
          </cell>
          <cell r="H117">
            <v>920</v>
          </cell>
          <cell r="I117">
            <v>2.391304347826087E-2</v>
          </cell>
          <cell r="L117">
            <v>5.53</v>
          </cell>
        </row>
        <row r="123">
          <cell r="D123" t="str">
            <v>11.5 cm Sichtbackstein Klinker [kg]</v>
          </cell>
          <cell r="G123" t="str">
            <v>E2.3</v>
          </cell>
          <cell r="H123">
            <v>1700</v>
          </cell>
          <cell r="I123">
            <v>11.5</v>
          </cell>
          <cell r="L123">
            <v>0.375</v>
          </cell>
        </row>
        <row r="124">
          <cell r="D124" t="str">
            <v>Armierung Chromstahl [kg]</v>
          </cell>
          <cell r="G124" t="str">
            <v>E2.4</v>
          </cell>
          <cell r="H124">
            <v>7900</v>
          </cell>
          <cell r="I124">
            <v>2.5316455696202535E-2</v>
          </cell>
          <cell r="L124">
            <v>3.76</v>
          </cell>
        </row>
        <row r="125">
          <cell r="D125" t="str">
            <v>Dämmstoffdübel (3 Stk. à 40g pro m2) [kg]</v>
          </cell>
          <cell r="G125" t="str">
            <v>E2.2</v>
          </cell>
          <cell r="H125">
            <v>1450</v>
          </cell>
          <cell r="I125">
            <v>8.2758620689655175E-3</v>
          </cell>
          <cell r="L125">
            <v>9.6</v>
          </cell>
        </row>
        <row r="126">
          <cell r="D126" t="str">
            <v>22 cm Steinwolle (48 kg/m3, 0.034 W/mK) [kg]</v>
          </cell>
          <cell r="G126" t="str">
            <v>E2.2</v>
          </cell>
          <cell r="H126">
            <v>48</v>
          </cell>
          <cell r="I126">
            <v>22</v>
          </cell>
          <cell r="L126">
            <v>1.1299999999999999</v>
          </cell>
        </row>
        <row r="127">
          <cell r="D127" t="str">
            <v>Winpapier (PE Spinnvlies)</v>
          </cell>
          <cell r="G127" t="str">
            <v>E2.1</v>
          </cell>
          <cell r="H127">
            <v>920</v>
          </cell>
          <cell r="I127">
            <v>2.391304347826087E-2</v>
          </cell>
          <cell r="L127">
            <v>5.53</v>
          </cell>
        </row>
        <row r="130">
          <cell r="D130" t="str">
            <v>Pfostenriegel Alu/Glas [m2]</v>
          </cell>
          <cell r="G130" t="str">
            <v>E2.4</v>
          </cell>
          <cell r="H130">
            <v>10</v>
          </cell>
          <cell r="L130">
            <v>177</v>
          </cell>
        </row>
        <row r="131">
          <cell r="D131" t="str">
            <v>Lamellenstoren [m2]</v>
          </cell>
          <cell r="G131" t="str">
            <v>E3.3</v>
          </cell>
          <cell r="H131">
            <v>10</v>
          </cell>
          <cell r="I131">
            <v>10</v>
          </cell>
          <cell r="L131">
            <v>57.4</v>
          </cell>
        </row>
        <row r="132">
          <cell r="D132" t="str">
            <v>Ausstellstoren [m2]</v>
          </cell>
          <cell r="G132" t="str">
            <v>E3.3</v>
          </cell>
          <cell r="H132">
            <v>10</v>
          </cell>
          <cell r="I132">
            <v>10</v>
          </cell>
          <cell r="L132">
            <v>65</v>
          </cell>
        </row>
        <row r="137">
          <cell r="D137" t="str">
            <v>Holz-Metallfenster [m2 i.L.]</v>
          </cell>
          <cell r="F137">
            <v>0.22</v>
          </cell>
          <cell r="G137" t="str">
            <v>E3.1</v>
          </cell>
        </row>
        <row r="138">
          <cell r="D138" t="str">
            <v>Isolierverglasung 3-fach, Ug-Wert 0.6 W/m2K, Dicke 40 mm [m2]</v>
          </cell>
          <cell r="F138">
            <v>0.78</v>
          </cell>
          <cell r="G138" t="str">
            <v>E3.1</v>
          </cell>
        </row>
        <row r="139">
          <cell r="D139" t="str">
            <v>Lamellenstoren [m2]</v>
          </cell>
          <cell r="F139">
            <v>1</v>
          </cell>
          <cell r="G139" t="str">
            <v>E3.3</v>
          </cell>
        </row>
        <row r="144">
          <cell r="D144" t="str">
            <v>Hochbaubeton 25 cm [kg]</v>
          </cell>
          <cell r="G144" t="str">
            <v>C4.4</v>
          </cell>
          <cell r="H144">
            <v>2300</v>
          </cell>
          <cell r="I144">
            <v>24.71337579617834</v>
          </cell>
          <cell r="L144">
            <v>9.9199999999999997E-2</v>
          </cell>
        </row>
        <row r="145">
          <cell r="D145" t="str">
            <v>Armierungsstahl (Bewehurngsgehalt 90 kg/m3) [kg]</v>
          </cell>
          <cell r="G145" t="str">
            <v>C4.4</v>
          </cell>
          <cell r="H145">
            <v>7850</v>
          </cell>
          <cell r="I145">
            <v>0.28662420382165604</v>
          </cell>
          <cell r="L145">
            <v>0.68200000000000005</v>
          </cell>
        </row>
        <row r="146">
          <cell r="D146" t="str">
            <v>3-SP Schalung 2.5cm (Annahme 5xverwendet) [kg]</v>
          </cell>
          <cell r="G146" t="str">
            <v>C4.4</v>
          </cell>
          <cell r="H146">
            <v>470</v>
          </cell>
          <cell r="I146">
            <v>1.0000000000000002</v>
          </cell>
          <cell r="L146">
            <v>0.52300000000000002</v>
          </cell>
        </row>
        <row r="147">
          <cell r="D147" t="str">
            <v>Kalk-Zementgrundputz [kg]</v>
          </cell>
          <cell r="G147" t="str">
            <v>G4.1</v>
          </cell>
          <cell r="H147">
            <v>1550</v>
          </cell>
          <cell r="I147">
            <v>1.1612903225806452</v>
          </cell>
          <cell r="L147">
            <v>0.247</v>
          </cell>
        </row>
        <row r="148">
          <cell r="D148" t="str">
            <v>Deckputz (Weissputz) [kg]</v>
          </cell>
          <cell r="G148" t="str">
            <v>G4.2</v>
          </cell>
          <cell r="H148">
            <v>1100</v>
          </cell>
          <cell r="I148">
            <v>0.31818181818181818</v>
          </cell>
          <cell r="L148">
            <v>0.14699999999999999</v>
          </cell>
        </row>
        <row r="149">
          <cell r="D149" t="str">
            <v>Wanddispersion [m2]</v>
          </cell>
          <cell r="G149" t="str">
            <v>G4.2</v>
          </cell>
          <cell r="H149">
            <v>150</v>
          </cell>
          <cell r="I149">
            <v>0.2</v>
          </cell>
          <cell r="L149">
            <v>4.5333333333333341</v>
          </cell>
        </row>
        <row r="152">
          <cell r="D152" t="str">
            <v>Hochbaubeton 40 cm [kg]</v>
          </cell>
          <cell r="G152" t="str">
            <v>C4.4</v>
          </cell>
          <cell r="H152">
            <v>2300</v>
          </cell>
          <cell r="I152">
            <v>39.248407643312106</v>
          </cell>
          <cell r="L152">
            <v>9.9199999999999997E-2</v>
          </cell>
        </row>
        <row r="153">
          <cell r="D153" t="str">
            <v>Armierungsstahl (Bewehrungsgehalt 147.5 kg/m3) [kg]</v>
          </cell>
          <cell r="G153" t="str">
            <v>C4.4</v>
          </cell>
          <cell r="H153">
            <v>7850</v>
          </cell>
          <cell r="I153">
            <v>0.75159235668789814</v>
          </cell>
          <cell r="L153">
            <v>0.68200000000000005</v>
          </cell>
        </row>
        <row r="154">
          <cell r="D154" t="str">
            <v>3-SP Schalung 2.5 cm (Annahme 5xverwendet) [kg]</v>
          </cell>
          <cell r="G154" t="str">
            <v>C4.4</v>
          </cell>
          <cell r="H154">
            <v>470</v>
          </cell>
          <cell r="I154">
            <v>1.0000000000000002</v>
          </cell>
          <cell r="L154">
            <v>0.52300000000000002</v>
          </cell>
        </row>
        <row r="155">
          <cell r="D155" t="str">
            <v>Kalk-Zementgrundputz [kg]</v>
          </cell>
          <cell r="G155" t="str">
            <v>G4.1</v>
          </cell>
          <cell r="H155">
            <v>1550</v>
          </cell>
          <cell r="I155">
            <v>1.1612903225806452</v>
          </cell>
          <cell r="L155">
            <v>0.247</v>
          </cell>
        </row>
        <row r="156">
          <cell r="D156" t="str">
            <v>Deckputz (Weissputz) [kg]</v>
          </cell>
          <cell r="G156" t="str">
            <v>G4.2</v>
          </cell>
          <cell r="H156">
            <v>1100</v>
          </cell>
          <cell r="I156">
            <v>0.31818181818181818</v>
          </cell>
          <cell r="L156">
            <v>0.14699999999999999</v>
          </cell>
        </row>
        <row r="157">
          <cell r="D157" t="str">
            <v>Wanddispersion [m2]</v>
          </cell>
          <cell r="G157" t="str">
            <v>G4.2</v>
          </cell>
          <cell r="H157">
            <v>150</v>
          </cell>
          <cell r="I157">
            <v>0.2</v>
          </cell>
          <cell r="L157">
            <v>4.5333333333333341</v>
          </cell>
        </row>
        <row r="160">
          <cell r="D160" t="str">
            <v>Hochbaubeton 25 cm [kg]</v>
          </cell>
          <cell r="G160" t="str">
            <v>C4.4</v>
          </cell>
          <cell r="H160">
            <v>2300</v>
          </cell>
          <cell r="I160">
            <v>24.745222929936304</v>
          </cell>
          <cell r="L160">
            <v>9.9199999999999997E-2</v>
          </cell>
        </row>
        <row r="161">
          <cell r="D161" t="str">
            <v>Armierungsstahl (Bewehrungsgehalt 80 kg/m3) [kg]</v>
          </cell>
          <cell r="G161" t="str">
            <v>C4.4</v>
          </cell>
          <cell r="H161">
            <v>7850</v>
          </cell>
          <cell r="I161">
            <v>0.25477707006369427</v>
          </cell>
          <cell r="L161">
            <v>0.68200000000000005</v>
          </cell>
        </row>
        <row r="162">
          <cell r="D162" t="str">
            <v>Stahlblech [kg]</v>
          </cell>
          <cell r="G162" t="str">
            <v>C4.4</v>
          </cell>
          <cell r="H162">
            <v>7850</v>
          </cell>
          <cell r="I162">
            <v>0.16560509554140126</v>
          </cell>
          <cell r="L162">
            <v>3.51</v>
          </cell>
        </row>
        <row r="163">
          <cell r="D163" t="str">
            <v>Stahlträger [kg]</v>
          </cell>
          <cell r="G163" t="str">
            <v>C4.4</v>
          </cell>
          <cell r="H163">
            <v>7850</v>
          </cell>
          <cell r="I163">
            <v>0.12738853503184713</v>
          </cell>
          <cell r="L163">
            <v>0.73399999999999999</v>
          </cell>
        </row>
        <row r="166">
          <cell r="D166" t="str">
            <v>3-SP [kg]</v>
          </cell>
          <cell r="G166" t="str">
            <v>C4.4</v>
          </cell>
          <cell r="H166">
            <v>470</v>
          </cell>
          <cell r="I166">
            <v>2</v>
          </cell>
          <cell r="L166">
            <v>0.52300000000000002</v>
          </cell>
        </row>
        <row r="167">
          <cell r="D167" t="str">
            <v>Nadelschnittholz [kg]</v>
          </cell>
          <cell r="G167" t="str">
            <v>C4.4</v>
          </cell>
          <cell r="H167">
            <v>465</v>
          </cell>
          <cell r="I167">
            <v>23</v>
          </cell>
          <cell r="L167">
            <v>0.14299999999999999</v>
          </cell>
        </row>
        <row r="168">
          <cell r="D168" t="str">
            <v>Nadelschnittholz [kg]</v>
          </cell>
          <cell r="G168" t="str">
            <v>G4.1</v>
          </cell>
          <cell r="H168">
            <v>485</v>
          </cell>
          <cell r="I168">
            <v>0.4</v>
          </cell>
          <cell r="L168">
            <v>0.10100000000000001</v>
          </cell>
        </row>
        <row r="169">
          <cell r="D169" t="str">
            <v>Gipskartonplatte [kg]</v>
          </cell>
          <cell r="G169" t="str">
            <v>G4.1</v>
          </cell>
          <cell r="H169">
            <v>850</v>
          </cell>
          <cell r="I169">
            <v>1.25</v>
          </cell>
          <cell r="L169">
            <v>0.29299999999999998</v>
          </cell>
        </row>
        <row r="170">
          <cell r="D170" t="str">
            <v>Spachtel [kg]</v>
          </cell>
          <cell r="G170" t="str">
            <v>G4.2</v>
          </cell>
          <cell r="H170">
            <v>925</v>
          </cell>
          <cell r="I170">
            <v>0.60540540540540544</v>
          </cell>
          <cell r="L170">
            <v>0.155</v>
          </cell>
        </row>
        <row r="171">
          <cell r="D171" t="str">
            <v>Wanddispersion [m2]</v>
          </cell>
          <cell r="G171" t="str">
            <v>G4.2</v>
          </cell>
          <cell r="H171">
            <v>150</v>
          </cell>
          <cell r="I171">
            <v>0.2</v>
          </cell>
          <cell r="L171">
            <v>4.5333333333333341</v>
          </cell>
        </row>
        <row r="174">
          <cell r="D174" t="str">
            <v>Nadelschnittholz [kg]</v>
          </cell>
          <cell r="G174" t="str">
            <v>C4.4</v>
          </cell>
          <cell r="H174">
            <v>465</v>
          </cell>
          <cell r="I174">
            <v>5.6000000000000005</v>
          </cell>
          <cell r="L174">
            <v>0.14299999999999999</v>
          </cell>
        </row>
        <row r="175">
          <cell r="D175" t="str">
            <v>Sperrholz für Feuchtebreich [kg]</v>
          </cell>
          <cell r="G175" t="str">
            <v>C4.4</v>
          </cell>
          <cell r="H175">
            <v>500</v>
          </cell>
          <cell r="I175">
            <v>2.4</v>
          </cell>
          <cell r="L175">
            <v>1.46</v>
          </cell>
        </row>
        <row r="176">
          <cell r="D176" t="str">
            <v>MF-Klebstoff</v>
          </cell>
          <cell r="G176" t="str">
            <v>C4.4</v>
          </cell>
          <cell r="H176">
            <v>1500</v>
          </cell>
          <cell r="I176">
            <v>1.8666666666666668E-2</v>
          </cell>
          <cell r="L176">
            <v>5.95</v>
          </cell>
        </row>
        <row r="177">
          <cell r="D177" t="str">
            <v>Nadelschnittholz [kg]</v>
          </cell>
          <cell r="G177" t="str">
            <v>G4.1</v>
          </cell>
          <cell r="H177">
            <v>485</v>
          </cell>
          <cell r="I177">
            <v>0.4</v>
          </cell>
          <cell r="L177">
            <v>0.10100000000000001</v>
          </cell>
        </row>
        <row r="178">
          <cell r="D178" t="str">
            <v>Gipskartonplatte [kg]</v>
          </cell>
          <cell r="G178" t="str">
            <v>G4.1</v>
          </cell>
          <cell r="H178">
            <v>850</v>
          </cell>
          <cell r="I178">
            <v>1.25</v>
          </cell>
          <cell r="L178">
            <v>0.29299999999999998</v>
          </cell>
        </row>
        <row r="179">
          <cell r="D179" t="str">
            <v>Spachtel [kg]</v>
          </cell>
          <cell r="G179" t="str">
            <v>G4.2</v>
          </cell>
          <cell r="H179">
            <v>925</v>
          </cell>
          <cell r="I179">
            <v>0.60540540540540544</v>
          </cell>
          <cell r="L179">
            <v>0.155</v>
          </cell>
        </row>
        <row r="180">
          <cell r="D180" t="str">
            <v>Wanddispersion [m2]</v>
          </cell>
          <cell r="G180" t="str">
            <v>G4.2</v>
          </cell>
          <cell r="H180">
            <v>150</v>
          </cell>
          <cell r="I180">
            <v>0.2</v>
          </cell>
          <cell r="L180">
            <v>4.5333333333333341</v>
          </cell>
        </row>
        <row r="185">
          <cell r="D185" t="str">
            <v>EPS 25 Standard, 22 cm, 25 kg/m3 [kg]</v>
          </cell>
          <cell r="G185" t="str">
            <v>F1.2</v>
          </cell>
          <cell r="H185">
            <v>25</v>
          </cell>
          <cell r="I185">
            <v>22</v>
          </cell>
          <cell r="L185">
            <v>7.64</v>
          </cell>
        </row>
        <row r="186">
          <cell r="D186" t="str">
            <v>2 x EGV3 Polymerbitumenbahn [kg]</v>
          </cell>
          <cell r="G186" t="str">
            <v>F1.2</v>
          </cell>
          <cell r="H186">
            <v>1100</v>
          </cell>
          <cell r="I186">
            <v>0.65454545454545454</v>
          </cell>
          <cell r="L186">
            <v>3.54</v>
          </cell>
        </row>
        <row r="187">
          <cell r="D187" t="str">
            <v>Bitumenemulsion [m2]</v>
          </cell>
          <cell r="G187" t="str">
            <v>F1.2</v>
          </cell>
          <cell r="H187">
            <v>125</v>
          </cell>
          <cell r="I187">
            <v>0.2</v>
          </cell>
          <cell r="L187">
            <v>2.8239999999999998</v>
          </cell>
        </row>
        <row r="188">
          <cell r="D188" t="str">
            <v>1x EP4 Polymerbitumenbahn [kg]</v>
          </cell>
          <cell r="G188" t="str">
            <v>F1.2</v>
          </cell>
          <cell r="H188">
            <v>1100</v>
          </cell>
          <cell r="I188">
            <v>0.47272727272727277</v>
          </cell>
          <cell r="L188">
            <v>3.25</v>
          </cell>
        </row>
        <row r="189">
          <cell r="D189" t="str">
            <v>PP-Vlies Trenn-/Schutzvlies [kg]</v>
          </cell>
          <cell r="G189" t="str">
            <v>F1.2</v>
          </cell>
          <cell r="H189">
            <v>920</v>
          </cell>
          <cell r="I189">
            <v>1.5217391304347827E-2</v>
          </cell>
          <cell r="L189">
            <v>5.53</v>
          </cell>
        </row>
        <row r="190">
          <cell r="D190" t="str">
            <v>Kies 3 cm [kg]</v>
          </cell>
          <cell r="G190" t="str">
            <v>F1.2</v>
          </cell>
          <cell r="H190">
            <v>2000</v>
          </cell>
          <cell r="I190">
            <v>2.25</v>
          </cell>
          <cell r="L190">
            <v>1.17E-2</v>
          </cell>
        </row>
        <row r="191">
          <cell r="D191" t="str">
            <v>Substrat 7 cm [kg]</v>
          </cell>
          <cell r="G191" t="str">
            <v>F1.2</v>
          </cell>
          <cell r="H191">
            <v>2000</v>
          </cell>
          <cell r="I191">
            <v>3.5000000000000004</v>
          </cell>
          <cell r="L191">
            <v>1.4E-2</v>
          </cell>
        </row>
        <row r="194">
          <cell r="D194" t="str">
            <v>PUR, 16 cm, 30 kg/m3 [kg]</v>
          </cell>
          <cell r="G194" t="str">
            <v>F1.2</v>
          </cell>
          <cell r="H194">
            <v>30</v>
          </cell>
          <cell r="I194">
            <v>16</v>
          </cell>
          <cell r="L194">
            <v>7.52</v>
          </cell>
        </row>
        <row r="195">
          <cell r="D195" t="str">
            <v>2 x EGV3 Polymerbitumenbahn [kg]</v>
          </cell>
          <cell r="G195" t="str">
            <v>F1.2</v>
          </cell>
          <cell r="H195">
            <v>1100</v>
          </cell>
          <cell r="I195">
            <v>0.65454545454545454</v>
          </cell>
          <cell r="L195">
            <v>3.54</v>
          </cell>
        </row>
        <row r="196">
          <cell r="D196" t="str">
            <v>Bitumenemulsion [m2]</v>
          </cell>
          <cell r="G196" t="str">
            <v>F1.2</v>
          </cell>
          <cell r="H196">
            <v>125</v>
          </cell>
          <cell r="I196">
            <v>0.2</v>
          </cell>
          <cell r="L196">
            <v>2.8239999999999998</v>
          </cell>
        </row>
        <row r="197">
          <cell r="D197" t="str">
            <v>1x EP4 Polymerbitumenbahn [kg]</v>
          </cell>
          <cell r="G197" t="str">
            <v>F1.2</v>
          </cell>
          <cell r="H197">
            <v>1100</v>
          </cell>
          <cell r="I197">
            <v>0.47272727272727277</v>
          </cell>
          <cell r="L197">
            <v>3.25</v>
          </cell>
        </row>
        <row r="198">
          <cell r="D198" t="str">
            <v>PP-Vlies Trenn-/Schutzvlies [kg]</v>
          </cell>
          <cell r="G198" t="str">
            <v>F1.2</v>
          </cell>
          <cell r="H198">
            <v>920</v>
          </cell>
          <cell r="I198">
            <v>1.5217391304347827E-2</v>
          </cell>
          <cell r="L198">
            <v>5.53</v>
          </cell>
        </row>
        <row r="199">
          <cell r="D199" t="str">
            <v>Kies 3 cm [kg]</v>
          </cell>
          <cell r="G199" t="str">
            <v>F1.2</v>
          </cell>
          <cell r="H199">
            <v>2000</v>
          </cell>
          <cell r="I199">
            <v>2.25</v>
          </cell>
          <cell r="L199">
            <v>1.17E-2</v>
          </cell>
        </row>
        <row r="200">
          <cell r="D200" t="str">
            <v>Substrat 7 cm [kg]</v>
          </cell>
          <cell r="G200" t="str">
            <v>F1.2</v>
          </cell>
          <cell r="H200">
            <v>2000</v>
          </cell>
          <cell r="I200">
            <v>3.5000000000000004</v>
          </cell>
          <cell r="L200">
            <v>1.4E-2</v>
          </cell>
        </row>
        <row r="203">
          <cell r="D203" t="str">
            <v>Steinwolle 28 cm, 160kg/m3 [kg]</v>
          </cell>
          <cell r="G203" t="str">
            <v>F1.2</v>
          </cell>
          <cell r="H203">
            <v>160</v>
          </cell>
          <cell r="I203">
            <v>28.000000000000004</v>
          </cell>
          <cell r="L203">
            <v>1.1299999999999999</v>
          </cell>
        </row>
        <row r="204">
          <cell r="D204" t="str">
            <v>2 x EGV3 Polymerbitumenbahn [kg]</v>
          </cell>
          <cell r="G204" t="str">
            <v>F1.2</v>
          </cell>
          <cell r="H204">
            <v>1100</v>
          </cell>
          <cell r="I204">
            <v>0.65454545454545454</v>
          </cell>
          <cell r="L204">
            <v>3.54</v>
          </cell>
        </row>
        <row r="205">
          <cell r="D205" t="str">
            <v>Bitumenemulsion [m2]</v>
          </cell>
          <cell r="G205" t="str">
            <v>F1.2</v>
          </cell>
          <cell r="H205">
            <v>125</v>
          </cell>
          <cell r="I205">
            <v>0.2</v>
          </cell>
          <cell r="L205">
            <v>2.8239999999999998</v>
          </cell>
        </row>
        <row r="206">
          <cell r="D206" t="str">
            <v>1x EP4 Polymerbitumenbahn [kg]</v>
          </cell>
          <cell r="G206" t="str">
            <v>F1.2</v>
          </cell>
          <cell r="H206">
            <v>1100</v>
          </cell>
          <cell r="I206">
            <v>0.47272727272727277</v>
          </cell>
          <cell r="L206">
            <v>3.25</v>
          </cell>
        </row>
        <row r="207">
          <cell r="D207" t="str">
            <v>PP-Vlies Trenn-/Schutzvlies [kg]</v>
          </cell>
          <cell r="G207" t="str">
            <v>F1.2</v>
          </cell>
          <cell r="H207">
            <v>920</v>
          </cell>
          <cell r="I207">
            <v>1.5217391304347827E-2</v>
          </cell>
          <cell r="L207">
            <v>5.53</v>
          </cell>
        </row>
        <row r="208">
          <cell r="D208" t="str">
            <v>Kies 3 cm [kg]</v>
          </cell>
          <cell r="G208" t="str">
            <v>F1.2</v>
          </cell>
          <cell r="H208">
            <v>2000</v>
          </cell>
          <cell r="I208">
            <v>2.25</v>
          </cell>
          <cell r="L208">
            <v>1.17E-2</v>
          </cell>
        </row>
        <row r="209">
          <cell r="D209" t="str">
            <v>Substrat 7cm [kg]</v>
          </cell>
          <cell r="G209" t="str">
            <v>F1.2</v>
          </cell>
          <cell r="H209">
            <v>2000</v>
          </cell>
          <cell r="I209">
            <v>3.5000000000000004</v>
          </cell>
          <cell r="L209">
            <v>1.4E-2</v>
          </cell>
        </row>
        <row r="215">
          <cell r="D215" t="str">
            <v>Bitumenemulsion [m2]</v>
          </cell>
          <cell r="G215" t="str">
            <v>F1.2</v>
          </cell>
          <cell r="H215">
            <v>125</v>
          </cell>
          <cell r="I215">
            <v>0.2</v>
          </cell>
        </row>
        <row r="216">
          <cell r="D216" t="str">
            <v>2x EP4 Polymerbitumenbahn [kg]</v>
          </cell>
          <cell r="G216" t="str">
            <v>F1.2</v>
          </cell>
          <cell r="H216">
            <v>1100</v>
          </cell>
          <cell r="I216">
            <v>0.94545454545454555</v>
          </cell>
        </row>
        <row r="217">
          <cell r="D217" t="str">
            <v>PP-Vlies Trenn-/Schutzvlies [kg]</v>
          </cell>
          <cell r="G217" t="str">
            <v>F1.2</v>
          </cell>
          <cell r="H217">
            <v>920</v>
          </cell>
          <cell r="I217">
            <v>1.5217391304347827E-2</v>
          </cell>
        </row>
        <row r="218">
          <cell r="D218" t="str">
            <v>Kies 3 cm [kg]</v>
          </cell>
          <cell r="G218" t="str">
            <v>F1.2</v>
          </cell>
          <cell r="H218">
            <v>2000</v>
          </cell>
          <cell r="I218">
            <v>2.25</v>
          </cell>
        </row>
        <row r="219">
          <cell r="D219" t="str">
            <v>Substrat 7 cm [kg]</v>
          </cell>
          <cell r="G219" t="str">
            <v>F1.2</v>
          </cell>
          <cell r="H219">
            <v>2000</v>
          </cell>
          <cell r="I219">
            <v>3.5000000000000004</v>
          </cell>
        </row>
        <row r="223">
          <cell r="D223" t="str">
            <v>Konter- und Ziegellattung aus Nadelschnittholz [kg]</v>
          </cell>
          <cell r="G223" t="str">
            <v>F1.3</v>
          </cell>
          <cell r="H223">
            <v>485</v>
          </cell>
          <cell r="I223">
            <v>0.33037997054491902</v>
          </cell>
        </row>
        <row r="224">
          <cell r="D224" t="str">
            <v>Unterdachfolie: PP-Vlies [kg]</v>
          </cell>
          <cell r="G224" t="str">
            <v>F1.3</v>
          </cell>
          <cell r="H224">
            <v>920</v>
          </cell>
          <cell r="I224">
            <v>1.5217391304347827E-2</v>
          </cell>
        </row>
        <row r="225">
          <cell r="D225" t="str">
            <v>Ziegeleindeckeung [kg]</v>
          </cell>
          <cell r="G225" t="str">
            <v>F1.3</v>
          </cell>
          <cell r="H225">
            <v>1700</v>
          </cell>
          <cell r="I225">
            <v>2.9411764705882351</v>
          </cell>
        </row>
        <row r="226">
          <cell r="D226" t="str">
            <v>Befestigung mit verzinkten Stahlschrauben [kg]</v>
          </cell>
          <cell r="G226" t="str">
            <v>F1.3</v>
          </cell>
          <cell r="H226">
            <v>7850</v>
          </cell>
          <cell r="I226">
            <v>2.7925590000000009E-3</v>
          </cell>
        </row>
        <row r="227">
          <cell r="D227" t="str">
            <v>Steinwolle (90 kg/m3)</v>
          </cell>
          <cell r="G227" t="str">
            <v>F1.3</v>
          </cell>
          <cell r="H227">
            <v>90</v>
          </cell>
          <cell r="I227">
            <v>22</v>
          </cell>
        </row>
        <row r="228">
          <cell r="D228" t="str">
            <v>PE Dampfbremse [kg]</v>
          </cell>
          <cell r="G228" t="str">
            <v>F1.3</v>
          </cell>
          <cell r="H228">
            <v>920</v>
          </cell>
          <cell r="I228">
            <v>1.9565217391304346E-2</v>
          </cell>
        </row>
        <row r="231">
          <cell r="D231" t="str">
            <v>Konter- und Ziegellattung aus Nadelschnittholz [kg]</v>
          </cell>
          <cell r="G231" t="str">
            <v>F1.3</v>
          </cell>
          <cell r="H231">
            <v>485</v>
          </cell>
          <cell r="I231">
            <v>0.33037997054491902</v>
          </cell>
        </row>
        <row r="232">
          <cell r="D232" t="str">
            <v>Unterdachfolie: PP-Vlies [kg]</v>
          </cell>
          <cell r="G232" t="str">
            <v>F1.3</v>
          </cell>
          <cell r="H232">
            <v>920</v>
          </cell>
          <cell r="I232">
            <v>1.5217391304347827E-2</v>
          </cell>
        </row>
        <row r="233">
          <cell r="D233" t="str">
            <v>Ziegeleindeckeung [kg]</v>
          </cell>
          <cell r="G233" t="str">
            <v>F1.3</v>
          </cell>
          <cell r="H233">
            <v>1700</v>
          </cell>
          <cell r="I233">
            <v>2.9411764705882351</v>
          </cell>
        </row>
        <row r="234">
          <cell r="D234" t="str">
            <v>Befestigung mit verzinkten Stahlschrauben [kg]</v>
          </cell>
          <cell r="G234" t="str">
            <v>F1.3</v>
          </cell>
          <cell r="H234">
            <v>7850</v>
          </cell>
          <cell r="I234">
            <v>2.7925590000000009E-3</v>
          </cell>
        </row>
        <row r="235">
          <cell r="D235" t="str">
            <v>Glaswolle (60 kg/m3)</v>
          </cell>
          <cell r="G235" t="str">
            <v>F1.3</v>
          </cell>
          <cell r="H235">
            <v>60</v>
          </cell>
          <cell r="I235">
            <v>22</v>
          </cell>
        </row>
        <row r="236">
          <cell r="D236" t="str">
            <v>PE Dampfbremse [kg]</v>
          </cell>
          <cell r="G236" t="str">
            <v>F1.3</v>
          </cell>
          <cell r="H236">
            <v>920</v>
          </cell>
          <cell r="I236">
            <v>1.9565217391304346E-2</v>
          </cell>
        </row>
        <row r="242">
          <cell r="D242" t="str">
            <v>Konter- und Ziegellattung aus Nadelschnittholz [kg]</v>
          </cell>
          <cell r="G242" t="str">
            <v>F1.3</v>
          </cell>
          <cell r="H242">
            <v>485</v>
          </cell>
          <cell r="I242">
            <v>0.33037997054491902</v>
          </cell>
        </row>
        <row r="243">
          <cell r="D243" t="str">
            <v>Unterdachfolie: PP-Vlies [kg]</v>
          </cell>
          <cell r="G243" t="str">
            <v>F1.3</v>
          </cell>
          <cell r="H243">
            <v>920</v>
          </cell>
          <cell r="I243">
            <v>1.5217391304347827E-2</v>
          </cell>
        </row>
        <row r="244">
          <cell r="D244" t="str">
            <v>Ziegeleindeckeung [kg]</v>
          </cell>
          <cell r="G244" t="str">
            <v>F1.3</v>
          </cell>
          <cell r="H244">
            <v>1700</v>
          </cell>
          <cell r="I244">
            <v>2.9411764705882351</v>
          </cell>
        </row>
        <row r="245">
          <cell r="D245" t="str">
            <v>Befestigung mit verzinkten Stahlschrauben [kg]</v>
          </cell>
          <cell r="G245" t="str">
            <v>F1.3</v>
          </cell>
          <cell r="H245">
            <v>7850</v>
          </cell>
          <cell r="I245">
            <v>2.7925590000000009E-3</v>
          </cell>
        </row>
      </sheetData>
      <sheetData sheetId="4">
        <row r="4">
          <cell r="D4" t="str">
            <v>Hochbaubeton, 20 cm [kg]</v>
          </cell>
          <cell r="G4" t="str">
            <v>C2.2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C2.2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C2.2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2.3225806451612905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0.63636363636363635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15 cm Backstein [kg]</v>
          </cell>
          <cell r="G12" t="str">
            <v>C2.2</v>
          </cell>
          <cell r="H12">
            <v>900</v>
          </cell>
          <cell r="I12">
            <v>15</v>
          </cell>
          <cell r="L12">
            <v>0.25800000000000001</v>
          </cell>
        </row>
        <row r="13">
          <cell r="D13" t="str">
            <v>Mörtel [kg]</v>
          </cell>
          <cell r="G13" t="str">
            <v>C2.2</v>
          </cell>
          <cell r="H13">
            <v>1550</v>
          </cell>
          <cell r="I13">
            <v>2.8097419354838711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2.3225806451612905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0.63636363636363635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15 cm Kalksandstein [kg]</v>
          </cell>
          <cell r="G19" t="str">
            <v>C2.2</v>
          </cell>
          <cell r="H19">
            <v>1400</v>
          </cell>
          <cell r="I19">
            <v>15</v>
          </cell>
          <cell r="L19">
            <v>0.13800000000000001</v>
          </cell>
        </row>
        <row r="20">
          <cell r="D20" t="str">
            <v>Mörtel [kg]</v>
          </cell>
          <cell r="G20" t="str">
            <v>C2.2</v>
          </cell>
          <cell r="H20">
            <v>1550</v>
          </cell>
          <cell r="I20">
            <v>2.3935483870967742</v>
          </cell>
          <cell r="L20">
            <v>0.26900000000000002</v>
          </cell>
        </row>
        <row r="21">
          <cell r="D21" t="str">
            <v>Kalk-Zementgrundputz [kg]</v>
          </cell>
          <cell r="G21" t="str">
            <v>G3.1</v>
          </cell>
          <cell r="H21">
            <v>1550</v>
          </cell>
          <cell r="I21">
            <v>2.3225806451612905</v>
          </cell>
          <cell r="L21">
            <v>0.247</v>
          </cell>
        </row>
        <row r="22">
          <cell r="D22" t="str">
            <v>Deckputz (Weissputz) [kg]</v>
          </cell>
          <cell r="G22" t="str">
            <v>G3.2</v>
          </cell>
          <cell r="H22">
            <v>1100</v>
          </cell>
          <cell r="I22">
            <v>0.63636363636363635</v>
          </cell>
          <cell r="L22">
            <v>0.14699999999999999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9">
          <cell r="D29" t="str">
            <v>4 x 12.5 mm Gipskartonplatten [kg]</v>
          </cell>
          <cell r="G29" t="str">
            <v>C2.2</v>
          </cell>
          <cell r="H29">
            <v>850</v>
          </cell>
          <cell r="I29">
            <v>5</v>
          </cell>
          <cell r="L29">
            <v>0.29299999999999998</v>
          </cell>
        </row>
        <row r="30">
          <cell r="D30" t="str">
            <v>Stahlprofile verzinkt [kg]</v>
          </cell>
          <cell r="G30" t="str">
            <v>C2.2</v>
          </cell>
          <cell r="H30">
            <v>7850</v>
          </cell>
          <cell r="I30">
            <v>3.3630573248407646E-2</v>
          </cell>
          <cell r="L30">
            <v>0.73399999999999999</v>
          </cell>
        </row>
        <row r="31">
          <cell r="D31" t="str">
            <v>Glaswolle [kg]</v>
          </cell>
          <cell r="G31" t="str">
            <v>C2.2</v>
          </cell>
          <cell r="H31">
            <v>20</v>
          </cell>
          <cell r="I31">
            <v>5</v>
          </cell>
          <cell r="L31">
            <v>1.1299999999999999</v>
          </cell>
        </row>
        <row r="32">
          <cell r="D32" t="str">
            <v>Spachtel [kg]</v>
          </cell>
          <cell r="G32" t="str">
            <v>G3.2</v>
          </cell>
          <cell r="H32">
            <v>925</v>
          </cell>
          <cell r="I32">
            <v>1.2108108108108109</v>
          </cell>
          <cell r="L32">
            <v>0.155</v>
          </cell>
        </row>
        <row r="33">
          <cell r="D33" t="str">
            <v>Wanddispersion [m2]</v>
          </cell>
          <cell r="G33" t="str">
            <v>G3.2</v>
          </cell>
          <cell r="H33">
            <v>150</v>
          </cell>
          <cell r="I33">
            <v>0.2</v>
          </cell>
          <cell r="L33">
            <v>4.5333333333333341</v>
          </cell>
        </row>
        <row r="36">
          <cell r="D36" t="str">
            <v>2 x 12.5 mm und 2 x 10mm Gipsfaserplatten [kg]</v>
          </cell>
          <cell r="G36" t="str">
            <v>C2.2</v>
          </cell>
          <cell r="H36">
            <v>1200</v>
          </cell>
          <cell r="I36">
            <v>4.5</v>
          </cell>
          <cell r="L36">
            <v>0.53700000000000003</v>
          </cell>
        </row>
        <row r="37">
          <cell r="D37" t="str">
            <v>Stahlprofile verzinkt [kg]</v>
          </cell>
          <cell r="G37" t="str">
            <v>C2.2</v>
          </cell>
          <cell r="H37">
            <v>7850</v>
          </cell>
          <cell r="I37">
            <v>1.6799999999999999E-2</v>
          </cell>
          <cell r="L37">
            <v>0.73399999999999999</v>
          </cell>
        </row>
        <row r="38">
          <cell r="D38" t="str">
            <v>Steinwolle [kg]</v>
          </cell>
          <cell r="G38" t="str">
            <v>C2.2</v>
          </cell>
          <cell r="H38">
            <v>32</v>
          </cell>
          <cell r="I38">
            <v>6.25</v>
          </cell>
          <cell r="L38">
            <v>1.1299999999999999</v>
          </cell>
        </row>
        <row r="39">
          <cell r="D39" t="str">
            <v>Spachtel [kg]</v>
          </cell>
          <cell r="G39" t="str">
            <v>G3.2</v>
          </cell>
          <cell r="H39">
            <v>925</v>
          </cell>
          <cell r="I39">
            <v>1.2108108108108109</v>
          </cell>
          <cell r="L39">
            <v>0.155</v>
          </cell>
        </row>
        <row r="40">
          <cell r="D40" t="str">
            <v>Wanddispersion [m2]</v>
          </cell>
          <cell r="G40" t="str">
            <v>G3.2</v>
          </cell>
          <cell r="H40">
            <v>150</v>
          </cell>
          <cell r="I40">
            <v>0.2</v>
          </cell>
          <cell r="L40">
            <v>4.5333333333333341</v>
          </cell>
        </row>
        <row r="46">
          <cell r="D46" t="str">
            <v>Hochbaubeton 25 cm [kg]</v>
          </cell>
          <cell r="G46" t="str">
            <v>C4.1</v>
          </cell>
          <cell r="H46">
            <v>2300</v>
          </cell>
          <cell r="I46">
            <v>24.649681528662423</v>
          </cell>
          <cell r="L46">
            <v>9.9199999999999997E-2</v>
          </cell>
        </row>
        <row r="47">
          <cell r="D47" t="str">
            <v>Armierungsstahl (Bewehrungsgehalt 90 kg/m3) [kg]</v>
          </cell>
          <cell r="G47" t="str">
            <v>C4.1</v>
          </cell>
          <cell r="H47">
            <v>7850</v>
          </cell>
          <cell r="I47">
            <v>0.35031847133757965</v>
          </cell>
          <cell r="L47">
            <v>0.68200000000000005</v>
          </cell>
        </row>
        <row r="48">
          <cell r="D48" t="str">
            <v>3-SP Schalung 2.5cm (Annahme 5xverwendet) [kg]</v>
          </cell>
          <cell r="G48" t="str">
            <v>C4.1</v>
          </cell>
          <cell r="H48">
            <v>470</v>
          </cell>
          <cell r="I48">
            <v>1.0000000000000002</v>
          </cell>
          <cell r="L48">
            <v>0.52300000000000002</v>
          </cell>
        </row>
        <row r="49">
          <cell r="D49" t="str">
            <v>Kalk-Zementgrundputz [kg]</v>
          </cell>
          <cell r="G49" t="str">
            <v>G4.1</v>
          </cell>
          <cell r="H49">
            <v>1550</v>
          </cell>
          <cell r="I49">
            <v>1.1612903225806452</v>
          </cell>
          <cell r="L49">
            <v>0.247</v>
          </cell>
        </row>
        <row r="50">
          <cell r="D50" t="str">
            <v>Deckputz (Weissputz) [kg]</v>
          </cell>
          <cell r="G50" t="str">
            <v>G4.2</v>
          </cell>
          <cell r="H50">
            <v>1100</v>
          </cell>
          <cell r="I50">
            <v>0.31818181818181818</v>
          </cell>
          <cell r="L50">
            <v>0.14699999999999999</v>
          </cell>
        </row>
        <row r="51">
          <cell r="D51" t="str">
            <v>Wanddispersion [m2]</v>
          </cell>
          <cell r="G51" t="str">
            <v>G4.2</v>
          </cell>
          <cell r="H51">
            <v>150</v>
          </cell>
          <cell r="I51">
            <v>0.2</v>
          </cell>
          <cell r="L51">
            <v>4.5333333333333341</v>
          </cell>
        </row>
        <row r="54">
          <cell r="D54" t="str">
            <v>Nadelschnittholz [kg]</v>
          </cell>
          <cell r="G54" t="str">
            <v>C4.1</v>
          </cell>
          <cell r="H54">
            <v>465</v>
          </cell>
          <cell r="I54">
            <v>8.9599999999999991</v>
          </cell>
          <cell r="L54">
            <v>0.14299999999999999</v>
          </cell>
        </row>
        <row r="55">
          <cell r="D55" t="str">
            <v>Leim [kg]</v>
          </cell>
          <cell r="G55" t="str">
            <v>C4.1</v>
          </cell>
          <cell r="H55">
            <v>1500</v>
          </cell>
          <cell r="I55">
            <v>1.3333333333333334E-2</v>
          </cell>
          <cell r="L55">
            <v>5.95</v>
          </cell>
        </row>
        <row r="56">
          <cell r="D56" t="str">
            <v>Schüttung [kg]</v>
          </cell>
          <cell r="G56" t="str">
            <v>C4.1</v>
          </cell>
          <cell r="H56">
            <v>2000</v>
          </cell>
          <cell r="I56">
            <v>4</v>
          </cell>
          <cell r="L56">
            <v>1.34E-2</v>
          </cell>
        </row>
        <row r="57">
          <cell r="D57" t="str">
            <v>Nadelschnittholz [kg]</v>
          </cell>
          <cell r="G57" t="str">
            <v>G4.1</v>
          </cell>
          <cell r="H57">
            <v>485</v>
          </cell>
          <cell r="I57">
            <v>0.4</v>
          </cell>
          <cell r="L57">
            <v>0.10100000000000001</v>
          </cell>
        </row>
        <row r="58">
          <cell r="D58" t="str">
            <v>Gipskartonplatte [kg]</v>
          </cell>
          <cell r="G58" t="str">
            <v>G4.1</v>
          </cell>
          <cell r="H58">
            <v>850</v>
          </cell>
          <cell r="I58">
            <v>1.25</v>
          </cell>
          <cell r="L58">
            <v>0.29299999999999998</v>
          </cell>
        </row>
        <row r="59">
          <cell r="D59" t="str">
            <v>Spachtel [kg]</v>
          </cell>
          <cell r="G59" t="str">
            <v>G4.2</v>
          </cell>
          <cell r="H59">
            <v>925</v>
          </cell>
          <cell r="I59">
            <v>0.60540540540540544</v>
          </cell>
          <cell r="L59">
            <v>0.155</v>
          </cell>
        </row>
        <row r="60">
          <cell r="D60" t="str">
            <v>Wanddispersion [m2]</v>
          </cell>
          <cell r="G60" t="str">
            <v>G4.2</v>
          </cell>
          <cell r="H60">
            <v>150</v>
          </cell>
          <cell r="I60">
            <v>0.2</v>
          </cell>
          <cell r="L60">
            <v>4.5333333333333341</v>
          </cell>
        </row>
        <row r="64">
          <cell r="D64" t="str">
            <v>Hochbaubeton 9cm [kg]</v>
          </cell>
          <cell r="G64" t="str">
            <v>C4.1</v>
          </cell>
          <cell r="H64">
            <v>2300</v>
          </cell>
          <cell r="I64">
            <v>8.9656050955414006</v>
          </cell>
          <cell r="L64">
            <v>9.9199999999999997E-2</v>
          </cell>
        </row>
        <row r="65">
          <cell r="D65" t="str">
            <v>Armierungsstahl [kg]</v>
          </cell>
          <cell r="G65" t="str">
            <v>C4.1</v>
          </cell>
          <cell r="H65">
            <v>7850</v>
          </cell>
          <cell r="I65">
            <v>3.4394904458598725E-2</v>
          </cell>
          <cell r="L65">
            <v>0.68200000000000005</v>
          </cell>
        </row>
        <row r="66">
          <cell r="D66" t="str">
            <v>Nadelschnittholz [kg]</v>
          </cell>
          <cell r="G66" t="str">
            <v>C4.1</v>
          </cell>
          <cell r="H66">
            <v>485</v>
          </cell>
          <cell r="I66">
            <v>13</v>
          </cell>
          <cell r="L66">
            <v>0.10100000000000001</v>
          </cell>
        </row>
        <row r="67">
          <cell r="D67" t="str">
            <v>Nadelschnittholz [kg]</v>
          </cell>
          <cell r="G67" t="str">
            <v>G4.1</v>
          </cell>
          <cell r="H67">
            <v>485</v>
          </cell>
          <cell r="I67">
            <v>0.4</v>
          </cell>
          <cell r="L67">
            <v>0.10100000000000001</v>
          </cell>
        </row>
        <row r="68">
          <cell r="D68" t="str">
            <v>Gipskartonplatte [kg]</v>
          </cell>
          <cell r="G68" t="str">
            <v>G4.1</v>
          </cell>
          <cell r="H68">
            <v>850</v>
          </cell>
          <cell r="I68">
            <v>1.25</v>
          </cell>
          <cell r="L68">
            <v>0.29299999999999998</v>
          </cell>
        </row>
        <row r="69">
          <cell r="D69" t="str">
            <v>Spachtel [kg]</v>
          </cell>
          <cell r="G69" t="str">
            <v>G4.2</v>
          </cell>
          <cell r="H69">
            <v>925</v>
          </cell>
          <cell r="I69">
            <v>0.60540540540540544</v>
          </cell>
          <cell r="L69">
            <v>0.155</v>
          </cell>
        </row>
        <row r="70">
          <cell r="D70" t="str">
            <v>Wanddispersion [m2]</v>
          </cell>
          <cell r="G70" t="str">
            <v>G4.2</v>
          </cell>
          <cell r="H70">
            <v>150</v>
          </cell>
          <cell r="I70">
            <v>0.2</v>
          </cell>
          <cell r="L70">
            <v>4.5333333333333341</v>
          </cell>
        </row>
        <row r="73">
          <cell r="D73" t="str">
            <v>Glaswolle (50 kg/m3) [kg]</v>
          </cell>
          <cell r="G73" t="str">
            <v>G4.1</v>
          </cell>
          <cell r="H73">
            <v>50</v>
          </cell>
          <cell r="I73">
            <v>12</v>
          </cell>
          <cell r="L73">
            <v>1.1299999999999999</v>
          </cell>
        </row>
        <row r="74">
          <cell r="D74" t="str">
            <v>PE-Vlies [kg]</v>
          </cell>
          <cell r="G74" t="str">
            <v>G4.1</v>
          </cell>
          <cell r="H74">
            <v>920</v>
          </cell>
          <cell r="I74">
            <v>1.6304347826086956E-2</v>
          </cell>
          <cell r="L74">
            <v>5.53</v>
          </cell>
        </row>
        <row r="77">
          <cell r="D77" t="str">
            <v>Gipsfaserplatte [kg]</v>
          </cell>
          <cell r="G77" t="str">
            <v>G4.1</v>
          </cell>
          <cell r="H77">
            <v>1200</v>
          </cell>
          <cell r="I77">
            <v>1.5625</v>
          </cell>
          <cell r="L77">
            <v>0.53700000000000003</v>
          </cell>
        </row>
        <row r="78">
          <cell r="D78" t="str">
            <v>Stahlprofile verzinkt [kg]</v>
          </cell>
          <cell r="G78" t="str">
            <v>G4.1</v>
          </cell>
          <cell r="H78">
            <v>7850</v>
          </cell>
          <cell r="I78">
            <v>2.802547770700637E-2</v>
          </cell>
          <cell r="L78">
            <v>0.73399999999999999</v>
          </cell>
        </row>
        <row r="79">
          <cell r="D79" t="str">
            <v>Spachtel [kg]</v>
          </cell>
          <cell r="G79" t="str">
            <v>G4.2</v>
          </cell>
          <cell r="H79">
            <v>925</v>
          </cell>
          <cell r="I79">
            <v>0.60540540540540544</v>
          </cell>
          <cell r="L79">
            <v>0.155</v>
          </cell>
        </row>
        <row r="80">
          <cell r="D80" t="str">
            <v>Wanddispersion [m2]</v>
          </cell>
          <cell r="G80" t="str">
            <v>G4.2</v>
          </cell>
          <cell r="H80">
            <v>150</v>
          </cell>
          <cell r="I80">
            <v>0.2</v>
          </cell>
          <cell r="L80">
            <v>4.5333333333333341</v>
          </cell>
        </row>
        <row r="83">
          <cell r="D83" t="str">
            <v>Stahlblech verzinkt [kg]</v>
          </cell>
          <cell r="G83" t="str">
            <v>G4.2</v>
          </cell>
          <cell r="H83">
            <v>7850</v>
          </cell>
          <cell r="I83">
            <v>0.06</v>
          </cell>
          <cell r="L83">
            <v>3.51</v>
          </cell>
        </row>
        <row r="84">
          <cell r="D84" t="str">
            <v>Pulverbeschichten Stahl [m2]</v>
          </cell>
          <cell r="G84" t="str">
            <v>G4.2</v>
          </cell>
          <cell r="H84">
            <v>1000</v>
          </cell>
          <cell r="I84">
            <v>0.01</v>
          </cell>
          <cell r="L84">
            <v>45</v>
          </cell>
        </row>
        <row r="85">
          <cell r="D85" t="str">
            <v>Akustikvlies [kg]</v>
          </cell>
          <cell r="G85" t="str">
            <v>G4.2</v>
          </cell>
          <cell r="H85">
            <v>920</v>
          </cell>
          <cell r="I85">
            <v>8.152173913043478E-3</v>
          </cell>
          <cell r="L85">
            <v>5.53</v>
          </cell>
        </row>
        <row r="86">
          <cell r="D86" t="str">
            <v>Stahlprofile verzinkt [kg]</v>
          </cell>
          <cell r="G86" t="str">
            <v>G4.1</v>
          </cell>
          <cell r="H86">
            <v>7850</v>
          </cell>
          <cell r="I86">
            <v>2.802547770700637E-2</v>
          </cell>
          <cell r="L86">
            <v>0.73399999999999999</v>
          </cell>
        </row>
        <row r="93">
          <cell r="D93" t="str">
            <v>Linoleum [m2]</v>
          </cell>
          <cell r="G93" t="str">
            <v>G2.2</v>
          </cell>
          <cell r="H93">
            <v>1160</v>
          </cell>
          <cell r="I93">
            <v>0.25</v>
          </cell>
          <cell r="L93">
            <v>2.1931034482758625</v>
          </cell>
        </row>
        <row r="94">
          <cell r="D94" t="str">
            <v>Klebstoff [kg]</v>
          </cell>
          <cell r="G94" t="str">
            <v>G2.2</v>
          </cell>
          <cell r="H94">
            <v>1500</v>
          </cell>
          <cell r="I94">
            <v>2.6666666666666668E-2</v>
          </cell>
          <cell r="L94">
            <v>5.95</v>
          </cell>
        </row>
        <row r="97">
          <cell r="D97" t="str">
            <v>Parkett 2-Schicht werkversiegelt, 11 mm [m2]</v>
          </cell>
          <cell r="G97" t="str">
            <v>G2.2</v>
          </cell>
          <cell r="H97">
            <v>554.5454545454545</v>
          </cell>
          <cell r="I97">
            <v>1.1000000000000001</v>
          </cell>
          <cell r="L97">
            <v>1.2311475409836066</v>
          </cell>
        </row>
        <row r="98">
          <cell r="D98" t="str">
            <v>Klebstoff [kg]</v>
          </cell>
          <cell r="G98" t="str">
            <v>G2.2</v>
          </cell>
          <cell r="H98">
            <v>1500</v>
          </cell>
          <cell r="I98">
            <v>6.6666666666666666E-2</v>
          </cell>
          <cell r="L98">
            <v>5.95</v>
          </cell>
        </row>
        <row r="104">
          <cell r="D104" t="str">
            <v>Parkett 2-Schicht werkversiegelt, 11 mm [m2]</v>
          </cell>
          <cell r="G104" t="str">
            <v>G2.2</v>
          </cell>
          <cell r="H104">
            <v>554.5454545454545</v>
          </cell>
          <cell r="I104">
            <v>1.1000000000000001</v>
          </cell>
          <cell r="L104">
            <v>1.2311475409836066</v>
          </cell>
        </row>
        <row r="105">
          <cell r="D105" t="str">
            <v>Klebstoff [kg]</v>
          </cell>
          <cell r="G105" t="str">
            <v>G2.2</v>
          </cell>
          <cell r="H105">
            <v>1500</v>
          </cell>
          <cell r="I105">
            <v>6.6666666666666666E-2</v>
          </cell>
          <cell r="L105">
            <v>5.95</v>
          </cell>
        </row>
        <row r="106">
          <cell r="D106" t="str">
            <v>Zementunterlagsboden 7cm [kg]</v>
          </cell>
          <cell r="G106" t="str">
            <v>G2.1</v>
          </cell>
          <cell r="H106">
            <v>1700</v>
          </cell>
          <cell r="I106">
            <v>7.617647058823529</v>
          </cell>
          <cell r="L106">
            <v>0.129</v>
          </cell>
        </row>
        <row r="107">
          <cell r="D107" t="str">
            <v>PE-Folie</v>
          </cell>
          <cell r="G107" t="str">
            <v>G2.1</v>
          </cell>
          <cell r="H107">
            <v>920</v>
          </cell>
          <cell r="I107">
            <v>1.6304347826086956E-2</v>
          </cell>
          <cell r="L107">
            <v>5.33</v>
          </cell>
        </row>
        <row r="108">
          <cell r="D108" t="str">
            <v>Trittschall 2cm EPS</v>
          </cell>
          <cell r="G108" t="str">
            <v>G2.1</v>
          </cell>
          <cell r="H108">
            <v>13</v>
          </cell>
          <cell r="I108">
            <v>2</v>
          </cell>
          <cell r="L108">
            <v>7.64</v>
          </cell>
        </row>
        <row r="111">
          <cell r="D111" t="str">
            <v>Keramikplatten 9mm [m2]</v>
          </cell>
          <cell r="G111" t="str">
            <v>G2.2</v>
          </cell>
          <cell r="H111">
            <v>1999.9999999999998</v>
          </cell>
          <cell r="L111">
            <v>0.77777777777777779</v>
          </cell>
        </row>
        <row r="112">
          <cell r="D112" t="str">
            <v>Klebemörtel [kg]</v>
          </cell>
          <cell r="G112" t="str">
            <v>G2.2</v>
          </cell>
          <cell r="H112">
            <v>1400</v>
          </cell>
          <cell r="I112">
            <v>0.9285714285714286</v>
          </cell>
          <cell r="L112">
            <v>0.40600000000000003</v>
          </cell>
        </row>
        <row r="113">
          <cell r="D113" t="str">
            <v>Zementunterlagsboden 7cm [kg]</v>
          </cell>
          <cell r="G113" t="str">
            <v>G2.1</v>
          </cell>
          <cell r="H113">
            <v>1700</v>
          </cell>
          <cell r="I113">
            <v>7.617647058823529</v>
          </cell>
          <cell r="L113">
            <v>0.129</v>
          </cell>
        </row>
        <row r="114">
          <cell r="D114" t="str">
            <v>PE-Folie</v>
          </cell>
          <cell r="G114" t="str">
            <v>G2.1</v>
          </cell>
          <cell r="H114">
            <v>920</v>
          </cell>
          <cell r="I114">
            <v>1.6304347826086956E-2</v>
          </cell>
          <cell r="L114">
            <v>5.33</v>
          </cell>
        </row>
        <row r="115">
          <cell r="D115" t="str">
            <v>Trittschall 2cm EPS</v>
          </cell>
          <cell r="G115" t="str">
            <v>G2.1</v>
          </cell>
          <cell r="H115">
            <v>13</v>
          </cell>
          <cell r="I115">
            <v>2</v>
          </cell>
          <cell r="L115">
            <v>7.64</v>
          </cell>
        </row>
        <row r="124">
          <cell r="D124" t="str">
            <v>Balkonkragplatte Ortbeton [kg]</v>
          </cell>
          <cell r="G124" t="str">
            <v>C4.3</v>
          </cell>
          <cell r="H124">
            <v>2300</v>
          </cell>
          <cell r="I124">
            <v>20.375</v>
          </cell>
          <cell r="L124">
            <v>9.9199999999999997E-2</v>
          </cell>
        </row>
        <row r="125">
          <cell r="D125" t="str">
            <v>Bewehrungsstahl [kg]</v>
          </cell>
          <cell r="G125" t="str">
            <v>C4.3</v>
          </cell>
          <cell r="H125">
            <v>7850</v>
          </cell>
          <cell r="I125">
            <v>0.223328025477707</v>
          </cell>
          <cell r="L125">
            <v>0.68200000000000005</v>
          </cell>
        </row>
        <row r="126">
          <cell r="D126" t="str">
            <v>3-SP Schalung 2.5 cm (Annahme 5xverwendet) [kg]</v>
          </cell>
          <cell r="G126" t="str">
            <v>C4.3</v>
          </cell>
          <cell r="H126">
            <v>470</v>
          </cell>
          <cell r="I126">
            <v>1.0000000000000002</v>
          </cell>
          <cell r="L126">
            <v>0.52300000000000002</v>
          </cell>
        </row>
        <row r="127">
          <cell r="D127" t="str">
            <v>Chromstahl (Kragplattenanschluss) [kg]</v>
          </cell>
          <cell r="G127" t="str">
            <v>C4.3</v>
          </cell>
          <cell r="H127">
            <v>7900</v>
          </cell>
          <cell r="I127">
            <v>5.949367088607594E-2</v>
          </cell>
          <cell r="L127">
            <v>3.76</v>
          </cell>
        </row>
        <row r="128">
          <cell r="D128" t="str">
            <v>XPS (Kragplattenanschluss)[kg]</v>
          </cell>
          <cell r="G128" t="str">
            <v>C4.3</v>
          </cell>
          <cell r="H128">
            <v>35</v>
          </cell>
          <cell r="I128">
            <v>0.85714285714285721</v>
          </cell>
          <cell r="L128">
            <v>14.5</v>
          </cell>
        </row>
        <row r="129">
          <cell r="D129" t="str">
            <v>Harbetonüberzug [kg]</v>
          </cell>
          <cell r="G129" t="str">
            <v>G2.2</v>
          </cell>
          <cell r="H129">
            <v>2101.8181818181815</v>
          </cell>
          <cell r="I129">
            <v>2.75</v>
          </cell>
          <cell r="L129">
            <v>0.29238754325259519</v>
          </cell>
        </row>
        <row r="130">
          <cell r="D130" t="str">
            <v>Metallstabgeländer [kg]</v>
          </cell>
          <cell r="G130" t="str">
            <v>E2.6</v>
          </cell>
          <cell r="H130">
            <v>7850</v>
          </cell>
          <cell r="I130">
            <v>0.16576433121019107</v>
          </cell>
          <cell r="L130">
            <v>3.51</v>
          </cell>
        </row>
      </sheetData>
      <sheetData sheetId="5"/>
      <sheetData sheetId="6">
        <row r="69">
          <cell r="S69">
            <v>1.17E-2</v>
          </cell>
        </row>
        <row r="70">
          <cell r="S70">
            <v>1.4E-2</v>
          </cell>
        </row>
        <row r="73">
          <cell r="S73">
            <v>0.375</v>
          </cell>
        </row>
        <row r="101">
          <cell r="S101">
            <v>217</v>
          </cell>
        </row>
        <row r="109">
          <cell r="S109">
            <v>66.8</v>
          </cell>
        </row>
        <row r="117">
          <cell r="S117">
            <v>57.4</v>
          </cell>
        </row>
        <row r="133">
          <cell r="S133">
            <v>3.51</v>
          </cell>
        </row>
        <row r="155">
          <cell r="S155">
            <v>0.10100000000000001</v>
          </cell>
        </row>
        <row r="173">
          <cell r="S173">
            <v>3.25</v>
          </cell>
        </row>
        <row r="187">
          <cell r="S187">
            <v>5.33</v>
          </cell>
        </row>
        <row r="188">
          <cell r="S188">
            <v>5.53</v>
          </cell>
        </row>
        <row r="197">
          <cell r="S197">
            <v>1.1299999999999999</v>
          </cell>
        </row>
        <row r="207">
          <cell r="S207">
            <v>1.1299999999999999</v>
          </cell>
        </row>
        <row r="260">
          <cell r="S260">
            <v>0.70599999999999996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B3:C26"/>
  <sheetViews>
    <sheetView workbookViewId="0">
      <selection activeCell="C22" sqref="C22"/>
    </sheetView>
  </sheetViews>
  <sheetFormatPr defaultColWidth="10.85546875" defaultRowHeight="15" x14ac:dyDescent="0.25"/>
  <cols>
    <col min="3" max="3" width="86.85546875" bestFit="1" customWidth="1"/>
  </cols>
  <sheetData>
    <row r="3" spans="2:3" ht="25.5" x14ac:dyDescent="0.35">
      <c r="B3" s="141" t="s">
        <v>349</v>
      </c>
      <c r="C3" s="141"/>
    </row>
    <row r="4" spans="2:3" ht="18.75" x14ac:dyDescent="0.3">
      <c r="B4" s="69" t="s">
        <v>228</v>
      </c>
      <c r="C4" s="68" t="s">
        <v>336</v>
      </c>
    </row>
    <row r="5" spans="2:3" ht="18.75" x14ac:dyDescent="0.3">
      <c r="B5" s="69"/>
      <c r="C5" s="68" t="s">
        <v>337</v>
      </c>
    </row>
    <row r="6" spans="2:3" ht="18.75" x14ac:dyDescent="0.3">
      <c r="B6" s="69"/>
      <c r="C6" s="68" t="s">
        <v>343</v>
      </c>
    </row>
    <row r="7" spans="2:3" ht="18.75" x14ac:dyDescent="0.3">
      <c r="B7" s="69"/>
      <c r="C7" s="68" t="s">
        <v>338</v>
      </c>
    </row>
    <row r="8" spans="2:3" ht="18.75" x14ac:dyDescent="0.3">
      <c r="B8" s="69"/>
      <c r="C8" s="68" t="s">
        <v>339</v>
      </c>
    </row>
    <row r="9" spans="2:3" ht="18.75" x14ac:dyDescent="0.3">
      <c r="B9" s="69"/>
      <c r="C9" s="68" t="s">
        <v>348</v>
      </c>
    </row>
    <row r="10" spans="2:3" ht="18.75" x14ac:dyDescent="0.3">
      <c r="B10" s="69"/>
      <c r="C10" s="68"/>
    </row>
    <row r="11" spans="2:3" ht="18.75" x14ac:dyDescent="0.3">
      <c r="B11" s="69" t="s">
        <v>340</v>
      </c>
      <c r="C11" s="68" t="s">
        <v>338</v>
      </c>
    </row>
    <row r="12" spans="2:3" ht="16.5" x14ac:dyDescent="0.3">
      <c r="B12" s="68"/>
      <c r="C12" s="68" t="s">
        <v>339</v>
      </c>
    </row>
    <row r="13" spans="2:3" ht="16.5" x14ac:dyDescent="0.3">
      <c r="B13" s="68"/>
      <c r="C13" s="68" t="s">
        <v>341</v>
      </c>
    </row>
    <row r="14" spans="2:3" ht="16.5" x14ac:dyDescent="0.3">
      <c r="B14" s="68"/>
      <c r="C14" s="70" t="s">
        <v>342</v>
      </c>
    </row>
    <row r="17" spans="3:3" ht="25.5" x14ac:dyDescent="0.35">
      <c r="C17" s="71" t="s">
        <v>350</v>
      </c>
    </row>
    <row r="18" spans="3:3" ht="16.5" x14ac:dyDescent="0.3">
      <c r="C18" s="68" t="s">
        <v>357</v>
      </c>
    </row>
    <row r="19" spans="3:3" ht="16.5" x14ac:dyDescent="0.3">
      <c r="C19" s="68" t="s">
        <v>351</v>
      </c>
    </row>
    <row r="20" spans="3:3" ht="16.5" x14ac:dyDescent="0.3">
      <c r="C20" s="68" t="s">
        <v>352</v>
      </c>
    </row>
    <row r="21" spans="3:3" ht="16.5" x14ac:dyDescent="0.3">
      <c r="C21" s="68" t="s">
        <v>353</v>
      </c>
    </row>
    <row r="22" spans="3:3" ht="16.5" x14ac:dyDescent="0.3">
      <c r="C22" s="68" t="s">
        <v>354</v>
      </c>
    </row>
    <row r="23" spans="3:3" ht="16.5" x14ac:dyDescent="0.3">
      <c r="C23" s="68" t="s">
        <v>355</v>
      </c>
    </row>
    <row r="24" spans="3:3" ht="16.5" x14ac:dyDescent="0.3">
      <c r="C24" s="68" t="s">
        <v>356</v>
      </c>
    </row>
    <row r="25" spans="3:3" ht="16.5" x14ac:dyDescent="0.3">
      <c r="C25" s="68" t="s">
        <v>359</v>
      </c>
    </row>
    <row r="26" spans="3:3" ht="16.5" x14ac:dyDescent="0.3">
      <c r="C26" s="68" t="s">
        <v>358</v>
      </c>
    </row>
  </sheetData>
  <mergeCells count="1">
    <mergeCell ref="B3:C3"/>
  </mergeCells>
  <pageMargins left="0.7" right="0.7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8">
    <tabColor theme="2" tint="-9.9978637043366805E-2"/>
  </sheetPr>
  <dimension ref="B3:AJ41"/>
  <sheetViews>
    <sheetView topLeftCell="I1" zoomScale="70" zoomScaleNormal="70" workbookViewId="0">
      <selection activeCell="Q4" sqref="Q4:R10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10" width="17.42578125" bestFit="1" customWidth="1"/>
    <col min="11" max="11" width="11.85546875" bestFit="1" customWidth="1"/>
    <col min="12" max="12" width="15.7109375" bestFit="1" customWidth="1"/>
    <col min="13" max="13" width="15.42578125" bestFit="1" customWidth="1"/>
    <col min="14" max="14" width="24" style="102" bestFit="1" customWidth="1"/>
    <col min="15" max="15" width="12.42578125" customWidth="1"/>
    <col min="16" max="16" width="34.42578125" bestFit="1" customWidth="1"/>
    <col min="17" max="17" width="45.42578125" bestFit="1" customWidth="1"/>
    <col min="18" max="18" width="8.85546875" style="94" bestFit="1" customWidth="1"/>
    <col min="19" max="19" width="15.42578125" bestFit="1" customWidth="1"/>
    <col min="20" max="20" width="13.42578125" bestFit="1" customWidth="1"/>
    <col min="21" max="21" width="10.42578125" bestFit="1" customWidth="1"/>
    <col min="22" max="22" width="19.85546875" bestFit="1" customWidth="1"/>
    <col min="23" max="23" width="17.42578125" bestFit="1" customWidth="1"/>
    <col min="24" max="24" width="15.42578125" bestFit="1" customWidth="1"/>
    <col min="25" max="25" width="11.85546875" bestFit="1" customWidth="1"/>
    <col min="26" max="26" width="28.28515625" style="102" bestFit="1" customWidth="1"/>
    <col min="27" max="27" width="30.140625" style="117" bestFit="1" customWidth="1"/>
    <col min="28" max="28" width="18.85546875" style="102" bestFit="1" customWidth="1"/>
    <col min="29" max="29" width="33" style="117" bestFit="1" customWidth="1"/>
    <col min="30" max="30" width="34.28515625" style="117" bestFit="1" customWidth="1"/>
    <col min="31" max="31" width="31.42578125" style="117" bestFit="1" customWidth="1"/>
    <col min="32" max="32" width="26.7109375" style="117" bestFit="1" customWidth="1"/>
    <col min="33" max="33" width="25.7109375" style="117" bestFit="1" customWidth="1"/>
    <col min="34" max="34" width="42.42578125" style="102" bestFit="1" customWidth="1"/>
    <col min="35" max="35" width="5.7109375" bestFit="1" customWidth="1"/>
    <col min="36" max="36" width="5.42578125" customWidth="1"/>
  </cols>
  <sheetData>
    <row r="3" spans="2:36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107" t="s">
        <v>407</v>
      </c>
      <c r="M3" s="107" t="s">
        <v>408</v>
      </c>
      <c r="N3" s="107" t="s">
        <v>409</v>
      </c>
      <c r="P3" s="41" t="s">
        <v>362</v>
      </c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394</v>
      </c>
      <c r="AA3" s="107" t="s">
        <v>412</v>
      </c>
      <c r="AB3" s="107" t="s">
        <v>413</v>
      </c>
      <c r="AC3" s="107" t="s">
        <v>403</v>
      </c>
      <c r="AD3" s="107" t="s">
        <v>404</v>
      </c>
      <c r="AE3" s="107" t="s">
        <v>405</v>
      </c>
      <c r="AF3" s="107" t="s">
        <v>406</v>
      </c>
      <c r="AG3" s="107" t="s">
        <v>420</v>
      </c>
      <c r="AH3" s="107" t="s">
        <v>421</v>
      </c>
      <c r="AI3" s="12" t="str">
        <f>VLOOKUP($B$4,Database!$D$20:$E$20,2,FALSE)</f>
        <v>3a</v>
      </c>
      <c r="AJ3" s="12" t="str">
        <f>VLOOKUP($P$6,Database!$D$21:$E$22,2,FALSE)</f>
        <v>13a</v>
      </c>
    </row>
    <row r="4" spans="2:36" ht="15.75" x14ac:dyDescent="0.25">
      <c r="B4" s="40" t="s">
        <v>181</v>
      </c>
      <c r="C4" s="39" t="str">
        <f>HLOOKUP($AI$3,'Daten-Zusammensetzung Bauteil'!$B$4:$BC$7,Database!$B4,FALSE)</f>
        <v>Holz-Metallfenster [m2 i.L.]</v>
      </c>
      <c r="D4" s="99" t="str">
        <f>HLOOKUP($AI$3,'Daten-Funktion'!$B$4:$BC$7,Database!$B4,FALSE)</f>
        <v>E3.1</v>
      </c>
      <c r="E4" s="39">
        <f>HLOOKUP($AI$3,'Daten-THGE'!$B$4:$BC$7,Database!$B4,FALSE)</f>
        <v>7.2333333333333334</v>
      </c>
      <c r="F4" s="39">
        <f>HLOOKUP($AI$3,'Daten-Dichte'!$B$4:$BC$7,Database!$B4,FALSE)</f>
        <v>0.22</v>
      </c>
      <c r="G4" s="39"/>
      <c r="H4" s="43"/>
      <c r="I4" s="49">
        <f>IF(H4=0,F4*E4,E4*F4)</f>
        <v>1.5913333333333333</v>
      </c>
      <c r="J4" s="50">
        <f>SUM(I4:I6)*Gebäude!$C$21</f>
        <v>1347.0569333333333</v>
      </c>
      <c r="K4" s="40" t="s">
        <v>244</v>
      </c>
      <c r="L4" s="103">
        <f>IF(D4="E3.1",1,0)</f>
        <v>1</v>
      </c>
      <c r="M4" s="103">
        <f>IF(D4="E3.2",1,0)</f>
        <v>0</v>
      </c>
      <c r="N4" s="103">
        <f>IF(D4="E3.3",1,0)</f>
        <v>0</v>
      </c>
      <c r="P4" s="40" t="s">
        <v>176</v>
      </c>
      <c r="Q4" s="39" t="str">
        <f>HLOOKUP($AJ$3,'Daten-Zusammensetzung Bauteil'!$B$4:$BC$11,Database!$B4,FALSE)</f>
        <v>Balkonkragplatte Ortbeton [kg]</v>
      </c>
      <c r="R4" s="99" t="str">
        <f>MID(HLOOKUP($AJ$3,'Daten-Funktion'!$B$4:$BC$11,Database!$B4,FALSE),1,2)</f>
        <v>C4</v>
      </c>
      <c r="S4" s="39">
        <f>HLOOKUP($AJ$3,'Daten-THGE'!$B$4:$BC$11,Database!$B4,FALSE)</f>
        <v>2.48E-3</v>
      </c>
      <c r="T4" s="39">
        <f>HLOOKUP($AJ$3,'Daten-Dichte'!$B$4:$BC$11,Database!$B4,FALSE)</f>
        <v>2300</v>
      </c>
      <c r="U4" s="39">
        <f>HLOOKUP($AJ$3,'Daten-Dicke'!$B$4:$BC$11,Database!$B4,FALSE)</f>
        <v>20.375</v>
      </c>
      <c r="V4" s="43"/>
      <c r="W4" s="49">
        <f>IF(V4=0,T4*U4/100*S4,S4*T4*V4/1000)</f>
        <v>1.1621900000000001</v>
      </c>
      <c r="X4" s="50">
        <f>SUM(W4:W10)*$AJ$4*Gebäude!$C$22</f>
        <v>0</v>
      </c>
      <c r="Y4" s="40" t="s">
        <v>244</v>
      </c>
      <c r="Z4" s="103">
        <f>IF(R4="C4",1,0)</f>
        <v>1</v>
      </c>
      <c r="AA4" s="103">
        <f>IF(R4="G2.1",1,0)</f>
        <v>0</v>
      </c>
      <c r="AB4" s="103">
        <f>IF(R4="G2.2",1,0)</f>
        <v>0</v>
      </c>
      <c r="AC4" s="103">
        <f>IF(R4="E2.1",1,0)</f>
        <v>0</v>
      </c>
      <c r="AD4" s="103">
        <f>IF(R4="E2.2",1,0)</f>
        <v>0</v>
      </c>
      <c r="AE4" s="103">
        <f>IF(R4="E2.3",1,0)</f>
        <v>0</v>
      </c>
      <c r="AF4" s="103">
        <f>IF(R4="E2.4",1,0)</f>
        <v>0</v>
      </c>
      <c r="AG4" s="103">
        <f>IF(R4="E2.5",1,0)</f>
        <v>0</v>
      </c>
      <c r="AH4" s="103">
        <f>IF(R4="E2.6",1,0)</f>
        <v>0</v>
      </c>
      <c r="AI4" s="12"/>
      <c r="AJ4">
        <f>IF($P$6=Database!$D$21,1,0)</f>
        <v>0</v>
      </c>
    </row>
    <row r="5" spans="2:36" ht="15.75" x14ac:dyDescent="0.25">
      <c r="B5" s="40" t="str">
        <f>Gebäude!$G$4</f>
        <v>Mischbauweise</v>
      </c>
      <c r="C5" s="39" t="str">
        <f>HLOOKUP($AI$3,'Daten-Zusammensetzung Bauteil'!$B$4:$BC$7,Database!$B5,FALSE)</f>
        <v>Isolierverglasung 3-fach, Ug-Wert 0.6 W/m2K, Dicke 40 mm [m2]</v>
      </c>
      <c r="D5" s="99" t="str">
        <f>HLOOKUP($AI$3,'Daten-Funktion'!$B$4:$BC$7,Database!$B5,FALSE)</f>
        <v>E3.1</v>
      </c>
      <c r="E5" s="39">
        <f>HLOOKUP($AI$3,'Daten-THGE'!$B$4:$BC$7,Database!$B5,FALSE)</f>
        <v>2.2266666666666666</v>
      </c>
      <c r="F5" s="39">
        <f>HLOOKUP($AI$3,'Daten-Dichte'!$B$4:$BC$7,Database!$B5,FALSE)</f>
        <v>0.78</v>
      </c>
      <c r="G5" s="39"/>
      <c r="H5" s="43"/>
      <c r="I5" s="49">
        <f t="shared" ref="I5:I6" si="0">IF(H5=0,F5*E5,E5*F5)</f>
        <v>1.7367999999999999</v>
      </c>
      <c r="J5" s="39"/>
      <c r="K5" s="37"/>
      <c r="L5" s="103">
        <f>IF(D5="E3.1",1,0)</f>
        <v>1</v>
      </c>
      <c r="M5" s="103">
        <f t="shared" ref="M5:M6" si="1">IF(D5="E3.2",1,0)</f>
        <v>0</v>
      </c>
      <c r="N5" s="103">
        <f t="shared" ref="N5:N6" si="2">IF(D5="E3.3",1,0)</f>
        <v>0</v>
      </c>
      <c r="P5" s="40" t="str">
        <f>Gebäude!$G$4</f>
        <v>Mischbauweise</v>
      </c>
      <c r="Q5" s="39" t="str">
        <f>HLOOKUP($AJ$3,'Daten-Zusammensetzung Bauteil'!$B$4:$BC$11,Database!$B5,FALSE)</f>
        <v>Bewehrungsstahl [kg]</v>
      </c>
      <c r="R5" s="99" t="str">
        <f>MID(HLOOKUP($AJ$3,'Daten-Funktion'!$B$4:$BC$11,Database!$B5,FALSE),1,2)</f>
        <v>C4</v>
      </c>
      <c r="S5" s="39">
        <f>HLOOKUP($AJ$3,'Daten-THGE'!$B$4:$BC$11,Database!$B5,FALSE)</f>
        <v>1.7050000000000003E-2</v>
      </c>
      <c r="T5" s="39">
        <f>HLOOKUP($AJ$3,'Daten-Dichte'!$B$4:$BC$11,Database!$B5,FALSE)</f>
        <v>7850</v>
      </c>
      <c r="U5" s="39">
        <f>HLOOKUP($AJ$3,'Daten-Dicke'!$B$4:$BC$11,Database!$B5,FALSE)</f>
        <v>0.223328025477707</v>
      </c>
      <c r="V5" s="43"/>
      <c r="W5" s="49">
        <f t="shared" ref="W5:W10" si="3">IF(V5=0,T5*U5/100*S5,S5*T5*V5/1000)</f>
        <v>0.29890781250000004</v>
      </c>
      <c r="X5" s="39"/>
      <c r="Y5" s="37"/>
      <c r="Z5" s="103">
        <f t="shared" ref="Z5:Z10" si="4">IF(R5="C4",1,0)</f>
        <v>1</v>
      </c>
      <c r="AA5" s="103">
        <f t="shared" ref="AA5:AA10" si="5">IF(R5="G2.1",1,0)</f>
        <v>0</v>
      </c>
      <c r="AB5" s="103">
        <f t="shared" ref="AB5:AB10" si="6">IF(R5="G2.2",1,0)</f>
        <v>0</v>
      </c>
      <c r="AC5" s="103">
        <f t="shared" ref="AC5:AC10" si="7">IF(R5="E2.1",1,0)</f>
        <v>0</v>
      </c>
      <c r="AD5" s="103">
        <f t="shared" ref="AD5:AD10" si="8">IF(R5="E2.2",1,0)</f>
        <v>0</v>
      </c>
      <c r="AE5" s="103">
        <f t="shared" ref="AE5:AE10" si="9">IF(R5="E2.3",1,0)</f>
        <v>0</v>
      </c>
      <c r="AF5" s="103">
        <f t="shared" ref="AF5:AF10" si="10">IF(R5="E2.4",1,0)</f>
        <v>0</v>
      </c>
      <c r="AG5" s="103">
        <f t="shared" ref="AG5:AG10" si="11">IF(R5="E2.5",1,0)</f>
        <v>0</v>
      </c>
      <c r="AH5" s="103">
        <f t="shared" ref="AH5:AH10" si="12">IF(R5="E2.6",1,0)</f>
        <v>0</v>
      </c>
      <c r="AI5" s="12"/>
    </row>
    <row r="6" spans="2:36" ht="15.75" x14ac:dyDescent="0.25">
      <c r="B6" s="37"/>
      <c r="C6" s="39" t="str">
        <f>HLOOKUP($AI$3,'Daten-Zusammensetzung Bauteil'!$B$4:$BC$7,Database!$B6,FALSE)</f>
        <v>Lamellenstoren [m2]</v>
      </c>
      <c r="D6" s="99" t="str">
        <f>HLOOKUP($AI$3,'Daten-Funktion'!$B$4:$BC$7,Database!$B6,FALSE)</f>
        <v>E3.3</v>
      </c>
      <c r="E6" s="39">
        <f>HLOOKUP($AI$3,'Daten-THGE'!$B$4:$BC$7,Database!$B6,FALSE)</f>
        <v>1.9133333333333333</v>
      </c>
      <c r="F6" s="39">
        <f>HLOOKUP($AI$3,'Daten-Dichte'!$B$4:$BC$7,Database!$B6,FALSE)</f>
        <v>1</v>
      </c>
      <c r="G6" s="39"/>
      <c r="H6" s="44"/>
      <c r="I6" s="49">
        <f t="shared" si="0"/>
        <v>1.9133333333333333</v>
      </c>
      <c r="J6" s="37"/>
      <c r="K6" s="37"/>
      <c r="L6" s="103">
        <f>IF(D6="E3.1",1,0)</f>
        <v>0</v>
      </c>
      <c r="M6" s="103">
        <f t="shared" si="1"/>
        <v>0</v>
      </c>
      <c r="N6" s="103">
        <f t="shared" si="2"/>
        <v>1</v>
      </c>
      <c r="P6" s="40" t="str">
        <f>Gebäude!$G$14</f>
        <v>Nein</v>
      </c>
      <c r="Q6" s="39" t="str">
        <f>HLOOKUP($AJ$3,'Daten-Zusammensetzung Bauteil'!$B$4:$BC$11,Database!$B6,FALSE)</f>
        <v>3-SP Schalung 2.5 cm (Annahme 5xverwendet) [kg]</v>
      </c>
      <c r="R6" s="99" t="str">
        <f>MID(HLOOKUP($AJ$3,'Daten-Funktion'!$B$4:$BC$11,Database!$B6,FALSE),1,2)</f>
        <v>C4</v>
      </c>
      <c r="S6" s="39">
        <f>HLOOKUP($AJ$3,'Daten-THGE'!$B$4:$BC$11,Database!$B6,FALSE)</f>
        <v>1.3075E-2</v>
      </c>
      <c r="T6" s="39">
        <f>HLOOKUP($AJ$3,'Daten-Dichte'!$B$4:$BC$11,Database!$B6,FALSE)</f>
        <v>470</v>
      </c>
      <c r="U6" s="39">
        <f>HLOOKUP($AJ$3,'Daten-Dicke'!$B$4:$BC$11,Database!$B6,FALSE)</f>
        <v>1.0000000000000002</v>
      </c>
      <c r="V6" s="44"/>
      <c r="W6" s="49">
        <f t="shared" si="3"/>
        <v>6.1452500000000014E-2</v>
      </c>
      <c r="X6" s="37"/>
      <c r="Y6" s="37"/>
      <c r="Z6" s="103">
        <f t="shared" si="4"/>
        <v>1</v>
      </c>
      <c r="AA6" s="103">
        <f t="shared" si="5"/>
        <v>0</v>
      </c>
      <c r="AB6" s="103">
        <f t="shared" si="6"/>
        <v>0</v>
      </c>
      <c r="AC6" s="103">
        <f t="shared" si="7"/>
        <v>0</v>
      </c>
      <c r="AD6" s="103">
        <f t="shared" si="8"/>
        <v>0</v>
      </c>
      <c r="AE6" s="103">
        <f t="shared" si="9"/>
        <v>0</v>
      </c>
      <c r="AF6" s="103">
        <f t="shared" si="10"/>
        <v>0</v>
      </c>
      <c r="AG6" s="103">
        <f t="shared" si="11"/>
        <v>0</v>
      </c>
      <c r="AH6" s="103">
        <f t="shared" si="12"/>
        <v>0</v>
      </c>
      <c r="AI6" s="12"/>
    </row>
    <row r="7" spans="2:36" ht="15.75" x14ac:dyDescent="0.25">
      <c r="B7" s="37"/>
      <c r="C7" s="39"/>
      <c r="D7" s="99"/>
      <c r="E7" s="39"/>
      <c r="F7" s="39"/>
      <c r="G7" s="39"/>
      <c r="H7" s="49"/>
      <c r="I7" s="49"/>
      <c r="J7" s="37"/>
      <c r="K7" s="37"/>
      <c r="L7" s="123">
        <f>SUMPRODUCT(I4:I6*L4:L6)/SUM(I4:I6)</f>
        <v>0.63496222431380522</v>
      </c>
      <c r="M7" s="123">
        <f>SUMPRODUCT(I4:I6*M4:M6)/SUM(I4:I6)</f>
        <v>0</v>
      </c>
      <c r="N7" s="123">
        <f>SUMPRODUCT(I4:I6*N4:N6)/SUM(I4:I6)</f>
        <v>0.36503777568619472</v>
      </c>
      <c r="O7" s="125">
        <f>SUM(L7:N7)</f>
        <v>1</v>
      </c>
      <c r="P7" s="37"/>
      <c r="Q7" s="39" t="str">
        <f>HLOOKUP($AJ$3,'Daten-Zusammensetzung Bauteil'!$B$4:$BC$11,Database!$B7,FALSE)</f>
        <v>Chromstahl (Kragplattenanschluss) [kg]</v>
      </c>
      <c r="R7" s="99" t="str">
        <f>MID(HLOOKUP($AJ$3,'Daten-Funktion'!$B$4:$BC$11,Database!$B7,FALSE),1,2)</f>
        <v>C4</v>
      </c>
      <c r="S7" s="39">
        <f>HLOOKUP($AJ$3,'Daten-THGE'!$B$4:$BC$11,Database!$B7,FALSE)</f>
        <v>9.4E-2</v>
      </c>
      <c r="T7" s="39">
        <f>HLOOKUP($AJ$3,'Daten-Dichte'!$B$4:$BC$11,Database!$B7,FALSE)</f>
        <v>7900</v>
      </c>
      <c r="U7" s="39">
        <f>HLOOKUP($AJ$3,'Daten-Dicke'!$B$4:$BC$11,Database!$B7,FALSE)</f>
        <v>5.949367088607594E-2</v>
      </c>
      <c r="V7" s="44"/>
      <c r="W7" s="49">
        <f t="shared" si="3"/>
        <v>0.44179999999999992</v>
      </c>
      <c r="X7" s="37"/>
      <c r="Y7" s="37"/>
      <c r="Z7" s="103">
        <f t="shared" si="4"/>
        <v>1</v>
      </c>
      <c r="AA7" s="103">
        <f t="shared" si="5"/>
        <v>0</v>
      </c>
      <c r="AB7" s="103">
        <f t="shared" si="6"/>
        <v>0</v>
      </c>
      <c r="AC7" s="103">
        <f t="shared" si="7"/>
        <v>0</v>
      </c>
      <c r="AD7" s="103">
        <f t="shared" si="8"/>
        <v>0</v>
      </c>
      <c r="AE7" s="103">
        <f t="shared" si="9"/>
        <v>0</v>
      </c>
      <c r="AF7" s="103">
        <f t="shared" si="10"/>
        <v>0</v>
      </c>
      <c r="AG7" s="103">
        <f t="shared" si="11"/>
        <v>0</v>
      </c>
      <c r="AH7" s="103">
        <f t="shared" si="12"/>
        <v>0</v>
      </c>
      <c r="AI7" s="12"/>
    </row>
    <row r="8" spans="2:36" ht="15.75" x14ac:dyDescent="0.25">
      <c r="B8" s="47" t="s">
        <v>241</v>
      </c>
      <c r="P8" s="37"/>
      <c r="Q8" s="39" t="str">
        <f>HLOOKUP($AJ$3,'Daten-Zusammensetzung Bauteil'!$B$4:$BC$11,Database!$B8,FALSE)</f>
        <v>XPS (Kragplattenanschluss)[kg]</v>
      </c>
      <c r="R8" s="99" t="str">
        <f>MID(HLOOKUP($AJ$3,'Daten-Funktion'!$B$4:$BC$11,Database!$B8,FALSE),1,2)</f>
        <v>C4</v>
      </c>
      <c r="S8" s="39">
        <f>HLOOKUP($AJ$3,'Daten-THGE'!$B$4:$BC$11,Database!$B8,FALSE)</f>
        <v>0.36249999999999999</v>
      </c>
      <c r="T8" s="39">
        <f>HLOOKUP($AJ$3,'Daten-Dichte'!$B$4:$BC$11,Database!$B8,FALSE)</f>
        <v>35</v>
      </c>
      <c r="U8" s="39">
        <f>HLOOKUP($AJ$3,'Daten-Dicke'!$B$4:$BC$11,Database!$B8,FALSE)</f>
        <v>0.85714285714285721</v>
      </c>
      <c r="V8" s="44"/>
      <c r="W8" s="49">
        <f t="shared" si="3"/>
        <v>0.10875000000000001</v>
      </c>
      <c r="X8" s="37"/>
      <c r="Y8" s="37"/>
      <c r="Z8" s="103">
        <f t="shared" si="4"/>
        <v>1</v>
      </c>
      <c r="AA8" s="103">
        <f t="shared" si="5"/>
        <v>0</v>
      </c>
      <c r="AB8" s="103">
        <f t="shared" si="6"/>
        <v>0</v>
      </c>
      <c r="AC8" s="103">
        <f t="shared" si="7"/>
        <v>0</v>
      </c>
      <c r="AD8" s="103">
        <f t="shared" si="8"/>
        <v>0</v>
      </c>
      <c r="AE8" s="103">
        <f t="shared" si="9"/>
        <v>0</v>
      </c>
      <c r="AF8" s="103">
        <f t="shared" si="10"/>
        <v>0</v>
      </c>
      <c r="AG8" s="103">
        <f t="shared" si="11"/>
        <v>0</v>
      </c>
      <c r="AH8" s="103">
        <f t="shared" si="12"/>
        <v>0</v>
      </c>
      <c r="AI8" s="12"/>
    </row>
    <row r="9" spans="2:36" ht="20.25" x14ac:dyDescent="0.3">
      <c r="B9" s="41" t="s">
        <v>362</v>
      </c>
      <c r="C9" s="40" t="s">
        <v>227</v>
      </c>
      <c r="D9" s="93"/>
      <c r="E9" s="40" t="s">
        <v>182</v>
      </c>
      <c r="F9" s="40" t="s">
        <v>226</v>
      </c>
      <c r="G9" s="40" t="s">
        <v>242</v>
      </c>
      <c r="H9" s="42" t="s">
        <v>243</v>
      </c>
      <c r="I9" s="40" t="s">
        <v>193</v>
      </c>
      <c r="J9" s="38" t="s">
        <v>194</v>
      </c>
      <c r="K9" s="37"/>
      <c r="L9" s="37"/>
      <c r="M9" s="37"/>
      <c r="P9" s="37"/>
      <c r="Q9" s="39" t="str">
        <f>HLOOKUP($AJ$3,'Daten-Zusammensetzung Bauteil'!$B$4:$BC$11,Database!$B9,FALSE)</f>
        <v>Harbetonüberzug [kg]</v>
      </c>
      <c r="R9" s="99" t="str">
        <f>HLOOKUP($AJ$3,'Daten-Funktion'!$B$4:$BC$11,Database!$B9,FALSE)</f>
        <v>G2.2</v>
      </c>
      <c r="S9" s="39">
        <f>HLOOKUP($AJ$3,'Daten-THGE'!$B$4:$BC$11,Database!$B9,FALSE)</f>
        <v>7.3096885813148799E-3</v>
      </c>
      <c r="T9" s="39">
        <f>HLOOKUP($AJ$3,'Daten-Dichte'!$B$4:$BC$11,Database!$B9,FALSE)</f>
        <v>2101.8181818181815</v>
      </c>
      <c r="U9" s="39">
        <f>HLOOKUP($AJ$3,'Daten-Dicke'!$B$4:$BC$11,Database!$B9,FALSE)</f>
        <v>2.75</v>
      </c>
      <c r="V9" s="44"/>
      <c r="W9" s="49">
        <f t="shared" si="3"/>
        <v>0.42249999999999999</v>
      </c>
      <c r="X9" s="37"/>
      <c r="Y9" s="37"/>
      <c r="Z9" s="103">
        <f t="shared" si="4"/>
        <v>0</v>
      </c>
      <c r="AA9" s="103">
        <f t="shared" si="5"/>
        <v>0</v>
      </c>
      <c r="AB9" s="103">
        <f t="shared" si="6"/>
        <v>1</v>
      </c>
      <c r="AC9" s="103">
        <f t="shared" si="7"/>
        <v>0</v>
      </c>
      <c r="AD9" s="103">
        <f t="shared" si="8"/>
        <v>0</v>
      </c>
      <c r="AE9" s="103">
        <f t="shared" si="9"/>
        <v>0</v>
      </c>
      <c r="AF9" s="103">
        <f t="shared" si="10"/>
        <v>0</v>
      </c>
      <c r="AG9" s="103">
        <f t="shared" si="11"/>
        <v>0</v>
      </c>
      <c r="AH9" s="103">
        <f t="shared" si="12"/>
        <v>0</v>
      </c>
      <c r="AI9" s="12"/>
    </row>
    <row r="10" spans="2:36" ht="15.75" x14ac:dyDescent="0.25">
      <c r="B10" s="40" t="s">
        <v>181</v>
      </c>
      <c r="C10" s="39" t="str">
        <f>HLOOKUP($AI$13,'Daten-Zusammensetzung Bauteil'!$B$4:$BC$7,Database!$B4,FALSE)</f>
        <v>Holz-Metallfenster [m2 i.L.]</v>
      </c>
      <c r="D10" s="99" t="str">
        <f>HLOOKUP($AI$13,'Daten-Funktion'!$B$4:$BC$7,Database!$B4,FALSE)</f>
        <v>E3.1</v>
      </c>
      <c r="E10" s="39">
        <f>HLOOKUP($AI$13,'Daten-THGE'!$B$4:$BC$7,Database!$B4,FALSE)</f>
        <v>7.2333333333333334</v>
      </c>
      <c r="F10" s="39">
        <f>HLOOKUP($AI$13,'Daten-Dichte'!$B$4:$BC$7,Database!$B4,FALSE)</f>
        <v>0.22</v>
      </c>
      <c r="G10" s="39"/>
      <c r="H10" s="43"/>
      <c r="I10" s="49">
        <f>IF(H10=0,F10*E10,E10*F10)</f>
        <v>1.5913333333333333</v>
      </c>
      <c r="J10" s="48">
        <f>SUM(I10:I12)*Gebäude!$C$21</f>
        <v>1347.0569333333333</v>
      </c>
      <c r="K10" s="40" t="s">
        <v>244</v>
      </c>
      <c r="L10" s="40"/>
      <c r="M10" s="40"/>
      <c r="P10" s="37"/>
      <c r="Q10" s="39" t="str">
        <f>HLOOKUP($AJ$3,'Daten-Zusammensetzung Bauteil'!$B$4:$BC$11,Database!$B10,FALSE)</f>
        <v>Metallstabgeländer [kg]</v>
      </c>
      <c r="R10" s="99" t="str">
        <f>HLOOKUP($AJ$3,'Daten-Funktion'!$B$4:$BC$11,Database!$B10,FALSE)</f>
        <v>E2.6</v>
      </c>
      <c r="S10" s="39">
        <f>HLOOKUP($AJ$3,'Daten-THGE'!$B$4:$BC$11,Database!$B10,FALSE)</f>
        <v>8.7749999999999995E-2</v>
      </c>
      <c r="T10" s="39">
        <f>HLOOKUP($AJ$3,'Daten-Dichte'!$B$4:$BC$11,Database!$B10,FALSE)</f>
        <v>7850</v>
      </c>
      <c r="U10" s="39">
        <f>HLOOKUP($AJ$3,'Daten-Dicke'!$B$4:$BC$11,Database!$B10,FALSE)</f>
        <v>0.16576433121019107</v>
      </c>
      <c r="V10" s="44"/>
      <c r="W10" s="49">
        <f t="shared" si="3"/>
        <v>1.1418468749999999</v>
      </c>
      <c r="X10" s="37"/>
      <c r="Y10" s="37"/>
      <c r="Z10" s="103">
        <f t="shared" si="4"/>
        <v>0</v>
      </c>
      <c r="AA10" s="103">
        <f t="shared" si="5"/>
        <v>0</v>
      </c>
      <c r="AB10" s="103">
        <f t="shared" si="6"/>
        <v>0</v>
      </c>
      <c r="AC10" s="103">
        <f t="shared" si="7"/>
        <v>0</v>
      </c>
      <c r="AD10" s="103">
        <f t="shared" si="8"/>
        <v>0</v>
      </c>
      <c r="AE10" s="103">
        <f t="shared" si="9"/>
        <v>0</v>
      </c>
      <c r="AF10" s="103">
        <f t="shared" si="10"/>
        <v>0</v>
      </c>
      <c r="AG10" s="103">
        <f t="shared" si="11"/>
        <v>0</v>
      </c>
      <c r="AH10" s="103">
        <f t="shared" si="12"/>
        <v>1</v>
      </c>
      <c r="AI10" s="12"/>
    </row>
    <row r="11" spans="2:36" ht="15.75" x14ac:dyDescent="0.25">
      <c r="B11" s="42" t="s">
        <v>232</v>
      </c>
      <c r="C11" s="39" t="str">
        <f>HLOOKUP($AI$13,'Daten-Zusammensetzung Bauteil'!$B$4:$BC$7,Database!$B5,FALSE)</f>
        <v>Isolierverglasung 3-fach, Ug-Wert 0.6 W/m2K, Dicke 40 mm [m2]</v>
      </c>
      <c r="D11" s="99" t="str">
        <f>HLOOKUP($AI$13,'Daten-Funktion'!$B$4:$BC$7,Database!$B5,FALSE)</f>
        <v>E3.1</v>
      </c>
      <c r="E11" s="39">
        <f>HLOOKUP($AI$13,'Daten-THGE'!$B$4:$BC$7,Database!$B5,FALSE)</f>
        <v>2.2266666666666666</v>
      </c>
      <c r="F11" s="39">
        <f>HLOOKUP($AI$13,'Daten-Dichte'!$B$4:$BC$7,Database!$B5,FALSE)</f>
        <v>0.78</v>
      </c>
      <c r="G11" s="39"/>
      <c r="H11" s="43"/>
      <c r="I11" s="49">
        <f t="shared" ref="I11:I12" si="13">IF(H11=0,F11*E11,E11*F11)</f>
        <v>1.7367999999999999</v>
      </c>
      <c r="J11" s="39"/>
      <c r="K11" s="37"/>
      <c r="L11" s="37"/>
      <c r="M11" s="37"/>
      <c r="P11" s="37"/>
      <c r="Q11" s="39"/>
      <c r="R11" s="99"/>
      <c r="S11" s="39"/>
      <c r="T11" s="39"/>
      <c r="U11" s="39"/>
      <c r="V11" s="39"/>
      <c r="W11" s="49"/>
      <c r="X11" s="37"/>
      <c r="Y11" s="37"/>
      <c r="Z11" s="123">
        <f>IF(X4=0,0,SUMPRODUCT(W4:W10*Z4:Z10)/SUM(W4:W10)*AJ4)</f>
        <v>0</v>
      </c>
      <c r="AA11" s="123">
        <f>IF(X4=0,0,SUMPRODUCT(W4:W10*AA4:AA10)/SUM(W4:W10)*AK4)</f>
        <v>0</v>
      </c>
      <c r="AB11" s="123">
        <f>IF(X4=0,0,SUMPRODUCT(W4:W10*AB4:AB10)/SUM(W4:W10))</f>
        <v>0</v>
      </c>
      <c r="AC11" s="123">
        <f>IF(X4=0,0,SUMPRODUCT(W4:W10*AC4:AC10)/SUM(W4:W10))</f>
        <v>0</v>
      </c>
      <c r="AD11" s="123">
        <f>IF(X4=0,0,SUMPRODUCT(W4:W10*AD4:AD10)/SUM(W4:W10))</f>
        <v>0</v>
      </c>
      <c r="AE11" s="123">
        <f>IF(X4=0,0,SUMPRODUCT(W4:W10*AE4:AE10)/SUM(W4:W10))</f>
        <v>0</v>
      </c>
      <c r="AF11" s="123">
        <f>IF(X4=0,0,SUMPRODUCT(W4:W10*AF4:AF10)/SUM(W4:W10))</f>
        <v>0</v>
      </c>
      <c r="AG11" s="123">
        <f>IF(X4=0,0,SUMPRODUCT(W4:W10*AG4:AG10)/SUM(W4:W10))</f>
        <v>0</v>
      </c>
      <c r="AH11" s="123">
        <f>IF(X4=0,0,SUMPRODUCT(W4:W10*AH4:AH10)/SUM(W4:W10)*AJ4)</f>
        <v>0</v>
      </c>
      <c r="AI11" s="128">
        <f>SUM(Z11:AH11)</f>
        <v>0</v>
      </c>
    </row>
    <row r="12" spans="2:36" ht="15.75" x14ac:dyDescent="0.25">
      <c r="C12" s="39" t="str">
        <f>HLOOKUP($AI$13,'Daten-Zusammensetzung Bauteil'!$B$4:$BC$7,Database!$B6,FALSE)</f>
        <v>Lamellenstoren [m2]</v>
      </c>
      <c r="D12" s="99" t="str">
        <f>HLOOKUP($AI$13,'Daten-Funktion'!$B$4:$BC$7,Database!$B6,FALSE)</f>
        <v>E3.3</v>
      </c>
      <c r="E12" s="39">
        <f>HLOOKUP($AI$13,'Daten-THGE'!$B$4:$BC$7,Database!$B6,FALSE)</f>
        <v>1.9133333333333333</v>
      </c>
      <c r="F12" s="39">
        <f>HLOOKUP($AI$13,'Daten-Dichte'!$B$4:$BC$7,Database!$B6,FALSE)</f>
        <v>1</v>
      </c>
      <c r="G12" s="39"/>
      <c r="H12" s="44"/>
      <c r="I12" s="49">
        <f t="shared" si="13"/>
        <v>1.9133333333333333</v>
      </c>
      <c r="J12" s="37"/>
      <c r="K12" s="37"/>
      <c r="L12" s="37"/>
      <c r="M12" s="37"/>
      <c r="P12" s="47" t="s">
        <v>241</v>
      </c>
      <c r="AI12" s="12"/>
    </row>
    <row r="13" spans="2:36" ht="20.25" x14ac:dyDescent="0.3">
      <c r="C13" s="39"/>
      <c r="D13" s="99"/>
      <c r="E13" s="39"/>
      <c r="F13" s="39"/>
      <c r="G13" s="39"/>
      <c r="H13" s="49"/>
      <c r="I13" s="49"/>
      <c r="J13" s="37"/>
      <c r="K13" s="37"/>
      <c r="L13" s="107" t="s">
        <v>407</v>
      </c>
      <c r="M13" s="107" t="s">
        <v>408</v>
      </c>
      <c r="N13" s="107" t="s">
        <v>409</v>
      </c>
      <c r="P13" s="41" t="s">
        <v>362</v>
      </c>
      <c r="Q13" s="40" t="s">
        <v>227</v>
      </c>
      <c r="R13" s="93"/>
      <c r="S13" s="40" t="s">
        <v>182</v>
      </c>
      <c r="T13" s="40" t="s">
        <v>226</v>
      </c>
      <c r="U13" s="40" t="s">
        <v>242</v>
      </c>
      <c r="V13" s="42" t="s">
        <v>243</v>
      </c>
      <c r="W13" s="40" t="s">
        <v>193</v>
      </c>
      <c r="X13" s="38" t="s">
        <v>194</v>
      </c>
      <c r="Y13" s="37"/>
      <c r="AI13" s="12" t="str">
        <f>VLOOKUP($B$10,Database!$D$20:$E$20,2,FALSE)</f>
        <v>3a</v>
      </c>
      <c r="AJ13" s="12" t="str">
        <f>VLOOKUP($P$16,Database!$D$21:$E$22,2,FALSE)</f>
        <v>13a</v>
      </c>
    </row>
    <row r="14" spans="2:36" ht="20.25" x14ac:dyDescent="0.3">
      <c r="B14" s="41" t="s">
        <v>361</v>
      </c>
      <c r="C14" s="40" t="s">
        <v>227</v>
      </c>
      <c r="D14" s="93"/>
      <c r="E14" s="40" t="s">
        <v>182</v>
      </c>
      <c r="F14" s="40" t="s">
        <v>226</v>
      </c>
      <c r="G14" s="40" t="s">
        <v>242</v>
      </c>
      <c r="H14" s="42" t="s">
        <v>243</v>
      </c>
      <c r="I14" s="40" t="s">
        <v>193</v>
      </c>
      <c r="J14" s="38" t="s">
        <v>194</v>
      </c>
      <c r="K14" s="37"/>
      <c r="L14" s="37"/>
      <c r="M14" s="37"/>
      <c r="P14" s="40" t="s">
        <v>176</v>
      </c>
      <c r="Q14" s="39" t="str">
        <f>HLOOKUP($AJ$13,'Daten-Zusammensetzung Bauteil'!$B$4:$BC$11,Database!$B4,FALSE)</f>
        <v>Balkonkragplatte Ortbeton [kg]</v>
      </c>
      <c r="R14" s="99" t="str">
        <f>MID(HLOOKUP($AJ$13,'Daten-Funktion'!$B$4:$BC$11,Database!$B4,FALSE),1,2)</f>
        <v>C4</v>
      </c>
      <c r="S14" s="39">
        <f>HLOOKUP($AJ$13,'Daten-THGE'!$B$4:$BC$11,Database!$B4,FALSE)</f>
        <v>2.48E-3</v>
      </c>
      <c r="T14" s="39">
        <f>HLOOKUP($AJ$13,'Daten-Dichte'!$B$4:$BC$11,Database!$B4,FALSE)</f>
        <v>2300</v>
      </c>
      <c r="U14" s="39">
        <f>HLOOKUP($AJ$13,'Daten-Dicke'!$B$4:$BC$11,Database!$B4,FALSE)</f>
        <v>20.375</v>
      </c>
      <c r="V14" s="43"/>
      <c r="W14" s="49">
        <f>IF(V14=0,T14*U14/100*S14,S14*T14*V14/1000)</f>
        <v>1.1621900000000001</v>
      </c>
      <c r="X14" s="51">
        <f>SUM(W14:W20)*$AJ$14*P18</f>
        <v>727.48943749999989</v>
      </c>
      <c r="Y14" s="40" t="s">
        <v>244</v>
      </c>
      <c r="AI14" s="12"/>
      <c r="AJ14">
        <f>IF($P$16=Database!$D$21,1,0)</f>
        <v>1</v>
      </c>
    </row>
    <row r="15" spans="2:36" ht="15.75" x14ac:dyDescent="0.25">
      <c r="B15" s="40" t="s">
        <v>181</v>
      </c>
      <c r="C15" s="39" t="str">
        <f>HLOOKUP($AI$23,'Daten-Zusammensetzung Bauteil'!$B$4:$BC$14,Database!$B4,FALSE)</f>
        <v>Holz-Metallfenster [m2 i.L.]</v>
      </c>
      <c r="D15" s="99" t="str">
        <f>HLOOKUP($AI$23,'Daten-Funktion'!$B$4:$BC$14,Database!$B4,FALSE)</f>
        <v>E3.1</v>
      </c>
      <c r="E15" s="39">
        <f>HLOOKUP($AI$23,'Daten-THGE'!$B$4:$BC$14,Database!$B4,FALSE)</f>
        <v>7.2333333333333334</v>
      </c>
      <c r="F15" s="39">
        <f>HLOOKUP($AI$23,'Daten-Dichte'!$B$4:$BC$14,Database!$B4,FALSE)</f>
        <v>0.22</v>
      </c>
      <c r="G15" s="39"/>
      <c r="H15" s="43"/>
      <c r="I15" s="49">
        <f>IF(H15=0,F15*E15,E15*F15)</f>
        <v>1.5913333333333333</v>
      </c>
      <c r="J15" s="50">
        <f>SUM(I15:I17)*Gebäude!$C$43</f>
        <v>1347.0569333333333</v>
      </c>
      <c r="K15" s="40" t="s">
        <v>244</v>
      </c>
      <c r="L15" s="103">
        <f>IF(D15="E3.1",1,0)</f>
        <v>1</v>
      </c>
      <c r="M15" s="103">
        <f>IF(D15="E3.2",1,0)</f>
        <v>0</v>
      </c>
      <c r="N15" s="103">
        <f>IF(D15="E3.3",1,0)</f>
        <v>0</v>
      </c>
      <c r="P15" s="42" t="s">
        <v>232</v>
      </c>
      <c r="Q15" s="39" t="str">
        <f>HLOOKUP($AJ$13,'Daten-Zusammensetzung Bauteil'!$B$4:$BC$11,Database!$B5,FALSE)</f>
        <v>Bewehrungsstahl [kg]</v>
      </c>
      <c r="R15" s="99" t="str">
        <f>MID(HLOOKUP($AJ$13,'Daten-Funktion'!$B$4:$BC$11,Database!$B5,FALSE),1,2)</f>
        <v>C4</v>
      </c>
      <c r="S15" s="39">
        <f>HLOOKUP($AJ$13,'Daten-THGE'!$B$4:$BC$11,Database!$B5,FALSE)</f>
        <v>1.7050000000000003E-2</v>
      </c>
      <c r="T15" s="39">
        <f>HLOOKUP($AJ$13,'Daten-Dichte'!$B$4:$BC$11,Database!$B5,FALSE)</f>
        <v>7850</v>
      </c>
      <c r="U15" s="39">
        <f>HLOOKUP($AJ$13,'Daten-Dicke'!$B$4:$BC$11,Database!$B5,FALSE)</f>
        <v>0.223328025477707</v>
      </c>
      <c r="V15" s="43"/>
      <c r="W15" s="49">
        <f t="shared" ref="W15:W20" si="14">IF(V15=0,T15*U15/100*S15,S15*T15*V15/1000)</f>
        <v>0.29890781250000004</v>
      </c>
      <c r="X15" s="39"/>
      <c r="Y15" s="37"/>
    </row>
    <row r="16" spans="2:36" ht="15.75" x14ac:dyDescent="0.25">
      <c r="B16" s="40" t="str">
        <f>Gebäude!$G$25</f>
        <v>Massivbauweise</v>
      </c>
      <c r="C16" s="39" t="str">
        <f>HLOOKUP($AI$23,'Daten-Zusammensetzung Bauteil'!$B$4:$BC$14,Database!$B5,FALSE)</f>
        <v>Isolierverglasung 3-fach, Ug-Wert 0.6 W/m2K, Dicke 40 mm [m2]</v>
      </c>
      <c r="D16" s="99" t="str">
        <f>HLOOKUP($AI$23,'Daten-Funktion'!$B$4:$BC$14,Database!$B5,FALSE)</f>
        <v>E3.1</v>
      </c>
      <c r="E16" s="39">
        <f>HLOOKUP($AI$23,'Daten-THGE'!$B$4:$BC$14,Database!$B5,FALSE)</f>
        <v>2.2266666666666666</v>
      </c>
      <c r="F16" s="39">
        <f>HLOOKUP($AI$23,'Daten-Dichte'!$B$4:$BC$14,Database!$B5,FALSE)</f>
        <v>0.78</v>
      </c>
      <c r="G16" s="39"/>
      <c r="H16" s="43"/>
      <c r="I16" s="49">
        <f>IF(H16=0,F16*E16,E16*F16)</f>
        <v>1.7367999999999999</v>
      </c>
      <c r="J16" s="39"/>
      <c r="K16" s="37"/>
      <c r="L16" s="103">
        <f>IF(D16="E3.1",1,0)</f>
        <v>1</v>
      </c>
      <c r="M16" s="103">
        <f t="shared" ref="M16:M17" si="15">IF(D16="E3.2",1,0)</f>
        <v>0</v>
      </c>
      <c r="N16" s="103">
        <f t="shared" ref="N16:N17" si="16">IF(D16="E3.3",1,0)</f>
        <v>0</v>
      </c>
      <c r="P16" s="42" t="s">
        <v>321</v>
      </c>
      <c r="Q16" s="39" t="str">
        <f>HLOOKUP($AJ$13,'Daten-Zusammensetzung Bauteil'!$B$4:$BC$11,Database!$B6,FALSE)</f>
        <v>3-SP Schalung 2.5 cm (Annahme 5xverwendet) [kg]</v>
      </c>
      <c r="R16" s="99" t="str">
        <f>MID(HLOOKUP($AJ$13,'Daten-Funktion'!$B$4:$BC$11,Database!$B6,FALSE),1,2)</f>
        <v>C4</v>
      </c>
      <c r="S16" s="39">
        <f>HLOOKUP($AJ$13,'Daten-THGE'!$B$4:$BC$11,Database!$B6,FALSE)</f>
        <v>1.3075E-2</v>
      </c>
      <c r="T16" s="39">
        <f>HLOOKUP($AJ$13,'Daten-Dichte'!$B$4:$BC$11,Database!$B6,FALSE)</f>
        <v>470</v>
      </c>
      <c r="U16" s="39">
        <f>HLOOKUP($AJ$13,'Daten-Dicke'!$B$4:$BC$11,Database!$B6,FALSE)</f>
        <v>1.0000000000000002</v>
      </c>
      <c r="V16" s="44"/>
      <c r="W16" s="49">
        <f t="shared" si="14"/>
        <v>6.1452500000000014E-2</v>
      </c>
      <c r="X16" s="37"/>
      <c r="Y16" s="37"/>
    </row>
    <row r="17" spans="2:36" ht="15.75" x14ac:dyDescent="0.25">
      <c r="B17" s="37"/>
      <c r="C17" s="39" t="str">
        <f>HLOOKUP($AI$23,'Daten-Zusammensetzung Bauteil'!$B$4:$BC$14,Database!$B6,FALSE)</f>
        <v>Lamellenstoren [m2]</v>
      </c>
      <c r="D17" s="99" t="str">
        <f>HLOOKUP($AI$23,'Daten-Funktion'!$B$4:$BC$14,Database!$B6,FALSE)</f>
        <v>E3.3</v>
      </c>
      <c r="E17" s="39">
        <f>HLOOKUP($AI$23,'Daten-THGE'!$B$4:$BC$14,Database!$B6,FALSE)</f>
        <v>1.9133333333333333</v>
      </c>
      <c r="F17" s="39">
        <f>HLOOKUP($AI$23,'Daten-Dichte'!$B$4:$BC$14,Database!$B6,FALSE)</f>
        <v>1</v>
      </c>
      <c r="G17" s="39"/>
      <c r="H17" s="44"/>
      <c r="I17" s="49">
        <f>IF(H17=0,F17*E17,E17*F17)</f>
        <v>1.9133333333333333</v>
      </c>
      <c r="J17" s="37"/>
      <c r="K17" s="37"/>
      <c r="L17" s="103">
        <f>IF(D17="E3.1",1,0)</f>
        <v>0</v>
      </c>
      <c r="M17" s="103">
        <f t="shared" si="15"/>
        <v>0</v>
      </c>
      <c r="N17" s="103">
        <f t="shared" si="16"/>
        <v>1</v>
      </c>
      <c r="O17" s="34"/>
      <c r="P17" s="42" t="s">
        <v>320</v>
      </c>
      <c r="Q17" s="39" t="str">
        <f>HLOOKUP($AJ$13,'Daten-Zusammensetzung Bauteil'!$B$4:$BC$11,Database!$B7,FALSE)</f>
        <v>Chromstahl (Kragplattenanschluss) [kg]</v>
      </c>
      <c r="R17" s="99" t="str">
        <f>MID(HLOOKUP($AJ$13,'Daten-Funktion'!$B$4:$BC$11,Database!$B7,FALSE),1,2)</f>
        <v>C4</v>
      </c>
      <c r="S17" s="39">
        <f>HLOOKUP($AJ$13,'Daten-THGE'!$B$4:$BC$11,Database!$B7,FALSE)</f>
        <v>9.4E-2</v>
      </c>
      <c r="T17" s="39">
        <f>HLOOKUP($AJ$13,'Daten-Dichte'!$B$4:$BC$11,Database!$B7,FALSE)</f>
        <v>7900</v>
      </c>
      <c r="U17" s="39">
        <f>HLOOKUP($AJ$13,'Daten-Dicke'!$B$4:$BC$11,Database!$B7,FALSE)</f>
        <v>5.949367088607594E-2</v>
      </c>
      <c r="V17" s="44"/>
      <c r="W17" s="49">
        <f t="shared" si="14"/>
        <v>0.44179999999999992</v>
      </c>
      <c r="X17" s="37"/>
      <c r="Y17" s="37"/>
    </row>
    <row r="18" spans="2:36" ht="15.75" x14ac:dyDescent="0.25">
      <c r="L18" s="123">
        <f>SUMPRODUCT(I15:I17*L15:L17)/SUM(I15:I17)</f>
        <v>0.63496222431380522</v>
      </c>
      <c r="M18" s="123">
        <f>SUMPRODUCT(I15:I17*M15:M17)/SUM(I15:I17)</f>
        <v>0</v>
      </c>
      <c r="N18" s="123">
        <f>SUMPRODUCT(I15:I17*N15:N17)/SUM(I15:I17)</f>
        <v>0.36503777568619472</v>
      </c>
      <c r="O18" s="125">
        <f>SUM(L18:N18)</f>
        <v>1</v>
      </c>
      <c r="P18" s="42">
        <v>200</v>
      </c>
      <c r="Q18" s="39" t="str">
        <f>HLOOKUP($AJ$13,'Daten-Zusammensetzung Bauteil'!$B$4:$BC$11,Database!$B8,FALSE)</f>
        <v>XPS (Kragplattenanschluss)[kg]</v>
      </c>
      <c r="R18" s="99" t="str">
        <f>MID(HLOOKUP($AJ$13,'Daten-Funktion'!$B$4:$BC$11,Database!$B8,FALSE),1,2)</f>
        <v>C4</v>
      </c>
      <c r="S18" s="39">
        <f>HLOOKUP($AJ$13,'Daten-THGE'!$B$4:$BC$11,Database!$B8,FALSE)</f>
        <v>0.36249999999999999</v>
      </c>
      <c r="T18" s="39">
        <f>HLOOKUP($AJ$13,'Daten-Dichte'!$B$4:$BC$11,Database!$B8,FALSE)</f>
        <v>35</v>
      </c>
      <c r="U18" s="39">
        <f>HLOOKUP($AJ$13,'Daten-Dicke'!$B$4:$BC$11,Database!$B8,FALSE)</f>
        <v>0.85714285714285721</v>
      </c>
      <c r="V18" s="44"/>
      <c r="W18" s="49">
        <f t="shared" si="14"/>
        <v>0.10875000000000001</v>
      </c>
      <c r="X18" s="37"/>
      <c r="Y18" s="37"/>
    </row>
    <row r="19" spans="2:36" ht="15.75" x14ac:dyDescent="0.25">
      <c r="B19" s="47" t="s">
        <v>241</v>
      </c>
      <c r="Q19" s="39" t="str">
        <f>HLOOKUP($AJ$13,'Daten-Zusammensetzung Bauteil'!$B$4:$BC$11,Database!$B9,FALSE)</f>
        <v>Harbetonüberzug [kg]</v>
      </c>
      <c r="R19" s="99" t="str">
        <f>HLOOKUP($AJ$13,'Daten-Funktion'!$B$4:$BC$11,Database!$B9,FALSE)</f>
        <v>G2.2</v>
      </c>
      <c r="S19" s="39">
        <f>HLOOKUP($AJ$13,'Daten-THGE'!$B$4:$BC$11,Database!$B9,FALSE)</f>
        <v>7.3096885813148799E-3</v>
      </c>
      <c r="T19" s="39">
        <f>HLOOKUP($AJ$13,'Daten-Dichte'!$B$4:$BC$11,Database!$B9,FALSE)</f>
        <v>2101.8181818181815</v>
      </c>
      <c r="U19" s="39">
        <f>HLOOKUP($AJ$13,'Daten-Dicke'!$B$4:$BC$11,Database!$B9,FALSE)</f>
        <v>2.75</v>
      </c>
      <c r="V19" s="44"/>
      <c r="W19" s="49">
        <f t="shared" si="14"/>
        <v>0.42249999999999999</v>
      </c>
      <c r="X19" s="37"/>
      <c r="Y19" s="37"/>
    </row>
    <row r="20" spans="2:36" ht="20.25" x14ac:dyDescent="0.3">
      <c r="B20" s="41" t="s">
        <v>361</v>
      </c>
      <c r="C20" s="40" t="s">
        <v>227</v>
      </c>
      <c r="D20" s="93"/>
      <c r="E20" s="40" t="s">
        <v>182</v>
      </c>
      <c r="F20" s="40" t="s">
        <v>226</v>
      </c>
      <c r="G20" s="40" t="s">
        <v>242</v>
      </c>
      <c r="H20" s="42" t="s">
        <v>243</v>
      </c>
      <c r="I20" s="40" t="s">
        <v>193</v>
      </c>
      <c r="J20" s="38" t="s">
        <v>194</v>
      </c>
      <c r="K20" s="37"/>
      <c r="L20" s="37"/>
      <c r="M20" s="37"/>
      <c r="Q20" s="39" t="str">
        <f>HLOOKUP($AJ$13,'Daten-Zusammensetzung Bauteil'!$B$4:$BC$11,Database!$B10,FALSE)</f>
        <v>Metallstabgeländer [kg]</v>
      </c>
      <c r="R20" s="99" t="str">
        <f>HLOOKUP($AJ$13,'Daten-Funktion'!$B$4:$BC$11,Database!$B10,FALSE)</f>
        <v>E2.6</v>
      </c>
      <c r="S20" s="39">
        <f>HLOOKUP($AJ$13,'Daten-THGE'!$B$4:$BC$11,Database!$B10,FALSE)</f>
        <v>8.7749999999999995E-2</v>
      </c>
      <c r="T20" s="39">
        <f>HLOOKUP($AJ$13,'Daten-Dichte'!$B$4:$BC$11,Database!$B10,FALSE)</f>
        <v>7850</v>
      </c>
      <c r="U20" s="39">
        <f>HLOOKUP($AJ$13,'Daten-Dicke'!$B$4:$BC$11,Database!$B10,FALSE)</f>
        <v>0.16576433121019107</v>
      </c>
      <c r="V20" s="44"/>
      <c r="W20" s="49">
        <f t="shared" si="14"/>
        <v>1.1418468749999999</v>
      </c>
      <c r="X20" s="37"/>
      <c r="Y20" s="37"/>
    </row>
    <row r="21" spans="2:36" ht="15.75" x14ac:dyDescent="0.25">
      <c r="B21" s="40" t="s">
        <v>181</v>
      </c>
      <c r="C21" s="39" t="str">
        <f>HLOOKUP($AI$33,'Daten-Zusammensetzung Bauteil'!$B$4:$BC$14,Database!$B4,FALSE)</f>
        <v>Holz-Metallfenster [m2 i.L.]</v>
      </c>
      <c r="D21" s="99" t="str">
        <f>HLOOKUP($AI$33,'Daten-Funktion'!$B$4:$BC$14,Database!$B4,FALSE)</f>
        <v>E3.1</v>
      </c>
      <c r="E21" s="39">
        <f>HLOOKUP($AI$33,'Daten-THGE'!$B$4:$BC$14,Database!$B4,FALSE)</f>
        <v>7.2333333333333334</v>
      </c>
      <c r="F21" s="39">
        <f>HLOOKUP($AI$33,'Daten-Dichte'!$B$4:$BC$14,Database!$B4,FALSE)</f>
        <v>0.22</v>
      </c>
      <c r="G21" s="39"/>
      <c r="H21" s="43"/>
      <c r="I21" s="49">
        <f>IF(H21=0,F21*E21,E21*F21)</f>
        <v>1.5913333333333333</v>
      </c>
      <c r="J21" s="50">
        <f>SUM(I21:I23)*Gebäude!$C$43</f>
        <v>1347.0569333333333</v>
      </c>
      <c r="K21" s="40" t="s">
        <v>244</v>
      </c>
      <c r="L21" s="40"/>
      <c r="M21" s="40"/>
      <c r="Q21" s="39"/>
      <c r="R21" s="99"/>
      <c r="S21" s="39"/>
      <c r="T21" s="39"/>
      <c r="U21" s="39"/>
      <c r="Z21" s="107" t="s">
        <v>394</v>
      </c>
      <c r="AA21" s="107" t="s">
        <v>412</v>
      </c>
      <c r="AB21" s="107" t="s">
        <v>413</v>
      </c>
      <c r="AC21" s="107" t="s">
        <v>403</v>
      </c>
      <c r="AD21" s="107" t="s">
        <v>404</v>
      </c>
      <c r="AE21" s="107" t="s">
        <v>405</v>
      </c>
      <c r="AF21" s="107" t="s">
        <v>406</v>
      </c>
      <c r="AG21" s="107" t="s">
        <v>420</v>
      </c>
      <c r="AH21" s="107" t="s">
        <v>421</v>
      </c>
    </row>
    <row r="22" spans="2:36" ht="20.25" x14ac:dyDescent="0.3">
      <c r="B22" s="42" t="s">
        <v>232</v>
      </c>
      <c r="C22" s="39" t="str">
        <f>HLOOKUP($AI$33,'Daten-Zusammensetzung Bauteil'!$B$4:$BC$14,Database!$B5,FALSE)</f>
        <v>Isolierverglasung 3-fach, Ug-Wert 0.6 W/m2K, Dicke 40 mm [m2]</v>
      </c>
      <c r="D22" s="99" t="str">
        <f>HLOOKUP($AI$33,'Daten-Funktion'!$B$4:$BC$14,Database!$B5,FALSE)</f>
        <v>E3.1</v>
      </c>
      <c r="E22" s="39">
        <f>HLOOKUP($AI$33,'Daten-THGE'!$B$4:$BC$14,Database!$B5,FALSE)</f>
        <v>2.2266666666666666</v>
      </c>
      <c r="F22" s="39">
        <f>HLOOKUP($AI$33,'Daten-Dichte'!$B$4:$BC$14,Database!$B5,FALSE)</f>
        <v>0.78</v>
      </c>
      <c r="G22" s="39"/>
      <c r="H22" s="43"/>
      <c r="I22" s="49">
        <f>IF(H22=0,F22*E22,E22*F22)</f>
        <v>1.7367999999999999</v>
      </c>
      <c r="J22" s="39"/>
      <c r="K22" s="37"/>
      <c r="L22" s="37"/>
      <c r="M22" s="37"/>
      <c r="P22" s="41" t="s">
        <v>361</v>
      </c>
      <c r="Q22" s="40" t="s">
        <v>227</v>
      </c>
      <c r="R22" s="93"/>
      <c r="S22" s="40" t="s">
        <v>182</v>
      </c>
      <c r="T22" s="40" t="s">
        <v>226</v>
      </c>
      <c r="U22" s="40" t="s">
        <v>242</v>
      </c>
      <c r="V22" s="42" t="s">
        <v>243</v>
      </c>
      <c r="W22" s="40" t="s">
        <v>193</v>
      </c>
      <c r="X22" s="38" t="s">
        <v>194</v>
      </c>
      <c r="Y22" s="37"/>
    </row>
    <row r="23" spans="2:36" ht="15.75" x14ac:dyDescent="0.25">
      <c r="B23" s="37"/>
      <c r="C23" s="39" t="str">
        <f>HLOOKUP($AI$33,'Daten-Zusammensetzung Bauteil'!$B$4:$BC$14,Database!$B6,FALSE)</f>
        <v>Lamellenstoren [m2]</v>
      </c>
      <c r="D23" s="99" t="str">
        <f>HLOOKUP($AI$33,'Daten-Funktion'!$B$4:$BC$14,Database!$B6,FALSE)</f>
        <v>E3.3</v>
      </c>
      <c r="E23" s="39">
        <f>HLOOKUP($AI$33,'Daten-THGE'!$B$4:$BC$14,Database!$B6,FALSE)</f>
        <v>1.9133333333333333</v>
      </c>
      <c r="F23" s="39">
        <f>HLOOKUP($AI$33,'Daten-Dichte'!$B$4:$BC$14,Database!$B6,FALSE)</f>
        <v>1</v>
      </c>
      <c r="G23" s="39"/>
      <c r="H23" s="44"/>
      <c r="I23" s="49">
        <f>IF(H23=0,F23*E23,E23*F23)</f>
        <v>1.9133333333333333</v>
      </c>
      <c r="J23" s="37"/>
      <c r="K23" s="37"/>
      <c r="L23" s="37"/>
      <c r="M23" s="37"/>
      <c r="N23" s="97"/>
      <c r="O23" s="34"/>
      <c r="P23" s="40" t="s">
        <v>176</v>
      </c>
      <c r="Q23" s="39" t="str">
        <f>HLOOKUP($AJ$23,'Daten-Zusammensetzung Bauteil'!$B$4:$BC$14,Database!$B4,FALSE)</f>
        <v>Balkonkragplatte Ortbeton [kg]</v>
      </c>
      <c r="R23" s="99" t="str">
        <f>MID(HLOOKUP($AJ$23,'Daten-Funktion'!$B$4:$BC$14,Database!$B4,FALSE),1,2)</f>
        <v>C4</v>
      </c>
      <c r="S23" s="39">
        <f>HLOOKUP($AJ$23,'Daten-THGE'!$B$4:$BC$14,Database!$B4,FALSE)</f>
        <v>2.48E-3</v>
      </c>
      <c r="T23" s="39">
        <f>HLOOKUP($AJ$23,'Daten-Dichte'!$B$4:$BC$14,Database!$B4,FALSE)</f>
        <v>2300</v>
      </c>
      <c r="U23" s="39">
        <f>HLOOKUP($AJ$23,'Daten-Dicke'!$B$4:$BC$14,Database!$B4,FALSE)</f>
        <v>20.375</v>
      </c>
      <c r="V23" s="43"/>
      <c r="W23" s="49">
        <f>IF(V23=0,T23*U23/100*S23,S23*T23*V23/1000)</f>
        <v>1.1621900000000001</v>
      </c>
      <c r="X23" s="50">
        <f>SUM(W23:W29)*$AJ$24*Gebäude!$C$44</f>
        <v>0</v>
      </c>
      <c r="Y23" s="40" t="s">
        <v>244</v>
      </c>
      <c r="Z23" s="103">
        <f>IF(R23="C4",1,0)</f>
        <v>1</v>
      </c>
      <c r="AA23" s="103">
        <f>IF(R23="G2.1",1,0)</f>
        <v>0</v>
      </c>
      <c r="AB23" s="103">
        <f>IF(R23="G2.2",1,0)</f>
        <v>0</v>
      </c>
      <c r="AC23" s="103">
        <f>IF(R23="E2.1",1,0)</f>
        <v>0</v>
      </c>
      <c r="AD23" s="103">
        <f>IF(R23="E2.2",1,0)</f>
        <v>0</v>
      </c>
      <c r="AE23" s="103">
        <f>IF(R23="E2.3",1,0)</f>
        <v>0</v>
      </c>
      <c r="AF23" s="103">
        <f>IF(R23="E2.4",1,0)</f>
        <v>0</v>
      </c>
      <c r="AG23" s="103">
        <f>IF(R23="E2.5",1,0)</f>
        <v>0</v>
      </c>
      <c r="AH23" s="103">
        <f>IF(R23="E2.6",1,0)</f>
        <v>0</v>
      </c>
      <c r="AI23" t="str">
        <f>VLOOKUP($B$16,Database!$Y$29:$AD$31,5,FALSE)</f>
        <v>3a</v>
      </c>
      <c r="AJ23" t="str">
        <f>VLOOKUP($P$24,Database!$Y$29:$AD$31,6,FALSE)</f>
        <v>13a</v>
      </c>
    </row>
    <row r="24" spans="2:36" ht="15.75" x14ac:dyDescent="0.25">
      <c r="P24" s="40" t="str">
        <f>Gebäude!$G$25</f>
        <v>Massivbauweise</v>
      </c>
      <c r="Q24" s="39" t="str">
        <f>HLOOKUP($AJ$23,'Daten-Zusammensetzung Bauteil'!$B$4:$BC$14,Database!$B5,FALSE)</f>
        <v>Bewehrungsstahl [kg]</v>
      </c>
      <c r="R24" s="99" t="str">
        <f>MID(HLOOKUP($AJ$23,'Daten-Funktion'!$B$4:$BC$14,Database!$B5,FALSE),1,2)</f>
        <v>C4</v>
      </c>
      <c r="S24" s="39">
        <f>HLOOKUP($AJ$23,'Daten-THGE'!$B$4:$BC$14,Database!$B5,FALSE)</f>
        <v>1.7050000000000003E-2</v>
      </c>
      <c r="T24" s="39">
        <f>HLOOKUP($AJ$23,'Daten-Dichte'!$B$4:$BC$14,Database!$B5,FALSE)</f>
        <v>7850</v>
      </c>
      <c r="U24" s="39">
        <f>HLOOKUP($AJ$23,'Daten-Dicke'!$B$4:$BC$14,Database!$B5,FALSE)</f>
        <v>0.223328025477707</v>
      </c>
      <c r="V24" s="43"/>
      <c r="W24" s="49">
        <f t="shared" ref="W24:W29" si="17">IF(V24=0,T24*U24/100*S24,S24*T24*V24/1000)</f>
        <v>0.29890781250000004</v>
      </c>
      <c r="X24" s="39"/>
      <c r="Y24" s="37"/>
      <c r="Z24" s="103">
        <f t="shared" ref="Z24:Z29" si="18">IF(R24="C4",1,0)</f>
        <v>1</v>
      </c>
      <c r="AA24" s="103">
        <f t="shared" ref="AA24:AA29" si="19">IF(R24="G2.1",1,0)</f>
        <v>0</v>
      </c>
      <c r="AB24" s="103">
        <f t="shared" ref="AB24:AB29" si="20">IF(R24="G2.2",1,0)</f>
        <v>0</v>
      </c>
      <c r="AC24" s="103">
        <f t="shared" ref="AC24:AC29" si="21">IF(R24="E2.1",1,0)</f>
        <v>0</v>
      </c>
      <c r="AD24" s="103">
        <f t="shared" ref="AD24:AD29" si="22">IF(R24="E2.2",1,0)</f>
        <v>0</v>
      </c>
      <c r="AE24" s="103">
        <f t="shared" ref="AE24:AE29" si="23">IF(R24="E2.3",1,0)</f>
        <v>0</v>
      </c>
      <c r="AF24" s="103">
        <f t="shared" ref="AF24:AF29" si="24">IF(R24="E2.4",1,0)</f>
        <v>0</v>
      </c>
      <c r="AG24" s="103">
        <f t="shared" ref="AG24:AG29" si="25">IF(R24="E2.5",1,0)</f>
        <v>0</v>
      </c>
      <c r="AH24" s="103">
        <f t="shared" ref="AH24:AH29" si="26">IF(R24="E2.6",1,0)</f>
        <v>0</v>
      </c>
      <c r="AJ24">
        <f>IF($P$25=Database!$D$21,1,0)</f>
        <v>0</v>
      </c>
    </row>
    <row r="25" spans="2:36" ht="15.75" x14ac:dyDescent="0.25">
      <c r="P25" s="40" t="str">
        <f>Gebäude!$G$38</f>
        <v>Nein</v>
      </c>
      <c r="Q25" s="39" t="str">
        <f>HLOOKUP($AJ$23,'Daten-Zusammensetzung Bauteil'!$B$4:$BC$14,Database!$B6,FALSE)</f>
        <v>3-SP Schalung 2.5 cm (Annahme 5xverwendet) [kg]</v>
      </c>
      <c r="R25" s="99" t="str">
        <f>MID(HLOOKUP($AJ$23,'Daten-Funktion'!$B$4:$BC$14,Database!$B6,FALSE),1,2)</f>
        <v>C4</v>
      </c>
      <c r="S25" s="39">
        <f>HLOOKUP($AJ$23,'Daten-THGE'!$B$4:$BC$14,Database!$B6,FALSE)</f>
        <v>1.3075E-2</v>
      </c>
      <c r="T25" s="39">
        <f>HLOOKUP($AJ$23,'Daten-Dichte'!$B$4:$BC$14,Database!$B6,FALSE)</f>
        <v>470</v>
      </c>
      <c r="U25" s="39">
        <f>HLOOKUP($AJ$23,'Daten-Dicke'!$B$4:$BC$14,Database!$B6,FALSE)</f>
        <v>1.0000000000000002</v>
      </c>
      <c r="V25" s="44"/>
      <c r="W25" s="49">
        <f t="shared" si="17"/>
        <v>6.1452500000000014E-2</v>
      </c>
      <c r="X25" s="37"/>
      <c r="Y25" s="37"/>
      <c r="Z25" s="103">
        <f t="shared" si="18"/>
        <v>1</v>
      </c>
      <c r="AA25" s="103">
        <f t="shared" si="19"/>
        <v>0</v>
      </c>
      <c r="AB25" s="103">
        <f t="shared" si="20"/>
        <v>0</v>
      </c>
      <c r="AC25" s="103">
        <f t="shared" si="21"/>
        <v>0</v>
      </c>
      <c r="AD25" s="103">
        <f t="shared" si="22"/>
        <v>0</v>
      </c>
      <c r="AE25" s="103">
        <f t="shared" si="23"/>
        <v>0</v>
      </c>
      <c r="AF25" s="103">
        <f t="shared" si="24"/>
        <v>0</v>
      </c>
      <c r="AG25" s="103">
        <f t="shared" si="25"/>
        <v>0</v>
      </c>
      <c r="AH25" s="103">
        <f t="shared" si="26"/>
        <v>0</v>
      </c>
    </row>
    <row r="26" spans="2:36" ht="15.75" x14ac:dyDescent="0.25">
      <c r="P26" s="37"/>
      <c r="Q26" s="39" t="str">
        <f>HLOOKUP($AJ$23,'Daten-Zusammensetzung Bauteil'!$B$4:$BC$14,Database!$B7,FALSE)</f>
        <v>Chromstahl (Kragplattenanschluss) [kg]</v>
      </c>
      <c r="R26" s="99" t="str">
        <f>MID(HLOOKUP($AJ$23,'Daten-Funktion'!$B$4:$BC$14,Database!$B7,FALSE),1,2)</f>
        <v>C4</v>
      </c>
      <c r="S26" s="39">
        <f>HLOOKUP($AJ$23,'Daten-THGE'!$B$4:$BC$14,Database!$B7,FALSE)</f>
        <v>9.4E-2</v>
      </c>
      <c r="T26" s="39">
        <f>HLOOKUP($AJ$23,'Daten-Dichte'!$B$4:$BC$14,Database!$B7,FALSE)</f>
        <v>7900</v>
      </c>
      <c r="U26" s="39">
        <f>HLOOKUP($AJ$23,'Daten-Dicke'!$B$4:$BC$14,Database!$B7,FALSE)</f>
        <v>5.949367088607594E-2</v>
      </c>
      <c r="V26" s="44"/>
      <c r="W26" s="49">
        <f t="shared" si="17"/>
        <v>0.44179999999999992</v>
      </c>
      <c r="X26" s="37"/>
      <c r="Y26" s="37"/>
      <c r="Z26" s="103">
        <f t="shared" si="18"/>
        <v>1</v>
      </c>
      <c r="AA26" s="103">
        <f t="shared" si="19"/>
        <v>0</v>
      </c>
      <c r="AB26" s="103">
        <f t="shared" si="20"/>
        <v>0</v>
      </c>
      <c r="AC26" s="103">
        <f t="shared" si="21"/>
        <v>0</v>
      </c>
      <c r="AD26" s="103">
        <f t="shared" si="22"/>
        <v>0</v>
      </c>
      <c r="AE26" s="103">
        <f t="shared" si="23"/>
        <v>0</v>
      </c>
      <c r="AF26" s="103">
        <f t="shared" si="24"/>
        <v>0</v>
      </c>
      <c r="AG26" s="103">
        <f t="shared" si="25"/>
        <v>0</v>
      </c>
      <c r="AH26" s="103">
        <f t="shared" si="26"/>
        <v>0</v>
      </c>
    </row>
    <row r="27" spans="2:36" ht="15.75" x14ac:dyDescent="0.25">
      <c r="P27" s="37"/>
      <c r="Q27" s="39" t="str">
        <f>HLOOKUP($AJ$23,'Daten-Zusammensetzung Bauteil'!$B$4:$BC$14,Database!$B8,FALSE)</f>
        <v>XPS (Kragplattenanschluss)[kg]</v>
      </c>
      <c r="R27" s="99" t="str">
        <f>MID(HLOOKUP($AJ$23,'Daten-Funktion'!$B$4:$BC$14,Database!$B8,FALSE),1,2)</f>
        <v>C4</v>
      </c>
      <c r="S27" s="39">
        <f>HLOOKUP($AJ$23,'Daten-THGE'!$B$4:$BC$14,Database!$B8,FALSE)</f>
        <v>0.36249999999999999</v>
      </c>
      <c r="T27" s="39">
        <f>HLOOKUP($AJ$23,'Daten-Dichte'!$B$4:$BC$14,Database!$B8,FALSE)</f>
        <v>35</v>
      </c>
      <c r="U27" s="39">
        <f>HLOOKUP($AJ$23,'Daten-Dicke'!$B$4:$BC$14,Database!$B8,FALSE)</f>
        <v>0.85714285714285721</v>
      </c>
      <c r="V27" s="44"/>
      <c r="W27" s="49">
        <f t="shared" si="17"/>
        <v>0.10875000000000001</v>
      </c>
      <c r="X27" s="37"/>
      <c r="Y27" s="37"/>
      <c r="Z27" s="103">
        <f t="shared" si="18"/>
        <v>1</v>
      </c>
      <c r="AA27" s="103">
        <f t="shared" si="19"/>
        <v>0</v>
      </c>
      <c r="AB27" s="103">
        <f t="shared" si="20"/>
        <v>0</v>
      </c>
      <c r="AC27" s="103">
        <f t="shared" si="21"/>
        <v>0</v>
      </c>
      <c r="AD27" s="103">
        <f t="shared" si="22"/>
        <v>0</v>
      </c>
      <c r="AE27" s="103">
        <f t="shared" si="23"/>
        <v>0</v>
      </c>
      <c r="AF27" s="103">
        <f t="shared" si="24"/>
        <v>0</v>
      </c>
      <c r="AG27" s="103">
        <f t="shared" si="25"/>
        <v>0</v>
      </c>
      <c r="AH27" s="103">
        <f t="shared" si="26"/>
        <v>0</v>
      </c>
    </row>
    <row r="28" spans="2:36" ht="15.75" x14ac:dyDescent="0.25">
      <c r="P28" s="37"/>
      <c r="Q28" s="39" t="str">
        <f>HLOOKUP($AJ$23,'Daten-Zusammensetzung Bauteil'!$B$4:$BC$14,Database!$B9,FALSE)</f>
        <v>Harbetonüberzug [kg]</v>
      </c>
      <c r="R28" s="99" t="str">
        <f>HLOOKUP($AJ$23,'Daten-Funktion'!$B$4:$BC$14,Database!$B9,FALSE)</f>
        <v>G2.2</v>
      </c>
      <c r="S28" s="39">
        <f>HLOOKUP($AJ$23,'Daten-THGE'!$B$4:$BC$14,Database!$B9,FALSE)</f>
        <v>7.3096885813148799E-3</v>
      </c>
      <c r="T28" s="39">
        <f>HLOOKUP($AJ$23,'Daten-Dichte'!$B$4:$BC$14,Database!$B9,FALSE)</f>
        <v>2101.8181818181815</v>
      </c>
      <c r="U28" s="39">
        <f>HLOOKUP($AJ$23,'Daten-Dicke'!$B$4:$BC$14,Database!$B9,FALSE)</f>
        <v>2.75</v>
      </c>
      <c r="V28" s="44"/>
      <c r="W28" s="49">
        <f t="shared" si="17"/>
        <v>0.42249999999999999</v>
      </c>
      <c r="X28" s="37"/>
      <c r="Y28" s="37"/>
      <c r="Z28" s="103">
        <f t="shared" si="18"/>
        <v>0</v>
      </c>
      <c r="AA28" s="103">
        <f t="shared" si="19"/>
        <v>0</v>
      </c>
      <c r="AB28" s="103">
        <f t="shared" si="20"/>
        <v>1</v>
      </c>
      <c r="AC28" s="103">
        <f t="shared" si="21"/>
        <v>0</v>
      </c>
      <c r="AD28" s="103">
        <f t="shared" si="22"/>
        <v>0</v>
      </c>
      <c r="AE28" s="103">
        <f t="shared" si="23"/>
        <v>0</v>
      </c>
      <c r="AF28" s="103">
        <f t="shared" si="24"/>
        <v>0</v>
      </c>
      <c r="AG28" s="103">
        <f t="shared" si="25"/>
        <v>0</v>
      </c>
      <c r="AH28" s="103">
        <f t="shared" si="26"/>
        <v>0</v>
      </c>
    </row>
    <row r="29" spans="2:36" ht="15.75" x14ac:dyDescent="0.25">
      <c r="N29" s="97"/>
      <c r="O29" s="34"/>
      <c r="P29" s="37"/>
      <c r="Q29" s="39" t="str">
        <f>HLOOKUP($AJ$23,'Daten-Zusammensetzung Bauteil'!$B$4:$BC$14,Database!$B10,FALSE)</f>
        <v>Metallstabgeländer [kg]</v>
      </c>
      <c r="R29" s="99" t="str">
        <f>HLOOKUP($AJ$23,'Daten-Funktion'!$B$4:$BC$14,Database!$B10,FALSE)</f>
        <v>E2.6</v>
      </c>
      <c r="S29" s="39">
        <f>HLOOKUP($AJ$23,'Daten-THGE'!$B$4:$BC$14,Database!$B10,FALSE)</f>
        <v>8.7749999999999995E-2</v>
      </c>
      <c r="T29" s="39">
        <f>HLOOKUP($AJ$23,'Daten-Dichte'!$B$4:$BC$14,Database!$B10,FALSE)</f>
        <v>7850</v>
      </c>
      <c r="U29" s="39">
        <f>HLOOKUP($AJ$23,'Daten-Dicke'!$B$4:$BC$14,Database!$B10,FALSE)</f>
        <v>0.16576433121019107</v>
      </c>
      <c r="V29" s="44"/>
      <c r="W29" s="49">
        <f t="shared" si="17"/>
        <v>1.1418468749999999</v>
      </c>
      <c r="X29" s="37"/>
      <c r="Y29" s="37"/>
      <c r="Z29" s="103">
        <f t="shared" si="18"/>
        <v>0</v>
      </c>
      <c r="AA29" s="103">
        <f t="shared" si="19"/>
        <v>0</v>
      </c>
      <c r="AB29" s="103">
        <f t="shared" si="20"/>
        <v>0</v>
      </c>
      <c r="AC29" s="103">
        <f t="shared" si="21"/>
        <v>0</v>
      </c>
      <c r="AD29" s="103">
        <f t="shared" si="22"/>
        <v>0</v>
      </c>
      <c r="AE29" s="103">
        <f t="shared" si="23"/>
        <v>0</v>
      </c>
      <c r="AF29" s="103">
        <f t="shared" si="24"/>
        <v>0</v>
      </c>
      <c r="AG29" s="103">
        <f t="shared" si="25"/>
        <v>0</v>
      </c>
      <c r="AH29" s="103">
        <f t="shared" si="26"/>
        <v>1</v>
      </c>
      <c r="AI29" s="12"/>
    </row>
    <row r="30" spans="2:36" x14ac:dyDescent="0.25">
      <c r="Z30" s="123">
        <f>IF(X23=0,0,SUMPRODUCT(W23:W29*Z23:Z29)/SUM(W23:W29)*AJ24)</f>
        <v>0</v>
      </c>
      <c r="AA30" s="123">
        <f>IF(X23=0,0,SUMPRODUCT(W23:W29*AA23:AA29)/SUM(W23:W29)*AJ24)</f>
        <v>0</v>
      </c>
      <c r="AB30" s="123">
        <f>IF(X23=0,0,SUMPRODUCT(W23:W29*AB23:AB29)/SUM(W23:W29))</f>
        <v>0</v>
      </c>
      <c r="AC30" s="123">
        <f>IF(X23=0,0,SUMPRODUCT(W23:W29*AC23:AC29)/SUM(W23:W29))</f>
        <v>0</v>
      </c>
      <c r="AD30" s="123">
        <f>IF(X23=0,0,SUMPRODUCT(W23:W29*AD23:AD29)/SUM(W23:W29))</f>
        <v>0</v>
      </c>
      <c r="AE30" s="123">
        <f>IF(X23=0,0,SUMPRODUCT(W23:W29*AE23:AE29)/SUM(W23:W29))</f>
        <v>0</v>
      </c>
      <c r="AF30" s="123">
        <f>IF(X23=0,0,SUMPRODUCT(W23:W29*AF23:AF29)/SUM(W23:W29))</f>
        <v>0</v>
      </c>
      <c r="AG30" s="123">
        <f>IF(X23=0,0,SUMPRODUCT(W23:W29*AG23:AG29)/SUM(W23:W29))</f>
        <v>0</v>
      </c>
      <c r="AH30" s="123">
        <f>IF(X23=0,0,SUMPRODUCT(W23:W29*AH23:AH29)/SUM(W23:W29)*AJ24)</f>
        <v>0</v>
      </c>
      <c r="AI30" s="110">
        <f>SUM(Z30:AH30)</f>
        <v>0</v>
      </c>
    </row>
    <row r="31" spans="2:36" x14ac:dyDescent="0.25">
      <c r="P31" s="47" t="s">
        <v>241</v>
      </c>
      <c r="Z31" s="97"/>
      <c r="AA31" s="97"/>
      <c r="AB31" s="97"/>
      <c r="AC31" s="97"/>
      <c r="AD31" s="97"/>
      <c r="AE31" s="97"/>
      <c r="AF31" s="97"/>
      <c r="AG31" s="97"/>
      <c r="AH31" s="97"/>
      <c r="AI31" s="12"/>
    </row>
    <row r="32" spans="2:36" ht="20.25" x14ac:dyDescent="0.3">
      <c r="P32" s="41" t="s">
        <v>361</v>
      </c>
      <c r="Q32" s="40" t="s">
        <v>227</v>
      </c>
      <c r="R32" s="93"/>
      <c r="S32" s="40" t="s">
        <v>182</v>
      </c>
      <c r="T32" s="40" t="s">
        <v>226</v>
      </c>
      <c r="U32" s="40" t="s">
        <v>242</v>
      </c>
      <c r="V32" s="42" t="s">
        <v>243</v>
      </c>
      <c r="W32" s="40" t="s">
        <v>193</v>
      </c>
      <c r="X32" s="38" t="s">
        <v>194</v>
      </c>
      <c r="Y32" s="37"/>
      <c r="AI32" s="12"/>
    </row>
    <row r="33" spans="16:36" ht="15.75" x14ac:dyDescent="0.25">
      <c r="P33" s="40" t="s">
        <v>176</v>
      </c>
      <c r="Q33" s="39" t="str">
        <f>HLOOKUP($AJ$33,'Daten-Zusammensetzung Bauteil'!$B$4:$BC$14,Database!$B4,FALSE)</f>
        <v>Balkonkragplatte Ortbeton [kg]</v>
      </c>
      <c r="R33" s="99" t="str">
        <f>MID(HLOOKUP($AJ$33,'Daten-Funktion'!$B$4:$BC$14,Database!$B4,FALSE),1,2)</f>
        <v>C4</v>
      </c>
      <c r="S33" s="39">
        <f>HLOOKUP($AJ$33,'Daten-THGE'!$B$4:$BC$14,Database!$B4,FALSE)</f>
        <v>2.48E-3</v>
      </c>
      <c r="T33" s="39">
        <f>HLOOKUP($AJ$33,'Daten-Dichte'!$B$4:$BC$14,Database!$B4,FALSE)</f>
        <v>2300</v>
      </c>
      <c r="U33" s="39">
        <f>HLOOKUP($AJ$33,'Daten-Dicke'!$B$4:$BC$14,Database!$B4,FALSE)</f>
        <v>20.375</v>
      </c>
      <c r="V33" s="43"/>
      <c r="W33" s="49">
        <f>IF(V33=0,T33*U33/100*S33,S33*T33*V33/1000)</f>
        <v>1.1621900000000001</v>
      </c>
      <c r="X33" s="50">
        <f>SUM(W33:W39)*$AJ$34*P37</f>
        <v>0</v>
      </c>
      <c r="Y33" s="40" t="s">
        <v>244</v>
      </c>
      <c r="AI33" t="str">
        <f>VLOOKUP($B$22,Database!$Y$29:$AD$31,5,FALSE)</f>
        <v>3a</v>
      </c>
      <c r="AJ33" t="str">
        <f>VLOOKUP($P$34,Database!$Y$29:$AD$31,6,FALSE)</f>
        <v>13a</v>
      </c>
    </row>
    <row r="34" spans="16:36" ht="15.75" x14ac:dyDescent="0.25">
      <c r="P34" s="42" t="s">
        <v>232</v>
      </c>
      <c r="Q34" s="39" t="str">
        <f>HLOOKUP($AJ$33,'Daten-Zusammensetzung Bauteil'!$B$4:$BC$14,Database!$B5,FALSE)</f>
        <v>Bewehrungsstahl [kg]</v>
      </c>
      <c r="R34" s="99" t="str">
        <f>MID(HLOOKUP($AJ$33,'Daten-Funktion'!$B$4:$BC$14,Database!$B5,FALSE),1,2)</f>
        <v>C4</v>
      </c>
      <c r="S34" s="39">
        <f>HLOOKUP($AJ$33,'Daten-THGE'!$B$4:$BC$14,Database!$B5,FALSE)</f>
        <v>1.7050000000000003E-2</v>
      </c>
      <c r="T34" s="39">
        <f>HLOOKUP($AJ$33,'Daten-Dichte'!$B$4:$BC$14,Database!$B5,FALSE)</f>
        <v>7850</v>
      </c>
      <c r="U34" s="39">
        <f>HLOOKUP($AJ$33,'Daten-Dicke'!$B$4:$BC$14,Database!$B5,FALSE)</f>
        <v>0.223328025477707</v>
      </c>
      <c r="V34" s="43"/>
      <c r="W34" s="49">
        <f t="shared" ref="W34:W39" si="27">IF(V34=0,T34*U34/100*S34,S34*T34*V34/1000)</f>
        <v>0.29890781250000004</v>
      </c>
      <c r="X34" s="39"/>
      <c r="Y34" s="37"/>
      <c r="AJ34">
        <f>IF($P$35=Database!$D$21,1,0)</f>
        <v>0</v>
      </c>
    </row>
    <row r="35" spans="16:36" ht="15.75" x14ac:dyDescent="0.25">
      <c r="P35" s="42" t="s">
        <v>322</v>
      </c>
      <c r="Q35" s="39" t="str">
        <f>HLOOKUP($AJ$33,'Daten-Zusammensetzung Bauteil'!$B$4:$BC$14,Database!$B6,FALSE)</f>
        <v>3-SP Schalung 2.5 cm (Annahme 5xverwendet) [kg]</v>
      </c>
      <c r="R35" s="99" t="str">
        <f>MID(HLOOKUP($AJ$33,'Daten-Funktion'!$B$4:$BC$14,Database!$B6,FALSE),1,2)</f>
        <v>C4</v>
      </c>
      <c r="S35" s="39">
        <f>HLOOKUP($AJ$33,'Daten-THGE'!$B$4:$BC$14,Database!$B6,FALSE)</f>
        <v>1.3075E-2</v>
      </c>
      <c r="T35" s="39">
        <f>HLOOKUP($AJ$33,'Daten-Dichte'!$B$4:$BC$14,Database!$B6,FALSE)</f>
        <v>470</v>
      </c>
      <c r="U35" s="39">
        <f>HLOOKUP($AJ$33,'Daten-Dicke'!$B$4:$BC$14,Database!$B6,FALSE)</f>
        <v>1.0000000000000002</v>
      </c>
      <c r="V35" s="44"/>
      <c r="W35" s="49">
        <f t="shared" si="27"/>
        <v>6.1452500000000014E-2</v>
      </c>
      <c r="X35" s="37"/>
      <c r="Y35" s="37"/>
    </row>
    <row r="36" spans="16:36" ht="15.75" x14ac:dyDescent="0.25">
      <c r="P36" s="42" t="s">
        <v>320</v>
      </c>
      <c r="Q36" s="39" t="str">
        <f>HLOOKUP($AJ$33,'Daten-Zusammensetzung Bauteil'!$B$4:$BC$14,Database!$B7,FALSE)</f>
        <v>Chromstahl (Kragplattenanschluss) [kg]</v>
      </c>
      <c r="R36" s="99" t="str">
        <f>MID(HLOOKUP($AJ$33,'Daten-Funktion'!$B$4:$BC$14,Database!$B7,FALSE),1,2)</f>
        <v>C4</v>
      </c>
      <c r="S36" s="39">
        <f>HLOOKUP($AJ$33,'Daten-THGE'!$B$4:$BC$14,Database!$B7,FALSE)</f>
        <v>9.4E-2</v>
      </c>
      <c r="T36" s="39">
        <f>HLOOKUP($AJ$33,'Daten-Dichte'!$B$4:$BC$14,Database!$B7,FALSE)</f>
        <v>7900</v>
      </c>
      <c r="U36" s="39">
        <f>HLOOKUP($AJ$33,'Daten-Dicke'!$B$4:$BC$14,Database!$B7,FALSE)</f>
        <v>5.949367088607594E-2</v>
      </c>
      <c r="V36" s="44"/>
      <c r="W36" s="49">
        <f t="shared" si="27"/>
        <v>0.44179999999999992</v>
      </c>
      <c r="X36" s="37"/>
      <c r="Y36" s="37"/>
    </row>
    <row r="37" spans="16:36" ht="15.75" x14ac:dyDescent="0.25">
      <c r="P37" s="42">
        <v>300</v>
      </c>
      <c r="Q37" s="39" t="str">
        <f>HLOOKUP($AJ$33,'Daten-Zusammensetzung Bauteil'!$B$4:$BC$14,Database!$B8,FALSE)</f>
        <v>XPS (Kragplattenanschluss)[kg]</v>
      </c>
      <c r="R37" s="99" t="str">
        <f>MID(HLOOKUP($AJ$33,'Daten-Funktion'!$B$4:$BC$14,Database!$B8,FALSE),1,2)</f>
        <v>C4</v>
      </c>
      <c r="S37" s="39">
        <f>HLOOKUP($AJ$33,'Daten-THGE'!$B$4:$BC$14,Database!$B8,FALSE)</f>
        <v>0.36249999999999999</v>
      </c>
      <c r="T37" s="39">
        <f>HLOOKUP($AJ$33,'Daten-Dichte'!$B$4:$BC$14,Database!$B8,FALSE)</f>
        <v>35</v>
      </c>
      <c r="U37" s="39">
        <f>HLOOKUP($AJ$33,'Daten-Dicke'!$B$4:$BC$14,Database!$B8,FALSE)</f>
        <v>0.85714285714285721</v>
      </c>
      <c r="V37" s="44"/>
      <c r="W37" s="49">
        <f t="shared" si="27"/>
        <v>0.10875000000000001</v>
      </c>
      <c r="X37" s="37"/>
      <c r="Y37" s="37"/>
    </row>
    <row r="38" spans="16:36" ht="15.75" x14ac:dyDescent="0.25">
      <c r="P38" s="37"/>
      <c r="Q38" s="39" t="str">
        <f>HLOOKUP($AJ$33,'Daten-Zusammensetzung Bauteil'!$B$4:$BC$14,Database!$B9,FALSE)</f>
        <v>Harbetonüberzug [kg]</v>
      </c>
      <c r="R38" s="99" t="str">
        <f>HLOOKUP($AJ$33,'Daten-Funktion'!$B$4:$BC$14,Database!$B9,FALSE)</f>
        <v>G2.2</v>
      </c>
      <c r="S38" s="39">
        <f>HLOOKUP($AJ$33,'Daten-THGE'!$B$4:$BC$14,Database!$B9,FALSE)</f>
        <v>7.3096885813148799E-3</v>
      </c>
      <c r="T38" s="39">
        <f>HLOOKUP($AJ$33,'Daten-Dichte'!$B$4:$BC$14,Database!$B9,FALSE)</f>
        <v>2101.8181818181815</v>
      </c>
      <c r="U38" s="39">
        <f>HLOOKUP($AJ$33,'Daten-Dicke'!$B$4:$BC$14,Database!$B9,FALSE)</f>
        <v>2.75</v>
      </c>
      <c r="V38" s="44"/>
      <c r="W38" s="49">
        <f t="shared" si="27"/>
        <v>0.42249999999999999</v>
      </c>
      <c r="X38" s="37"/>
      <c r="Y38" s="37"/>
    </row>
    <row r="39" spans="16:36" ht="15.75" x14ac:dyDescent="0.25">
      <c r="P39" s="37"/>
      <c r="Q39" s="39" t="str">
        <f>HLOOKUP($AJ$33,'Daten-Zusammensetzung Bauteil'!$B$4:$BC$14,Database!$B10,FALSE)</f>
        <v>Metallstabgeländer [kg]</v>
      </c>
      <c r="R39" s="99" t="str">
        <f>HLOOKUP($AJ$33,'Daten-Funktion'!$B$4:$BC$14,Database!$B10,FALSE)</f>
        <v>E2.6</v>
      </c>
      <c r="S39" s="39">
        <f>HLOOKUP($AJ$33,'Daten-THGE'!$B$4:$BC$14,Database!$B10,FALSE)</f>
        <v>8.7749999999999995E-2</v>
      </c>
      <c r="T39" s="39">
        <f>HLOOKUP($AJ$33,'Daten-Dichte'!$B$4:$BC$14,Database!$B10,FALSE)</f>
        <v>7850</v>
      </c>
      <c r="U39" s="39">
        <f>HLOOKUP($AJ$33,'Daten-Dicke'!$B$4:$BC$14,Database!$B10,FALSE)</f>
        <v>0.16576433121019107</v>
      </c>
      <c r="V39" s="44"/>
      <c r="W39" s="49">
        <f t="shared" si="27"/>
        <v>1.1418468749999999</v>
      </c>
      <c r="X39" s="37"/>
      <c r="Y39" s="37"/>
      <c r="AI39" s="12"/>
    </row>
    <row r="40" spans="16:36" x14ac:dyDescent="0.25">
      <c r="AI40" s="12"/>
    </row>
    <row r="41" spans="16:36" x14ac:dyDescent="0.25">
      <c r="Z41" s="97"/>
      <c r="AA41" s="97"/>
      <c r="AB41" s="97"/>
      <c r="AC41" s="97"/>
      <c r="AD41" s="97"/>
      <c r="AE41" s="97"/>
      <c r="AF41" s="97"/>
      <c r="AG41" s="97"/>
      <c r="AH41" s="9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Database!$H$4:$H$6</xm:f>
          </x14:formula1>
          <xm:sqref>P15 B11 B22 P34</xm:sqref>
        </x14:dataValidation>
        <x14:dataValidation type="list" allowBlank="1" showInputMessage="1" showErrorMessage="1" xr:uid="{00000000-0002-0000-0900-000001000000}">
          <x14:formula1>
            <xm:f>Database!$D$21:$D$22</xm:f>
          </x14:formula1>
          <xm:sqref>P16 P35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9">
    <tabColor theme="9" tint="0.39997558519241921"/>
    <pageSetUpPr fitToPage="1"/>
  </sheetPr>
  <dimension ref="C2:AJ108"/>
  <sheetViews>
    <sheetView zoomScale="70" zoomScaleNormal="70" workbookViewId="0">
      <selection activeCell="L42" sqref="L42"/>
    </sheetView>
  </sheetViews>
  <sheetFormatPr defaultColWidth="10.85546875" defaultRowHeight="15" x14ac:dyDescent="0.25"/>
  <cols>
    <col min="2" max="2" width="3" bestFit="1" customWidth="1"/>
    <col min="3" max="3" width="16.42578125" bestFit="1" customWidth="1"/>
    <col min="4" max="4" width="30.42578125" customWidth="1"/>
    <col min="5" max="6" width="6" bestFit="1" customWidth="1"/>
    <col min="7" max="8" width="21.140625" bestFit="1" customWidth="1"/>
    <col min="9" max="10" width="23.42578125" bestFit="1" customWidth="1"/>
    <col min="11" max="12" width="45.85546875" bestFit="1" customWidth="1"/>
    <col min="13" max="13" width="15.85546875" bestFit="1" customWidth="1"/>
    <col min="14" max="14" width="3.85546875" bestFit="1" customWidth="1"/>
    <col min="15" max="15" width="3.42578125" bestFit="1" customWidth="1"/>
    <col min="16" max="16" width="3.140625" bestFit="1" customWidth="1"/>
    <col min="17" max="17" width="4" bestFit="1" customWidth="1"/>
    <col min="18" max="18" width="3" bestFit="1" customWidth="1"/>
    <col min="19" max="19" width="15.85546875" bestFit="1" customWidth="1"/>
    <col min="20" max="20" width="5.42578125" customWidth="1"/>
    <col min="21" max="21" width="45.42578125" bestFit="1" customWidth="1"/>
    <col min="22" max="23" width="25" bestFit="1" customWidth="1"/>
    <col min="25" max="25" width="15.140625" bestFit="1" customWidth="1"/>
    <col min="26" max="26" width="11.42578125" bestFit="1" customWidth="1"/>
    <col min="27" max="27" width="23.140625" bestFit="1" customWidth="1"/>
    <col min="28" max="28" width="10" bestFit="1" customWidth="1"/>
    <col min="29" max="29" width="7.42578125" bestFit="1" customWidth="1"/>
    <col min="30" max="30" width="6.85546875" bestFit="1" customWidth="1"/>
    <col min="31" max="31" width="7.42578125" bestFit="1" customWidth="1"/>
    <col min="32" max="32" width="13.85546875" bestFit="1" customWidth="1"/>
    <col min="33" max="33" width="17" bestFit="1" customWidth="1"/>
    <col min="34" max="34" width="23.42578125" bestFit="1" customWidth="1"/>
  </cols>
  <sheetData>
    <row r="2" spans="3:22" ht="23.25" x14ac:dyDescent="0.35">
      <c r="C2" s="150" t="s">
        <v>256</v>
      </c>
      <c r="D2" s="150"/>
      <c r="E2" s="151" t="s">
        <v>183</v>
      </c>
      <c r="F2" s="151"/>
      <c r="G2" s="151"/>
      <c r="H2" s="151"/>
      <c r="I2" s="151"/>
      <c r="J2" s="151"/>
      <c r="K2" s="151"/>
      <c r="L2" s="151"/>
      <c r="M2" s="37"/>
      <c r="N2" s="37"/>
      <c r="O2" s="37"/>
      <c r="P2" s="37"/>
      <c r="Q2" s="37"/>
      <c r="R2" s="37"/>
      <c r="S2" s="37"/>
      <c r="T2" s="37"/>
      <c r="U2" s="66" t="s">
        <v>365</v>
      </c>
      <c r="V2" s="67">
        <f>O5*O6*O11*O13*O16*O18*O19*O20</f>
        <v>24960</v>
      </c>
    </row>
    <row r="3" spans="3:22" ht="15.75" x14ac:dyDescent="0.25">
      <c r="C3" s="37"/>
      <c r="D3" s="37"/>
      <c r="E3" s="56" t="s">
        <v>236</v>
      </c>
      <c r="F3" s="56" t="s">
        <v>237</v>
      </c>
      <c r="G3" s="56" t="s">
        <v>236</v>
      </c>
      <c r="H3" s="56" t="s">
        <v>237</v>
      </c>
      <c r="I3" s="56" t="s">
        <v>236</v>
      </c>
      <c r="J3" s="56" t="s">
        <v>237</v>
      </c>
      <c r="K3" s="56" t="s">
        <v>236</v>
      </c>
      <c r="L3" s="56" t="s">
        <v>237</v>
      </c>
      <c r="M3" s="56"/>
      <c r="N3" s="37"/>
      <c r="O3" s="37"/>
      <c r="P3" s="37"/>
      <c r="Q3" s="37"/>
      <c r="R3" s="37"/>
      <c r="S3" s="37"/>
      <c r="T3" s="37"/>
      <c r="U3" s="37"/>
      <c r="V3" s="37"/>
    </row>
    <row r="4" spans="3:22" ht="23.25" x14ac:dyDescent="0.35">
      <c r="C4" s="37"/>
      <c r="D4" s="37"/>
      <c r="E4" s="56"/>
      <c r="F4" s="56"/>
      <c r="G4" s="56" t="s">
        <v>233</v>
      </c>
      <c r="H4" s="56" t="s">
        <v>233</v>
      </c>
      <c r="I4" s="56" t="s">
        <v>300</v>
      </c>
      <c r="J4" s="56" t="s">
        <v>300</v>
      </c>
      <c r="K4" s="56" t="s">
        <v>301</v>
      </c>
      <c r="L4" s="56" t="s">
        <v>301</v>
      </c>
      <c r="M4" s="56"/>
      <c r="N4" s="37"/>
      <c r="O4" s="37"/>
      <c r="P4" s="37"/>
      <c r="Q4" s="37"/>
      <c r="R4" s="37"/>
      <c r="S4" s="37"/>
      <c r="T4" s="37"/>
      <c r="U4" s="66" t="s">
        <v>366</v>
      </c>
      <c r="V4" s="67">
        <f>O59*O60*O65*O67*O70*O72*O73*O74</f>
        <v>620568</v>
      </c>
    </row>
    <row r="5" spans="3:22" ht="15.75" x14ac:dyDescent="0.25">
      <c r="C5" s="40" t="s">
        <v>232</v>
      </c>
      <c r="D5" s="57" t="s">
        <v>184</v>
      </c>
      <c r="E5" s="37" t="s">
        <v>9</v>
      </c>
      <c r="F5" s="37" t="s">
        <v>9</v>
      </c>
      <c r="G5" s="37" t="s">
        <v>9</v>
      </c>
      <c r="H5" s="37" t="s">
        <v>9</v>
      </c>
      <c r="I5" s="37" t="s">
        <v>9</v>
      </c>
      <c r="J5" s="37" t="s">
        <v>9</v>
      </c>
      <c r="K5" s="37" t="s">
        <v>9</v>
      </c>
      <c r="L5" s="37" t="s">
        <v>9</v>
      </c>
      <c r="M5" s="37"/>
      <c r="N5" s="37">
        <v>1</v>
      </c>
      <c r="O5" s="37">
        <v>1</v>
      </c>
      <c r="P5" s="37">
        <v>2</v>
      </c>
      <c r="Q5" s="37"/>
      <c r="R5" s="37"/>
      <c r="S5" s="37"/>
      <c r="T5" s="37"/>
      <c r="U5" s="37"/>
      <c r="V5" s="37"/>
    </row>
    <row r="6" spans="3:22" ht="23.25" x14ac:dyDescent="0.35">
      <c r="C6" s="37"/>
      <c r="D6" s="57" t="s">
        <v>185</v>
      </c>
      <c r="E6" s="37" t="s">
        <v>15</v>
      </c>
      <c r="F6" s="37" t="s">
        <v>15</v>
      </c>
      <c r="G6" s="37" t="s">
        <v>18</v>
      </c>
      <c r="H6" s="37" t="s">
        <v>18</v>
      </c>
      <c r="I6" s="37" t="s">
        <v>15</v>
      </c>
      <c r="J6" s="37" t="s">
        <v>15</v>
      </c>
      <c r="K6" s="37" t="s">
        <v>18</v>
      </c>
      <c r="L6" s="37" t="s">
        <v>18</v>
      </c>
      <c r="N6" s="37">
        <v>9</v>
      </c>
      <c r="O6" s="37">
        <v>16</v>
      </c>
      <c r="P6" s="37">
        <v>42</v>
      </c>
      <c r="Q6" s="37"/>
      <c r="R6" s="37"/>
      <c r="S6" s="37"/>
      <c r="T6" s="37"/>
      <c r="U6" s="66" t="s">
        <v>367</v>
      </c>
      <c r="V6" s="67">
        <f>P5*P6*P11*P13*P16*P18*P19*P20</f>
        <v>13566000</v>
      </c>
    </row>
    <row r="7" spans="3:22" ht="15.75" x14ac:dyDescent="0.25">
      <c r="C7" s="37"/>
      <c r="D7" s="57" t="s">
        <v>186</v>
      </c>
      <c r="E7" s="37" t="s">
        <v>25</v>
      </c>
      <c r="F7" s="37" t="s">
        <v>25</v>
      </c>
      <c r="G7" s="37" t="s">
        <v>25</v>
      </c>
      <c r="H7" s="37" t="s">
        <v>25</v>
      </c>
      <c r="I7" s="37" t="s">
        <v>25</v>
      </c>
      <c r="J7" s="37" t="s">
        <v>25</v>
      </c>
      <c r="K7" s="37" t="s">
        <v>25</v>
      </c>
      <c r="L7" s="37" t="s">
        <v>25</v>
      </c>
      <c r="N7" s="37"/>
      <c r="O7" s="37"/>
      <c r="P7" s="37"/>
      <c r="Q7" s="37"/>
      <c r="R7" s="37"/>
      <c r="S7" s="37"/>
      <c r="T7" s="37"/>
      <c r="U7" s="37"/>
      <c r="V7" s="37"/>
    </row>
    <row r="8" spans="3:22" ht="20.25" x14ac:dyDescent="0.3">
      <c r="C8" s="37"/>
      <c r="D8" s="37" t="s">
        <v>253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  <c r="J8" s="37" t="s">
        <v>50</v>
      </c>
      <c r="K8" s="37" t="s">
        <v>50</v>
      </c>
      <c r="L8" s="37" t="s">
        <v>50</v>
      </c>
      <c r="N8" s="37"/>
      <c r="O8" s="37"/>
      <c r="P8" s="37"/>
      <c r="Q8" s="37"/>
      <c r="R8" s="37"/>
      <c r="S8" s="41" t="s">
        <v>363</v>
      </c>
      <c r="T8" s="37"/>
      <c r="U8" s="37"/>
      <c r="V8" s="37"/>
    </row>
    <row r="9" spans="3:22" ht="15.75" x14ac:dyDescent="0.25">
      <c r="E9" s="37" t="s">
        <v>62</v>
      </c>
      <c r="F9" s="37" t="s">
        <v>62</v>
      </c>
      <c r="G9" s="37" t="s">
        <v>33</v>
      </c>
      <c r="H9" s="37" t="s">
        <v>33</v>
      </c>
      <c r="I9" s="37"/>
      <c r="J9" s="37"/>
      <c r="K9" s="37"/>
      <c r="L9" s="37"/>
      <c r="N9" s="37"/>
      <c r="O9" s="37"/>
      <c r="P9" s="37"/>
      <c r="Q9" s="37"/>
      <c r="R9" s="37"/>
      <c r="S9" s="38" t="s">
        <v>302</v>
      </c>
      <c r="T9" s="38">
        <f>N5*N6*N11*N13*N16*N18*N19*N20</f>
        <v>1440</v>
      </c>
      <c r="U9" s="37"/>
      <c r="V9" s="37"/>
    </row>
    <row r="10" spans="3:22" ht="15.75" x14ac:dyDescent="0.25">
      <c r="E10" s="37" t="s">
        <v>37</v>
      </c>
      <c r="F10" s="37" t="s">
        <v>38</v>
      </c>
      <c r="G10" s="37" t="s">
        <v>37</v>
      </c>
      <c r="H10" s="37" t="s">
        <v>38</v>
      </c>
      <c r="I10" s="37" t="s">
        <v>37</v>
      </c>
      <c r="J10" s="37" t="s">
        <v>38</v>
      </c>
      <c r="K10" s="37" t="s">
        <v>37</v>
      </c>
      <c r="L10" s="37" t="s">
        <v>38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3:22" ht="15.75" x14ac:dyDescent="0.25">
      <c r="C11" s="37"/>
      <c r="D11" s="37" t="s">
        <v>187</v>
      </c>
      <c r="E11" s="37" t="s">
        <v>137</v>
      </c>
      <c r="F11" s="37" t="s">
        <v>141</v>
      </c>
      <c r="G11" s="37" t="s">
        <v>137</v>
      </c>
      <c r="H11" s="37" t="s">
        <v>141</v>
      </c>
      <c r="I11" s="37" t="s">
        <v>137</v>
      </c>
      <c r="J11" s="37" t="s">
        <v>141</v>
      </c>
      <c r="K11" s="37" t="s">
        <v>137</v>
      </c>
      <c r="L11" s="37" t="s">
        <v>141</v>
      </c>
      <c r="N11" s="37">
        <v>2</v>
      </c>
      <c r="O11" s="37">
        <v>4</v>
      </c>
      <c r="P11" s="37">
        <v>38</v>
      </c>
      <c r="Q11" s="37"/>
      <c r="R11" s="37"/>
      <c r="S11" s="37"/>
      <c r="T11" s="37"/>
      <c r="U11" s="37"/>
      <c r="V11" s="37"/>
    </row>
    <row r="12" spans="3:22" ht="15.75" x14ac:dyDescent="0.25">
      <c r="E12" s="37" t="s">
        <v>110</v>
      </c>
      <c r="F12" s="37" t="s">
        <v>110</v>
      </c>
      <c r="G12" s="37" t="s">
        <v>110</v>
      </c>
      <c r="H12" s="37" t="s">
        <v>110</v>
      </c>
      <c r="I12" s="37" t="s">
        <v>110</v>
      </c>
      <c r="J12" s="37" t="s">
        <v>110</v>
      </c>
      <c r="K12" s="37" t="s">
        <v>110</v>
      </c>
      <c r="L12" s="37" t="s">
        <v>110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3:22" ht="15.75" x14ac:dyDescent="0.25">
      <c r="C13" s="37"/>
      <c r="D13" s="37" t="s">
        <v>299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  <c r="J13" s="37" t="s">
        <v>50</v>
      </c>
      <c r="K13" s="37" t="s">
        <v>50</v>
      </c>
      <c r="L13" s="37" t="s">
        <v>50</v>
      </c>
      <c r="M13" s="37"/>
      <c r="N13" s="37">
        <v>5</v>
      </c>
      <c r="O13" s="37">
        <v>13</v>
      </c>
      <c r="P13" s="37">
        <v>25</v>
      </c>
      <c r="Q13" s="37"/>
      <c r="R13" s="37"/>
      <c r="S13" s="37"/>
      <c r="T13" s="37"/>
      <c r="U13" s="37"/>
      <c r="V13" s="37"/>
    </row>
    <row r="14" spans="3:22" ht="15.75" x14ac:dyDescent="0.25">
      <c r="E14" s="37" t="s">
        <v>33</v>
      </c>
      <c r="F14" s="37" t="s">
        <v>33</v>
      </c>
      <c r="G14" s="37" t="s">
        <v>33</v>
      </c>
      <c r="H14" s="37" t="s">
        <v>33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3:22" ht="15.75" x14ac:dyDescent="0.25">
      <c r="E15" s="37" t="s">
        <v>37</v>
      </c>
      <c r="F15" s="37" t="s">
        <v>38</v>
      </c>
      <c r="G15" s="37" t="s">
        <v>37</v>
      </c>
      <c r="H15" s="37" t="s">
        <v>38</v>
      </c>
      <c r="I15" s="37" t="s">
        <v>37</v>
      </c>
      <c r="J15" s="37" t="s">
        <v>38</v>
      </c>
      <c r="K15" s="37" t="s">
        <v>37</v>
      </c>
      <c r="L15" s="37" t="s">
        <v>38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3:22" ht="15.75" x14ac:dyDescent="0.25">
      <c r="C16" s="37"/>
      <c r="D16" s="37" t="s">
        <v>189</v>
      </c>
      <c r="E16" s="37" t="s">
        <v>91</v>
      </c>
      <c r="F16" s="37" t="s">
        <v>103</v>
      </c>
      <c r="G16" s="37" t="s">
        <v>91</v>
      </c>
      <c r="H16" s="37" t="s">
        <v>103</v>
      </c>
      <c r="I16" s="37" t="s">
        <v>91</v>
      </c>
      <c r="J16" s="37" t="s">
        <v>103</v>
      </c>
      <c r="K16" s="37" t="s">
        <v>91</v>
      </c>
      <c r="L16" s="37" t="s">
        <v>103</v>
      </c>
      <c r="M16" s="37"/>
      <c r="N16" s="37">
        <v>4</v>
      </c>
      <c r="O16" s="37">
        <v>5</v>
      </c>
      <c r="P16" s="37">
        <v>17</v>
      </c>
      <c r="Q16" s="37"/>
      <c r="R16" s="37"/>
      <c r="S16" s="37"/>
      <c r="T16" s="37"/>
      <c r="U16" s="37"/>
      <c r="V16" s="37"/>
    </row>
    <row r="17" spans="3:36" ht="15.75" x14ac:dyDescent="0.25">
      <c r="E17" s="37" t="s">
        <v>70</v>
      </c>
      <c r="F17" s="37" t="s">
        <v>75</v>
      </c>
      <c r="G17" s="37" t="s">
        <v>70</v>
      </c>
      <c r="H17" s="37" t="s">
        <v>75</v>
      </c>
      <c r="I17" s="37" t="s">
        <v>70</v>
      </c>
      <c r="J17" s="37" t="s">
        <v>75</v>
      </c>
      <c r="K17" s="37" t="s">
        <v>70</v>
      </c>
      <c r="L17" s="37" t="s">
        <v>75</v>
      </c>
      <c r="N17" s="37"/>
      <c r="O17" s="37"/>
      <c r="P17" s="37"/>
      <c r="Q17" s="37"/>
      <c r="R17" s="37"/>
      <c r="S17" s="37"/>
      <c r="T17" s="37"/>
      <c r="U17" s="37"/>
      <c r="V17" s="37"/>
    </row>
    <row r="18" spans="3:36" ht="15.75" x14ac:dyDescent="0.25">
      <c r="C18" s="37"/>
      <c r="D18" s="37" t="s">
        <v>192</v>
      </c>
      <c r="E18" s="37" t="s">
        <v>158</v>
      </c>
      <c r="F18" s="37" t="s">
        <v>161</v>
      </c>
      <c r="G18" s="37" t="s">
        <v>158</v>
      </c>
      <c r="H18" s="37" t="s">
        <v>161</v>
      </c>
      <c r="I18" s="37" t="s">
        <v>158</v>
      </c>
      <c r="J18" s="37" t="s">
        <v>161</v>
      </c>
      <c r="K18" s="37" t="s">
        <v>158</v>
      </c>
      <c r="L18" s="37" t="s">
        <v>161</v>
      </c>
      <c r="N18" s="37">
        <v>2</v>
      </c>
      <c r="O18" s="37">
        <v>3</v>
      </c>
      <c r="P18" s="37">
        <v>5</v>
      </c>
      <c r="Q18" s="37"/>
      <c r="R18" s="37"/>
      <c r="S18" s="37"/>
      <c r="T18" s="37"/>
      <c r="U18" s="49"/>
      <c r="V18" s="37"/>
    </row>
    <row r="19" spans="3:36" ht="15.75" x14ac:dyDescent="0.25">
      <c r="C19" s="37"/>
      <c r="D19" s="57" t="s">
        <v>176</v>
      </c>
      <c r="E19" s="37" t="s">
        <v>175</v>
      </c>
      <c r="F19" s="37" t="s">
        <v>175</v>
      </c>
      <c r="G19" s="37" t="s">
        <v>175</v>
      </c>
      <c r="H19" s="37" t="s">
        <v>175</v>
      </c>
      <c r="I19" s="37" t="s">
        <v>175</v>
      </c>
      <c r="J19" s="37" t="s">
        <v>175</v>
      </c>
      <c r="K19" s="37" t="s">
        <v>175</v>
      </c>
      <c r="L19" s="37" t="s">
        <v>175</v>
      </c>
      <c r="N19" s="37">
        <v>2</v>
      </c>
      <c r="O19" s="37">
        <v>2</v>
      </c>
      <c r="P19" s="37">
        <v>2</v>
      </c>
      <c r="Q19" s="37"/>
      <c r="R19" s="37"/>
      <c r="S19" s="37"/>
      <c r="T19" s="37"/>
      <c r="U19" s="37"/>
      <c r="V19" s="37"/>
    </row>
    <row r="20" spans="3:36" ht="15.75" x14ac:dyDescent="0.25">
      <c r="C20" s="37"/>
      <c r="D20" s="57" t="s">
        <v>181</v>
      </c>
      <c r="E20" s="37" t="s">
        <v>178</v>
      </c>
      <c r="F20" s="37" t="s">
        <v>178</v>
      </c>
      <c r="G20" s="37" t="s">
        <v>178</v>
      </c>
      <c r="H20" s="37" t="s">
        <v>178</v>
      </c>
      <c r="I20" s="37" t="s">
        <v>178</v>
      </c>
      <c r="J20" s="37" t="s">
        <v>178</v>
      </c>
      <c r="K20" s="37" t="s">
        <v>178</v>
      </c>
      <c r="L20" s="37" t="s">
        <v>178</v>
      </c>
      <c r="N20" s="37">
        <v>1</v>
      </c>
      <c r="O20" s="37">
        <v>1</v>
      </c>
      <c r="P20" s="37">
        <v>1</v>
      </c>
      <c r="Q20" s="37"/>
      <c r="R20" s="37"/>
      <c r="S20" s="37"/>
      <c r="T20" s="37"/>
      <c r="U20" s="37"/>
      <c r="V20" s="37"/>
    </row>
    <row r="21" spans="3:36" ht="15.75" x14ac:dyDescent="0.25">
      <c r="C21" s="37"/>
      <c r="D21" s="37"/>
      <c r="E21" s="37"/>
      <c r="F21" s="37"/>
      <c r="G21" s="37"/>
      <c r="H21" s="37"/>
      <c r="I21" s="37"/>
      <c r="J21" s="37"/>
      <c r="K21" s="37"/>
      <c r="L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3:36" ht="15.75" x14ac:dyDescent="0.25">
      <c r="C22" s="40" t="s">
        <v>1</v>
      </c>
      <c r="D22" s="57" t="s">
        <v>184</v>
      </c>
      <c r="E22" s="37" t="s">
        <v>9</v>
      </c>
      <c r="F22" s="37" t="s">
        <v>9</v>
      </c>
      <c r="G22" s="37" t="s">
        <v>9</v>
      </c>
      <c r="H22" s="37" t="s">
        <v>9</v>
      </c>
      <c r="I22" s="37" t="s">
        <v>9</v>
      </c>
      <c r="J22" s="37" t="s">
        <v>9</v>
      </c>
      <c r="K22" s="37" t="s">
        <v>9</v>
      </c>
      <c r="L22" s="37" t="s">
        <v>9</v>
      </c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</row>
    <row r="23" spans="3:36" ht="15.75" x14ac:dyDescent="0.25">
      <c r="C23" s="37"/>
      <c r="D23" s="57" t="s">
        <v>185</v>
      </c>
      <c r="E23" s="37" t="s">
        <v>15</v>
      </c>
      <c r="F23" s="37" t="s">
        <v>15</v>
      </c>
      <c r="G23" s="37" t="s">
        <v>18</v>
      </c>
      <c r="H23" s="37" t="s">
        <v>18</v>
      </c>
      <c r="I23" s="37" t="s">
        <v>15</v>
      </c>
      <c r="J23" s="37" t="s">
        <v>15</v>
      </c>
      <c r="K23" s="37" t="s">
        <v>18</v>
      </c>
      <c r="L23" s="37" t="s">
        <v>18</v>
      </c>
      <c r="N23" s="37">
        <v>9</v>
      </c>
      <c r="O23" s="37"/>
      <c r="P23" s="37"/>
      <c r="Q23" s="37"/>
      <c r="R23" s="37"/>
      <c r="S23" s="37"/>
      <c r="T23" s="37"/>
      <c r="U23" s="37"/>
      <c r="V23" s="37"/>
      <c r="AB23" s="56"/>
      <c r="AC23" s="56"/>
      <c r="AD23" s="56"/>
      <c r="AE23" s="56"/>
      <c r="AF23" s="56"/>
      <c r="AG23" s="56"/>
    </row>
    <row r="24" spans="3:36" ht="15.75" x14ac:dyDescent="0.25">
      <c r="C24" s="37"/>
      <c r="D24" s="57" t="s">
        <v>186</v>
      </c>
      <c r="E24" s="37" t="s">
        <v>25</v>
      </c>
      <c r="F24" s="37" t="s">
        <v>25</v>
      </c>
      <c r="G24" s="37" t="s">
        <v>25</v>
      </c>
      <c r="H24" s="37" t="s">
        <v>25</v>
      </c>
      <c r="I24" s="37" t="s">
        <v>25</v>
      </c>
      <c r="J24" s="37" t="s">
        <v>25</v>
      </c>
      <c r="K24" s="37" t="s">
        <v>25</v>
      </c>
      <c r="L24" s="37" t="s">
        <v>25</v>
      </c>
      <c r="N24" s="37"/>
      <c r="O24" s="37"/>
      <c r="P24" s="37"/>
      <c r="Q24" s="37"/>
      <c r="R24" s="37"/>
      <c r="S24" s="37"/>
      <c r="T24" s="37"/>
      <c r="U24" s="37"/>
      <c r="V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3:36" ht="15.75" x14ac:dyDescent="0.25">
      <c r="C25" s="37"/>
      <c r="D25" s="37" t="s">
        <v>253</v>
      </c>
      <c r="E25" s="37" t="s">
        <v>55</v>
      </c>
      <c r="F25" s="37" t="s">
        <v>55</v>
      </c>
      <c r="G25" s="37" t="s">
        <v>55</v>
      </c>
      <c r="H25" s="37" t="s">
        <v>55</v>
      </c>
      <c r="I25" s="37" t="s">
        <v>55</v>
      </c>
      <c r="J25" s="37" t="s">
        <v>55</v>
      </c>
      <c r="K25" s="37" t="s">
        <v>55</v>
      </c>
      <c r="L25" s="37" t="s">
        <v>55</v>
      </c>
      <c r="N25" s="37"/>
      <c r="O25" s="37"/>
      <c r="P25" s="37"/>
      <c r="Q25" s="37"/>
      <c r="R25" s="37"/>
      <c r="S25" s="37"/>
      <c r="T25" s="37"/>
      <c r="U25" s="37"/>
      <c r="V25" s="37"/>
      <c r="AE25" s="37"/>
      <c r="AF25" s="37"/>
      <c r="AG25" s="37"/>
      <c r="AH25" s="37"/>
    </row>
    <row r="26" spans="3:36" ht="15.75" x14ac:dyDescent="0.25">
      <c r="C26" s="37"/>
      <c r="E26" s="37" t="s">
        <v>62</v>
      </c>
      <c r="F26" s="37" t="s">
        <v>62</v>
      </c>
      <c r="G26" s="37" t="s">
        <v>33</v>
      </c>
      <c r="H26" s="37" t="s">
        <v>33</v>
      </c>
      <c r="I26" s="37"/>
      <c r="J26" s="37"/>
      <c r="K26" s="37"/>
      <c r="L26" s="37"/>
      <c r="N26" s="37"/>
      <c r="O26" s="37"/>
      <c r="P26" s="37"/>
      <c r="Q26" s="37"/>
      <c r="R26" s="37"/>
      <c r="S26" s="38" t="s">
        <v>302</v>
      </c>
      <c r="T26" s="38">
        <f>N22*N23*N28*N30*N33*N35*N36*N37</f>
        <v>90</v>
      </c>
      <c r="U26" s="37"/>
      <c r="V26" s="37"/>
      <c r="AE26" s="37"/>
      <c r="AF26" s="37"/>
      <c r="AG26" s="37"/>
      <c r="AH26" s="37"/>
      <c r="AI26" s="37"/>
    </row>
    <row r="27" spans="3:36" ht="15.75" x14ac:dyDescent="0.25">
      <c r="C27" s="37"/>
      <c r="E27" s="37" t="s">
        <v>37</v>
      </c>
      <c r="F27" s="37" t="s">
        <v>38</v>
      </c>
      <c r="G27" s="37" t="s">
        <v>37</v>
      </c>
      <c r="H27" s="37" t="s">
        <v>38</v>
      </c>
      <c r="I27" s="37" t="s">
        <v>37</v>
      </c>
      <c r="J27" s="37" t="s">
        <v>38</v>
      </c>
      <c r="K27" s="37" t="s">
        <v>37</v>
      </c>
      <c r="L27" s="37" t="s">
        <v>38</v>
      </c>
      <c r="N27" s="37"/>
      <c r="O27" s="37"/>
      <c r="P27" s="37"/>
      <c r="Q27" s="37"/>
      <c r="R27" s="37"/>
      <c r="S27" s="37"/>
      <c r="T27" s="37"/>
      <c r="U27" s="37"/>
      <c r="V27" s="37"/>
      <c r="AE27" s="37"/>
      <c r="AF27" s="37"/>
      <c r="AG27" s="37"/>
      <c r="AH27" s="37"/>
      <c r="AI27" s="37"/>
    </row>
    <row r="28" spans="3:36" ht="15.75" x14ac:dyDescent="0.25">
      <c r="C28" s="37"/>
      <c r="D28" s="37" t="s">
        <v>187</v>
      </c>
      <c r="E28" s="37" t="s">
        <v>145</v>
      </c>
      <c r="F28" s="37" t="s">
        <v>145</v>
      </c>
      <c r="G28" s="37" t="s">
        <v>145</v>
      </c>
      <c r="H28" s="37" t="s">
        <v>145</v>
      </c>
      <c r="I28" s="37" t="s">
        <v>145</v>
      </c>
      <c r="J28" s="37" t="s">
        <v>145</v>
      </c>
      <c r="K28" s="37" t="s">
        <v>145</v>
      </c>
      <c r="L28" s="37" t="s">
        <v>145</v>
      </c>
      <c r="N28" s="37">
        <v>1</v>
      </c>
      <c r="O28" s="37"/>
      <c r="P28" s="37"/>
      <c r="Q28" s="37"/>
      <c r="R28" s="37"/>
      <c r="S28" s="37"/>
      <c r="T28" s="37"/>
      <c r="U28" s="37"/>
      <c r="V28" s="37"/>
      <c r="AB28" s="37"/>
      <c r="AC28" s="37"/>
      <c r="AD28" s="37"/>
      <c r="AE28" s="37"/>
      <c r="AF28" s="37"/>
      <c r="AG28" s="37"/>
    </row>
    <row r="29" spans="3:36" ht="15.75" x14ac:dyDescent="0.25">
      <c r="C29" s="37"/>
      <c r="E29" s="37" t="s">
        <v>111</v>
      </c>
      <c r="F29" s="37" t="s">
        <v>111</v>
      </c>
      <c r="G29" s="37" t="s">
        <v>111</v>
      </c>
      <c r="H29" s="37" t="s">
        <v>111</v>
      </c>
      <c r="I29" s="37" t="s">
        <v>111</v>
      </c>
      <c r="J29" s="37" t="s">
        <v>111</v>
      </c>
      <c r="K29" s="37" t="s">
        <v>111</v>
      </c>
      <c r="L29" s="37" t="s">
        <v>111</v>
      </c>
      <c r="N29" s="37"/>
      <c r="O29" s="37"/>
      <c r="P29" s="37"/>
      <c r="Q29" s="37"/>
      <c r="R29" s="37"/>
      <c r="S29" s="37"/>
      <c r="T29" s="37"/>
      <c r="U29" s="37"/>
      <c r="V29" s="37"/>
      <c r="AB29" s="37"/>
      <c r="AC29" s="37"/>
      <c r="AD29" s="37"/>
      <c r="AE29" s="37"/>
      <c r="AF29" s="37"/>
      <c r="AG29" s="37"/>
    </row>
    <row r="30" spans="3:36" ht="15.75" x14ac:dyDescent="0.25">
      <c r="C30" s="37"/>
      <c r="D30" s="37" t="s">
        <v>299</v>
      </c>
      <c r="E30" s="37" t="s">
        <v>55</v>
      </c>
      <c r="F30" s="37" t="s">
        <v>55</v>
      </c>
      <c r="G30" s="37" t="s">
        <v>55</v>
      </c>
      <c r="H30" s="37" t="s">
        <v>55</v>
      </c>
      <c r="I30" s="37" t="s">
        <v>55</v>
      </c>
      <c r="J30" s="37" t="s">
        <v>55</v>
      </c>
      <c r="K30" s="37" t="s">
        <v>55</v>
      </c>
      <c r="L30" s="37" t="s">
        <v>55</v>
      </c>
      <c r="N30" s="37">
        <v>5</v>
      </c>
      <c r="O30" s="37"/>
      <c r="P30" s="37"/>
      <c r="Q30" s="37"/>
      <c r="R30" s="37"/>
      <c r="S30" s="37"/>
      <c r="T30" s="37"/>
      <c r="U30" s="37"/>
      <c r="V30" s="37"/>
      <c r="AD30" s="37"/>
      <c r="AE30" s="37"/>
      <c r="AF30" s="37"/>
      <c r="AG30" s="37"/>
    </row>
    <row r="31" spans="3:36" ht="15.75" x14ac:dyDescent="0.25">
      <c r="C31" s="37"/>
      <c r="E31" s="37" t="s">
        <v>33</v>
      </c>
      <c r="F31" s="37" t="s">
        <v>33</v>
      </c>
      <c r="G31" s="37" t="s">
        <v>33</v>
      </c>
      <c r="H31" s="37" t="s">
        <v>33</v>
      </c>
      <c r="I31" s="37"/>
      <c r="J31" s="37"/>
      <c r="K31" s="37"/>
      <c r="L31" s="37"/>
      <c r="N31" s="37"/>
      <c r="O31" s="37"/>
      <c r="P31" s="37"/>
      <c r="Q31" s="37"/>
      <c r="R31" s="37"/>
      <c r="S31" s="37"/>
      <c r="T31" s="37"/>
      <c r="U31" s="37"/>
      <c r="V31" s="37"/>
      <c r="AB31" s="37"/>
      <c r="AC31" s="37"/>
      <c r="AD31" s="37"/>
      <c r="AE31" s="37"/>
      <c r="AF31" s="37"/>
      <c r="AG31" s="37"/>
    </row>
    <row r="32" spans="3:36" ht="15.75" x14ac:dyDescent="0.25">
      <c r="C32" s="37"/>
      <c r="E32" s="37" t="s">
        <v>37</v>
      </c>
      <c r="F32" s="37" t="s">
        <v>38</v>
      </c>
      <c r="G32" s="37" t="s">
        <v>37</v>
      </c>
      <c r="H32" s="37" t="s">
        <v>38</v>
      </c>
      <c r="I32" s="37" t="s">
        <v>37</v>
      </c>
      <c r="J32" s="37" t="s">
        <v>38</v>
      </c>
      <c r="K32" s="37" t="s">
        <v>37</v>
      </c>
      <c r="L32" s="37" t="s">
        <v>38</v>
      </c>
      <c r="N32" s="37"/>
      <c r="O32" s="37"/>
      <c r="P32" s="37"/>
      <c r="Q32" s="37"/>
      <c r="R32" s="37"/>
      <c r="S32" s="37"/>
      <c r="T32" s="37"/>
      <c r="U32" s="37"/>
      <c r="V32" s="37"/>
      <c r="AB32" s="37"/>
      <c r="AC32" s="37"/>
      <c r="AD32" s="37"/>
      <c r="AE32" s="37"/>
      <c r="AF32" s="37"/>
      <c r="AG32" s="37"/>
    </row>
    <row r="33" spans="3:33" ht="15.75" x14ac:dyDescent="0.25">
      <c r="D33" s="37" t="s">
        <v>189</v>
      </c>
      <c r="E33" s="37" t="s">
        <v>100</v>
      </c>
      <c r="F33" s="37" t="s">
        <v>100</v>
      </c>
      <c r="G33" s="37" t="s">
        <v>100</v>
      </c>
      <c r="H33" s="37" t="s">
        <v>100</v>
      </c>
      <c r="I33" s="37" t="s">
        <v>100</v>
      </c>
      <c r="J33" s="37" t="s">
        <v>100</v>
      </c>
      <c r="K33" s="37" t="s">
        <v>100</v>
      </c>
      <c r="L33" s="37" t="s">
        <v>100</v>
      </c>
      <c r="N33" s="37">
        <v>1</v>
      </c>
      <c r="O33" s="37"/>
      <c r="P33" s="37"/>
      <c r="Q33" s="37"/>
      <c r="R33" s="37"/>
      <c r="S33" s="37"/>
      <c r="T33" s="37"/>
      <c r="U33" s="37"/>
      <c r="V33" s="37"/>
      <c r="AB33" s="37"/>
      <c r="AC33" s="37"/>
      <c r="AD33" s="37"/>
      <c r="AE33" s="37"/>
      <c r="AF33" s="37"/>
      <c r="AG33" s="37"/>
    </row>
    <row r="34" spans="3:33" ht="15.75" x14ac:dyDescent="0.25">
      <c r="C34" s="37"/>
      <c r="E34" s="37" t="s">
        <v>70</v>
      </c>
      <c r="F34" s="37" t="s">
        <v>70</v>
      </c>
      <c r="G34" s="37" t="s">
        <v>70</v>
      </c>
      <c r="H34" s="37" t="s">
        <v>70</v>
      </c>
      <c r="I34" s="37" t="s">
        <v>70</v>
      </c>
      <c r="J34" s="37" t="s">
        <v>70</v>
      </c>
      <c r="K34" s="37" t="s">
        <v>70</v>
      </c>
      <c r="L34" s="37" t="s">
        <v>70</v>
      </c>
      <c r="N34" s="37"/>
      <c r="O34" s="37"/>
      <c r="P34" s="37"/>
      <c r="Q34" s="37"/>
      <c r="R34" s="37"/>
      <c r="S34" s="37"/>
      <c r="T34" s="37"/>
      <c r="U34" s="37"/>
      <c r="V34" s="37"/>
      <c r="AB34" s="37"/>
      <c r="AC34" s="37"/>
      <c r="AD34" s="37"/>
      <c r="AE34" s="37"/>
      <c r="AF34" s="37"/>
      <c r="AG34" s="37"/>
    </row>
    <row r="35" spans="3:33" ht="15.75" x14ac:dyDescent="0.25">
      <c r="C35" s="37"/>
      <c r="D35" s="37" t="s">
        <v>192</v>
      </c>
      <c r="E35" s="37" t="s">
        <v>168</v>
      </c>
      <c r="F35" s="37" t="s">
        <v>168</v>
      </c>
      <c r="G35" s="37" t="s">
        <v>168</v>
      </c>
      <c r="H35" s="37" t="s">
        <v>168</v>
      </c>
      <c r="I35" s="37" t="s">
        <v>168</v>
      </c>
      <c r="J35" s="37" t="s">
        <v>168</v>
      </c>
      <c r="K35" s="37" t="s">
        <v>168</v>
      </c>
      <c r="L35" s="37" t="s">
        <v>168</v>
      </c>
      <c r="N35" s="37">
        <v>1</v>
      </c>
      <c r="O35" s="37"/>
      <c r="P35" s="37"/>
      <c r="Q35" s="37"/>
      <c r="R35" s="37"/>
      <c r="S35" s="37"/>
      <c r="T35" s="37"/>
      <c r="U35" s="37"/>
      <c r="V35" s="37"/>
      <c r="AB35" s="37"/>
      <c r="AC35" s="37"/>
      <c r="AD35" s="37"/>
      <c r="AE35" s="37"/>
      <c r="AF35" s="37"/>
      <c r="AG35" s="37"/>
    </row>
    <row r="36" spans="3:33" ht="15.75" x14ac:dyDescent="0.25">
      <c r="C36" s="37"/>
      <c r="D36" s="57" t="s">
        <v>176</v>
      </c>
      <c r="E36" s="37" t="s">
        <v>175</v>
      </c>
      <c r="F36" s="37" t="s">
        <v>175</v>
      </c>
      <c r="G36" s="37" t="s">
        <v>175</v>
      </c>
      <c r="H36" s="37" t="s">
        <v>175</v>
      </c>
      <c r="I36" s="37" t="s">
        <v>175</v>
      </c>
      <c r="J36" s="37" t="s">
        <v>175</v>
      </c>
      <c r="K36" s="37" t="s">
        <v>175</v>
      </c>
      <c r="L36" s="37" t="s">
        <v>175</v>
      </c>
      <c r="N36" s="37">
        <v>2</v>
      </c>
      <c r="O36" s="37"/>
      <c r="P36" s="37"/>
      <c r="Q36" s="37"/>
      <c r="R36" s="37"/>
      <c r="S36" s="37"/>
      <c r="T36" s="37"/>
      <c r="U36" s="37"/>
      <c r="V36" s="37"/>
    </row>
    <row r="37" spans="3:33" ht="15.75" x14ac:dyDescent="0.25">
      <c r="C37" s="37"/>
      <c r="D37" s="57" t="s">
        <v>181</v>
      </c>
      <c r="E37" s="37" t="s">
        <v>178</v>
      </c>
      <c r="F37" s="37" t="s">
        <v>178</v>
      </c>
      <c r="G37" s="37" t="s">
        <v>178</v>
      </c>
      <c r="H37" s="37" t="s">
        <v>178</v>
      </c>
      <c r="I37" s="37" t="s">
        <v>178</v>
      </c>
      <c r="J37" s="37" t="s">
        <v>178</v>
      </c>
      <c r="K37" s="37" t="s">
        <v>178</v>
      </c>
      <c r="L37" s="37" t="s">
        <v>178</v>
      </c>
      <c r="N37" s="37">
        <v>1</v>
      </c>
      <c r="O37" s="37"/>
      <c r="P37" s="37"/>
      <c r="Q37" s="37"/>
      <c r="R37" s="37"/>
      <c r="S37" s="37"/>
      <c r="T37" s="37"/>
      <c r="U37" s="37"/>
      <c r="V37" s="37"/>
    </row>
    <row r="38" spans="3:33" ht="15.75" x14ac:dyDescent="0.25">
      <c r="C38" s="37"/>
      <c r="D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3:33" ht="15.75" x14ac:dyDescent="0.25">
      <c r="C39" s="40" t="s">
        <v>2</v>
      </c>
      <c r="D39" s="57" t="s">
        <v>184</v>
      </c>
      <c r="E39" s="37" t="s">
        <v>9</v>
      </c>
      <c r="F39" s="37" t="s">
        <v>9</v>
      </c>
      <c r="G39" s="37" t="s">
        <v>9</v>
      </c>
      <c r="H39" s="37" t="s">
        <v>9</v>
      </c>
      <c r="I39" s="37" t="s">
        <v>9</v>
      </c>
      <c r="J39" s="37" t="s">
        <v>9</v>
      </c>
      <c r="K39" s="37" t="s">
        <v>9</v>
      </c>
      <c r="L39" s="37" t="s">
        <v>9</v>
      </c>
      <c r="N39" s="37">
        <v>1</v>
      </c>
      <c r="O39" s="37"/>
      <c r="P39" s="37"/>
      <c r="Q39" s="37"/>
      <c r="R39" s="37"/>
      <c r="S39" s="37"/>
      <c r="T39" s="37"/>
      <c r="U39" s="37"/>
      <c r="V39" s="37"/>
    </row>
    <row r="40" spans="3:33" ht="15.75" x14ac:dyDescent="0.25">
      <c r="C40" s="37"/>
      <c r="D40" s="57" t="s">
        <v>185</v>
      </c>
      <c r="E40" s="37" t="s">
        <v>15</v>
      </c>
      <c r="F40" s="37" t="s">
        <v>15</v>
      </c>
      <c r="G40" s="37" t="s">
        <v>18</v>
      </c>
      <c r="H40" s="37" t="s">
        <v>18</v>
      </c>
      <c r="I40" s="37" t="s">
        <v>15</v>
      </c>
      <c r="J40" s="37" t="s">
        <v>15</v>
      </c>
      <c r="K40" s="37" t="s">
        <v>18</v>
      </c>
      <c r="L40" s="37" t="s">
        <v>18</v>
      </c>
      <c r="N40" s="37">
        <v>9</v>
      </c>
      <c r="O40" s="37"/>
      <c r="P40" s="37"/>
      <c r="Q40" s="37"/>
      <c r="R40" s="37"/>
      <c r="S40" s="37"/>
      <c r="T40" s="37"/>
      <c r="U40" s="37"/>
      <c r="V40" s="37"/>
    </row>
    <row r="41" spans="3:33" ht="15.75" x14ac:dyDescent="0.25">
      <c r="C41" s="37"/>
      <c r="D41" s="57" t="s">
        <v>186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25</v>
      </c>
      <c r="K41" s="37" t="s">
        <v>25</v>
      </c>
      <c r="L41" s="37" t="s">
        <v>25</v>
      </c>
      <c r="N41" s="37"/>
      <c r="O41" s="37"/>
      <c r="P41" s="37"/>
      <c r="Q41" s="37"/>
      <c r="R41" s="37"/>
      <c r="S41" s="37"/>
      <c r="T41" s="37"/>
      <c r="U41" s="37"/>
      <c r="V41" s="37"/>
    </row>
    <row r="42" spans="3:33" ht="15.75" x14ac:dyDescent="0.25">
      <c r="C42" s="37"/>
      <c r="D42" s="37" t="s">
        <v>253</v>
      </c>
      <c r="E42" s="37" t="s">
        <v>59</v>
      </c>
      <c r="F42" s="37" t="s">
        <v>59</v>
      </c>
      <c r="G42" s="37" t="s">
        <v>59</v>
      </c>
      <c r="H42" s="37" t="s">
        <v>59</v>
      </c>
      <c r="I42" s="37" t="s">
        <v>59</v>
      </c>
      <c r="J42" s="37" t="s">
        <v>59</v>
      </c>
      <c r="K42" s="37" t="s">
        <v>59</v>
      </c>
      <c r="L42" s="37" t="s">
        <v>59</v>
      </c>
      <c r="N42" s="37"/>
      <c r="O42" s="37"/>
      <c r="P42" s="37"/>
      <c r="Q42" s="37"/>
      <c r="R42" s="37"/>
      <c r="S42" s="37"/>
      <c r="T42" s="37"/>
      <c r="U42" s="37"/>
      <c r="V42" s="37"/>
    </row>
    <row r="43" spans="3:33" ht="15.75" x14ac:dyDescent="0.25">
      <c r="C43" s="37"/>
      <c r="E43" s="37" t="s">
        <v>34</v>
      </c>
      <c r="F43" s="37" t="s">
        <v>34</v>
      </c>
      <c r="G43" s="37" t="s">
        <v>34</v>
      </c>
      <c r="H43" s="37" t="s">
        <v>34</v>
      </c>
      <c r="I43" s="37"/>
      <c r="J43" s="37"/>
      <c r="K43" s="37"/>
      <c r="L43" s="37"/>
      <c r="N43" s="37"/>
      <c r="O43" s="37"/>
      <c r="P43" s="37"/>
      <c r="Q43" s="37"/>
      <c r="R43" s="37"/>
      <c r="S43" s="38" t="s">
        <v>302</v>
      </c>
      <c r="T43" s="38">
        <f>N39*N40*N45*N47*N50*N52*N53*N54</f>
        <v>180</v>
      </c>
      <c r="U43" s="37"/>
      <c r="V43" s="37"/>
    </row>
    <row r="44" spans="3:33" ht="15.75" x14ac:dyDescent="0.25">
      <c r="C44" s="37"/>
      <c r="E44" s="37" t="s">
        <v>37</v>
      </c>
      <c r="F44" s="37" t="s">
        <v>38</v>
      </c>
      <c r="G44" s="37" t="s">
        <v>37</v>
      </c>
      <c r="H44" s="37" t="s">
        <v>38</v>
      </c>
      <c r="I44" s="37" t="s">
        <v>37</v>
      </c>
      <c r="J44" s="37" t="s">
        <v>38</v>
      </c>
      <c r="K44" s="37" t="s">
        <v>37</v>
      </c>
      <c r="L44" s="37" t="s">
        <v>38</v>
      </c>
      <c r="N44" s="37"/>
      <c r="O44" s="37"/>
      <c r="P44" s="37"/>
      <c r="Q44" s="37"/>
      <c r="R44" s="37"/>
      <c r="S44" s="37"/>
      <c r="T44" s="37"/>
      <c r="U44" s="37"/>
      <c r="V44" s="37"/>
    </row>
    <row r="45" spans="3:33" ht="15.75" x14ac:dyDescent="0.25">
      <c r="C45" s="37"/>
      <c r="D45" s="37" t="s">
        <v>187</v>
      </c>
      <c r="E45" s="37" t="s">
        <v>151</v>
      </c>
      <c r="F45" s="37" t="s">
        <v>151</v>
      </c>
      <c r="G45" s="37" t="s">
        <v>151</v>
      </c>
      <c r="H45" s="37" t="s">
        <v>151</v>
      </c>
      <c r="I45" s="37" t="s">
        <v>151</v>
      </c>
      <c r="J45" s="37" t="s">
        <v>151</v>
      </c>
      <c r="K45" s="37" t="s">
        <v>151</v>
      </c>
      <c r="L45" s="37" t="s">
        <v>151</v>
      </c>
      <c r="N45" s="37">
        <v>2</v>
      </c>
      <c r="O45" s="37"/>
      <c r="P45" s="37"/>
      <c r="Q45" s="37"/>
      <c r="R45" s="37"/>
      <c r="S45" s="37"/>
      <c r="T45" s="37"/>
      <c r="U45" s="37"/>
      <c r="V45" s="37"/>
    </row>
    <row r="46" spans="3:33" ht="15.75" x14ac:dyDescent="0.25">
      <c r="C46" s="37"/>
      <c r="E46" s="37" t="s">
        <v>117</v>
      </c>
      <c r="F46" s="37" t="s">
        <v>117</v>
      </c>
      <c r="G46" s="37" t="s">
        <v>117</v>
      </c>
      <c r="H46" s="37" t="s">
        <v>117</v>
      </c>
      <c r="I46" s="37" t="s">
        <v>117</v>
      </c>
      <c r="J46" s="37" t="s">
        <v>117</v>
      </c>
      <c r="K46" s="37" t="s">
        <v>117</v>
      </c>
      <c r="L46" s="37" t="s">
        <v>117</v>
      </c>
      <c r="N46" s="37"/>
      <c r="O46" s="37"/>
      <c r="P46" s="37"/>
      <c r="Q46" s="37"/>
      <c r="R46" s="37"/>
      <c r="S46" s="37"/>
      <c r="T46" s="37"/>
      <c r="U46" s="37"/>
      <c r="V46" s="37"/>
    </row>
    <row r="47" spans="3:33" ht="15.75" x14ac:dyDescent="0.25">
      <c r="C47" s="37"/>
      <c r="D47" s="37" t="s">
        <v>299</v>
      </c>
      <c r="E47" s="37" t="s">
        <v>59</v>
      </c>
      <c r="F47" s="37" t="s">
        <v>59</v>
      </c>
      <c r="G47" s="37" t="s">
        <v>59</v>
      </c>
      <c r="H47" s="37" t="s">
        <v>59</v>
      </c>
      <c r="I47" s="37" t="s">
        <v>59</v>
      </c>
      <c r="J47" s="37" t="s">
        <v>59</v>
      </c>
      <c r="K47" s="37" t="s">
        <v>59</v>
      </c>
      <c r="L47" s="37" t="s">
        <v>59</v>
      </c>
      <c r="N47" s="37">
        <v>5</v>
      </c>
      <c r="O47" s="37"/>
      <c r="P47" s="37"/>
      <c r="Q47" s="37"/>
      <c r="R47" s="37"/>
      <c r="S47" s="37"/>
      <c r="T47" s="37"/>
      <c r="U47" s="37"/>
      <c r="V47" s="37"/>
    </row>
    <row r="48" spans="3:33" ht="15.75" x14ac:dyDescent="0.25">
      <c r="C48" s="37"/>
      <c r="E48" s="37" t="s">
        <v>34</v>
      </c>
      <c r="F48" s="37" t="s">
        <v>34</v>
      </c>
      <c r="G48" s="37" t="s">
        <v>34</v>
      </c>
      <c r="H48" s="37" t="s">
        <v>34</v>
      </c>
      <c r="I48" s="37"/>
      <c r="J48" s="37"/>
      <c r="K48" s="37"/>
      <c r="L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3:22" ht="15.75" x14ac:dyDescent="0.25">
      <c r="C49" s="37"/>
      <c r="E49" s="37" t="s">
        <v>37</v>
      </c>
      <c r="F49" s="37" t="s">
        <v>38</v>
      </c>
      <c r="G49" s="37" t="s">
        <v>37</v>
      </c>
      <c r="H49" s="37" t="s">
        <v>38</v>
      </c>
      <c r="I49" s="37" t="s">
        <v>37</v>
      </c>
      <c r="J49" s="37" t="s">
        <v>38</v>
      </c>
      <c r="K49" s="37" t="s">
        <v>37</v>
      </c>
      <c r="L49" s="37" t="s">
        <v>38</v>
      </c>
      <c r="N49" s="37"/>
      <c r="O49" s="37"/>
      <c r="P49" s="37"/>
      <c r="Q49" s="37"/>
      <c r="R49" s="37"/>
      <c r="S49" s="37"/>
      <c r="T49" s="37"/>
      <c r="U49" s="37"/>
      <c r="V49" s="37"/>
    </row>
    <row r="50" spans="3:22" ht="15.75" x14ac:dyDescent="0.25">
      <c r="C50" s="37"/>
      <c r="D50" s="37" t="s">
        <v>189</v>
      </c>
      <c r="E50" s="37" t="s">
        <v>100</v>
      </c>
      <c r="F50" s="37" t="s">
        <v>100</v>
      </c>
      <c r="G50" s="37" t="s">
        <v>100</v>
      </c>
      <c r="H50" s="37" t="s">
        <v>100</v>
      </c>
      <c r="I50" s="37" t="s">
        <v>100</v>
      </c>
      <c r="J50" s="37" t="s">
        <v>100</v>
      </c>
      <c r="K50" s="37" t="s">
        <v>100</v>
      </c>
      <c r="L50" s="37" t="s">
        <v>100</v>
      </c>
      <c r="N50" s="37">
        <v>1</v>
      </c>
      <c r="O50" s="37"/>
      <c r="P50" s="37"/>
      <c r="Q50" s="37"/>
      <c r="R50" s="37"/>
      <c r="S50" s="37"/>
      <c r="T50" s="37"/>
      <c r="U50" s="37"/>
      <c r="V50" s="37"/>
    </row>
    <row r="51" spans="3:22" ht="15.75" x14ac:dyDescent="0.25">
      <c r="C51" s="37"/>
      <c r="E51" s="37" t="s">
        <v>70</v>
      </c>
      <c r="F51" s="37" t="s">
        <v>70</v>
      </c>
      <c r="G51" s="37" t="s">
        <v>70</v>
      </c>
      <c r="H51" s="37" t="s">
        <v>70</v>
      </c>
      <c r="I51" s="37" t="s">
        <v>70</v>
      </c>
      <c r="J51" s="37" t="s">
        <v>70</v>
      </c>
      <c r="K51" s="37" t="s">
        <v>70</v>
      </c>
      <c r="L51" s="37" t="s">
        <v>70</v>
      </c>
      <c r="N51" s="37"/>
      <c r="O51" s="37"/>
      <c r="P51" s="37"/>
      <c r="Q51" s="37"/>
      <c r="R51" s="37"/>
      <c r="S51" s="37"/>
      <c r="T51" s="37"/>
      <c r="U51" s="37"/>
      <c r="V51" s="37"/>
    </row>
    <row r="52" spans="3:22" ht="15.75" x14ac:dyDescent="0.25">
      <c r="C52" s="37"/>
      <c r="D52" s="37" t="s">
        <v>192</v>
      </c>
      <c r="E52" s="37" t="s">
        <v>168</v>
      </c>
      <c r="F52" s="37" t="s">
        <v>168</v>
      </c>
      <c r="G52" s="37" t="s">
        <v>168</v>
      </c>
      <c r="H52" s="37" t="s">
        <v>168</v>
      </c>
      <c r="I52" s="37" t="s">
        <v>168</v>
      </c>
      <c r="J52" s="37" t="s">
        <v>168</v>
      </c>
      <c r="K52" s="37" t="s">
        <v>168</v>
      </c>
      <c r="L52" s="37" t="s">
        <v>168</v>
      </c>
      <c r="N52" s="37">
        <v>1</v>
      </c>
      <c r="O52" s="37"/>
      <c r="P52" s="37"/>
      <c r="Q52" s="37"/>
      <c r="R52" s="37"/>
      <c r="S52" s="37"/>
      <c r="T52" s="37"/>
      <c r="U52" s="37"/>
      <c r="V52" s="37"/>
    </row>
    <row r="53" spans="3:22" ht="15.75" x14ac:dyDescent="0.25">
      <c r="C53" s="37"/>
      <c r="D53" s="57" t="s">
        <v>176</v>
      </c>
      <c r="E53" s="37" t="s">
        <v>175</v>
      </c>
      <c r="F53" s="37" t="s">
        <v>175</v>
      </c>
      <c r="G53" s="37" t="s">
        <v>175</v>
      </c>
      <c r="H53" s="37" t="s">
        <v>175</v>
      </c>
      <c r="I53" s="37" t="s">
        <v>175</v>
      </c>
      <c r="J53" s="37" t="s">
        <v>175</v>
      </c>
      <c r="K53" s="37" t="s">
        <v>175</v>
      </c>
      <c r="L53" s="37" t="s">
        <v>175</v>
      </c>
      <c r="N53" s="37">
        <v>2</v>
      </c>
      <c r="O53" s="37"/>
      <c r="P53" s="37"/>
      <c r="Q53" s="37"/>
      <c r="R53" s="37"/>
      <c r="S53" s="37"/>
      <c r="T53" s="37"/>
      <c r="U53" s="37"/>
      <c r="V53" s="37"/>
    </row>
    <row r="54" spans="3:22" ht="15.75" x14ac:dyDescent="0.25">
      <c r="C54" s="37"/>
      <c r="D54" s="57" t="s">
        <v>181</v>
      </c>
      <c r="E54" s="37" t="s">
        <v>178</v>
      </c>
      <c r="F54" s="37" t="s">
        <v>178</v>
      </c>
      <c r="G54" s="37" t="s">
        <v>178</v>
      </c>
      <c r="H54" s="37" t="s">
        <v>178</v>
      </c>
      <c r="I54" s="37" t="s">
        <v>178</v>
      </c>
      <c r="J54" s="37" t="s">
        <v>178</v>
      </c>
      <c r="K54" s="37" t="s">
        <v>178</v>
      </c>
      <c r="L54" s="37" t="s">
        <v>178</v>
      </c>
      <c r="N54" s="37">
        <v>1</v>
      </c>
      <c r="O54" s="37"/>
      <c r="P54" s="37"/>
      <c r="Q54" s="37"/>
      <c r="R54" s="37"/>
      <c r="S54" s="37"/>
      <c r="T54" s="37"/>
      <c r="U54" s="37"/>
      <c r="V54" s="37"/>
    </row>
    <row r="55" spans="3:22" ht="15.75" x14ac:dyDescent="0.25">
      <c r="C55" s="37"/>
      <c r="D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3:22" ht="20.25" x14ac:dyDescent="0.3">
      <c r="C56" s="150" t="s">
        <v>255</v>
      </c>
      <c r="D56" s="150"/>
      <c r="N56" s="37"/>
      <c r="O56" s="37"/>
      <c r="P56" s="37"/>
      <c r="Q56" s="37"/>
      <c r="R56" s="37"/>
      <c r="S56" s="37"/>
      <c r="T56" s="37"/>
      <c r="U56" s="37"/>
      <c r="V56" s="37"/>
    </row>
    <row r="57" spans="3:22" ht="15.75" x14ac:dyDescent="0.25">
      <c r="C57" s="37"/>
      <c r="D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22" ht="20.25" x14ac:dyDescent="0.3">
      <c r="C58" s="37"/>
      <c r="D58" s="37"/>
      <c r="N58" s="37"/>
      <c r="O58" s="37"/>
      <c r="P58" s="37"/>
      <c r="Q58" s="37"/>
      <c r="R58" s="37"/>
      <c r="S58" s="41" t="s">
        <v>364</v>
      </c>
      <c r="T58" s="37"/>
      <c r="U58" s="37"/>
      <c r="V58" s="37"/>
    </row>
    <row r="59" spans="3:22" ht="15.75" x14ac:dyDescent="0.25">
      <c r="C59" s="40" t="s">
        <v>232</v>
      </c>
      <c r="D59" s="57" t="s">
        <v>184</v>
      </c>
      <c r="E59" t="s">
        <v>12</v>
      </c>
      <c r="N59" s="37">
        <v>1</v>
      </c>
      <c r="O59" s="37">
        <v>1</v>
      </c>
      <c r="P59" s="37"/>
      <c r="Q59" s="37"/>
      <c r="R59" s="37"/>
      <c r="S59" s="38" t="s">
        <v>302</v>
      </c>
      <c r="T59" s="38">
        <f>N59*N60*N65*N67*N70*N72*N73*N74</f>
        <v>7200</v>
      </c>
      <c r="U59" s="37"/>
      <c r="V59" s="37"/>
    </row>
    <row r="60" spans="3:22" ht="15.75" x14ac:dyDescent="0.25">
      <c r="C60" s="37"/>
      <c r="D60" s="57" t="s">
        <v>185</v>
      </c>
      <c r="E60" t="s">
        <v>21</v>
      </c>
      <c r="N60" s="37">
        <v>9</v>
      </c>
      <c r="O60" s="37">
        <v>27</v>
      </c>
      <c r="P60" s="37"/>
      <c r="Q60" s="37"/>
      <c r="R60" s="37"/>
      <c r="S60" s="37"/>
      <c r="T60" s="37"/>
      <c r="U60" s="37"/>
      <c r="V60" s="37"/>
    </row>
    <row r="61" spans="3:22" ht="15.75" x14ac:dyDescent="0.25">
      <c r="C61" s="37"/>
      <c r="D61" s="57" t="s">
        <v>186</v>
      </c>
      <c r="E61" t="s">
        <v>27</v>
      </c>
      <c r="F61" t="s">
        <v>29</v>
      </c>
      <c r="N61" s="37"/>
      <c r="O61" s="37"/>
      <c r="P61" s="37"/>
      <c r="Q61" s="37"/>
      <c r="R61" s="37"/>
      <c r="S61" s="37"/>
      <c r="T61" s="37"/>
      <c r="U61" s="37"/>
      <c r="V61" s="37"/>
    </row>
    <row r="62" spans="3:22" ht="15.75" x14ac:dyDescent="0.25">
      <c r="C62" s="37"/>
      <c r="D62" s="37" t="s">
        <v>253</v>
      </c>
      <c r="E62" t="s">
        <v>50</v>
      </c>
      <c r="S62" s="37"/>
      <c r="T62" s="37"/>
    </row>
    <row r="63" spans="3:22" ht="15.75" x14ac:dyDescent="0.25">
      <c r="E63" t="s">
        <v>34</v>
      </c>
      <c r="S63" s="37"/>
      <c r="T63" s="37"/>
    </row>
    <row r="64" spans="3:22" ht="15.75" x14ac:dyDescent="0.25">
      <c r="E64" t="s">
        <v>35</v>
      </c>
      <c r="F64" t="s">
        <v>36</v>
      </c>
      <c r="S64" s="37"/>
      <c r="T64" s="37"/>
    </row>
    <row r="65" spans="3:21" ht="15.75" x14ac:dyDescent="0.25">
      <c r="C65" s="37"/>
      <c r="D65" s="37" t="s">
        <v>187</v>
      </c>
      <c r="E65" t="s">
        <v>137</v>
      </c>
      <c r="F65" t="s">
        <v>141</v>
      </c>
      <c r="N65">
        <v>16</v>
      </c>
      <c r="O65">
        <v>34</v>
      </c>
      <c r="S65" s="37"/>
      <c r="T65" s="37"/>
      <c r="U65" s="37"/>
    </row>
    <row r="66" spans="3:21" ht="15.75" x14ac:dyDescent="0.25">
      <c r="E66" t="s">
        <v>109</v>
      </c>
      <c r="F66" t="s">
        <v>111</v>
      </c>
      <c r="G66" t="s">
        <v>112</v>
      </c>
      <c r="H66" t="s">
        <v>113</v>
      </c>
      <c r="I66" t="s">
        <v>114</v>
      </c>
      <c r="J66" t="s">
        <v>115</v>
      </c>
      <c r="K66" t="s">
        <v>116</v>
      </c>
      <c r="L66" t="s">
        <v>117</v>
      </c>
      <c r="S66" s="37"/>
      <c r="T66" s="37"/>
      <c r="U66" s="37"/>
    </row>
    <row r="67" spans="3:21" ht="15.75" x14ac:dyDescent="0.25">
      <c r="C67" s="37"/>
      <c r="D67" s="37" t="s">
        <v>299</v>
      </c>
      <c r="E67" t="s">
        <v>50</v>
      </c>
      <c r="N67">
        <v>5</v>
      </c>
      <c r="O67">
        <v>13</v>
      </c>
      <c r="S67" s="37"/>
      <c r="T67" s="37"/>
    </row>
    <row r="68" spans="3:21" ht="15.75" x14ac:dyDescent="0.25">
      <c r="E68" t="s">
        <v>34</v>
      </c>
      <c r="S68" s="37"/>
      <c r="T68" s="37"/>
    </row>
    <row r="69" spans="3:21" ht="15.75" x14ac:dyDescent="0.25">
      <c r="E69" t="s">
        <v>35</v>
      </c>
      <c r="F69" t="s">
        <v>36</v>
      </c>
      <c r="S69" s="37"/>
      <c r="T69" s="37"/>
      <c r="U69" s="37"/>
    </row>
    <row r="70" spans="3:21" ht="15.75" x14ac:dyDescent="0.25">
      <c r="C70" s="37"/>
      <c r="D70" s="37" t="s">
        <v>189</v>
      </c>
      <c r="E70" t="s">
        <v>91</v>
      </c>
      <c r="G70" t="s">
        <v>94</v>
      </c>
      <c r="I70" t="s">
        <v>103</v>
      </c>
      <c r="N70">
        <v>5</v>
      </c>
      <c r="O70">
        <v>13</v>
      </c>
      <c r="S70" s="37"/>
      <c r="T70" s="37"/>
      <c r="U70" s="37"/>
    </row>
    <row r="71" spans="3:21" ht="15.75" x14ac:dyDescent="0.25">
      <c r="E71" t="s">
        <v>71</v>
      </c>
      <c r="F71" t="s">
        <v>72</v>
      </c>
      <c r="G71" t="s">
        <v>71</v>
      </c>
      <c r="H71" t="s">
        <v>72</v>
      </c>
      <c r="I71" t="s">
        <v>74</v>
      </c>
      <c r="S71" s="37"/>
      <c r="T71" s="37"/>
      <c r="U71" s="37"/>
    </row>
    <row r="72" spans="3:21" ht="15.75" x14ac:dyDescent="0.25">
      <c r="C72" s="37"/>
      <c r="D72" s="37" t="s">
        <v>192</v>
      </c>
      <c r="E72" t="s">
        <v>165</v>
      </c>
      <c r="N72">
        <v>1</v>
      </c>
      <c r="O72">
        <v>2</v>
      </c>
      <c r="S72" s="37"/>
      <c r="T72" s="37"/>
      <c r="U72" s="37"/>
    </row>
    <row r="73" spans="3:21" ht="15.75" x14ac:dyDescent="0.25">
      <c r="C73" s="37"/>
      <c r="D73" s="57" t="s">
        <v>176</v>
      </c>
      <c r="E73" t="s">
        <v>175</v>
      </c>
      <c r="N73">
        <v>2</v>
      </c>
      <c r="O73">
        <v>2</v>
      </c>
      <c r="S73" s="37"/>
      <c r="T73" s="37"/>
    </row>
    <row r="74" spans="3:21" ht="15.75" x14ac:dyDescent="0.25">
      <c r="C74" s="37"/>
      <c r="D74" s="57" t="s">
        <v>181</v>
      </c>
      <c r="E74" t="s">
        <v>178</v>
      </c>
      <c r="N74">
        <v>1</v>
      </c>
      <c r="O74">
        <v>1</v>
      </c>
      <c r="S74" s="37"/>
      <c r="T74" s="37"/>
    </row>
    <row r="75" spans="3:21" ht="15.75" x14ac:dyDescent="0.25">
      <c r="C75" s="37"/>
      <c r="D75" s="37"/>
      <c r="S75" s="37"/>
      <c r="T75" s="37"/>
    </row>
    <row r="76" spans="3:21" ht="15.75" x14ac:dyDescent="0.25">
      <c r="C76" s="40" t="s">
        <v>1</v>
      </c>
      <c r="D76" s="57" t="s">
        <v>184</v>
      </c>
      <c r="E76" t="s">
        <v>12</v>
      </c>
      <c r="N76">
        <v>1</v>
      </c>
      <c r="S76" s="38" t="s">
        <v>302</v>
      </c>
      <c r="T76" s="38">
        <f>N76*N77*N82*N84*N87*N89*N90*N91</f>
        <v>2160</v>
      </c>
    </row>
    <row r="77" spans="3:21" ht="15.75" x14ac:dyDescent="0.25">
      <c r="C77" s="37"/>
      <c r="D77" s="57" t="s">
        <v>185</v>
      </c>
      <c r="E77" t="s">
        <v>21</v>
      </c>
      <c r="N77">
        <v>9</v>
      </c>
      <c r="S77" s="37"/>
      <c r="T77" s="37"/>
    </row>
    <row r="78" spans="3:21" ht="15.75" x14ac:dyDescent="0.25">
      <c r="C78" s="37"/>
      <c r="D78" s="57" t="s">
        <v>186</v>
      </c>
      <c r="E78" t="s">
        <v>27</v>
      </c>
      <c r="F78" t="s">
        <v>29</v>
      </c>
      <c r="S78" s="37"/>
      <c r="T78" s="37"/>
    </row>
    <row r="79" spans="3:21" ht="15.75" x14ac:dyDescent="0.25">
      <c r="C79" s="37"/>
      <c r="D79" s="37" t="s">
        <v>253</v>
      </c>
      <c r="E79" t="s">
        <v>55</v>
      </c>
      <c r="S79" s="37"/>
      <c r="T79" s="37"/>
    </row>
    <row r="80" spans="3:21" ht="15.75" x14ac:dyDescent="0.25">
      <c r="C80" s="37"/>
      <c r="E80" t="s">
        <v>34</v>
      </c>
      <c r="S80" s="37"/>
      <c r="T80" s="37"/>
      <c r="U80" s="37"/>
    </row>
    <row r="81" spans="3:21" ht="15.75" x14ac:dyDescent="0.25">
      <c r="C81" s="37"/>
      <c r="E81" t="s">
        <v>35</v>
      </c>
      <c r="F81" t="s">
        <v>36</v>
      </c>
      <c r="S81" s="37"/>
      <c r="T81" s="37"/>
      <c r="U81" s="37"/>
    </row>
    <row r="82" spans="3:21" ht="15.75" x14ac:dyDescent="0.25">
      <c r="C82" s="37"/>
      <c r="D82" s="37" t="s">
        <v>187</v>
      </c>
      <c r="E82" t="s">
        <v>145</v>
      </c>
      <c r="N82">
        <v>4</v>
      </c>
      <c r="S82" s="37"/>
      <c r="T82" s="37"/>
    </row>
    <row r="83" spans="3:21" ht="15.75" x14ac:dyDescent="0.25">
      <c r="C83" s="37"/>
      <c r="E83" t="s">
        <v>109</v>
      </c>
      <c r="F83" t="s">
        <v>110</v>
      </c>
      <c r="G83" t="s">
        <v>114</v>
      </c>
      <c r="H83" t="s">
        <v>117</v>
      </c>
      <c r="N83" s="37"/>
      <c r="S83" s="37"/>
      <c r="T83" s="37"/>
    </row>
    <row r="84" spans="3:21" ht="15.75" x14ac:dyDescent="0.25">
      <c r="C84" s="37"/>
      <c r="D84" s="37" t="s">
        <v>299</v>
      </c>
      <c r="E84" t="s">
        <v>55</v>
      </c>
      <c r="N84" s="37">
        <v>5</v>
      </c>
      <c r="S84" s="37"/>
      <c r="T84" s="37"/>
    </row>
    <row r="85" spans="3:21" ht="15.75" x14ac:dyDescent="0.25">
      <c r="C85" s="37"/>
      <c r="E85" t="s">
        <v>34</v>
      </c>
      <c r="S85" s="37"/>
      <c r="T85" s="37"/>
      <c r="U85" s="37"/>
    </row>
    <row r="86" spans="3:21" ht="15.75" x14ac:dyDescent="0.25">
      <c r="C86" s="37"/>
      <c r="E86" t="s">
        <v>35</v>
      </c>
      <c r="F86" t="s">
        <v>36</v>
      </c>
      <c r="S86" s="37"/>
      <c r="T86" s="37"/>
      <c r="U86" s="37"/>
    </row>
    <row r="87" spans="3:21" ht="15.75" x14ac:dyDescent="0.25">
      <c r="D87" s="37" t="s">
        <v>189</v>
      </c>
      <c r="E87" t="s">
        <v>97</v>
      </c>
      <c r="H87" t="s">
        <v>100</v>
      </c>
      <c r="N87">
        <v>6</v>
      </c>
      <c r="S87" s="37"/>
      <c r="T87" s="37"/>
      <c r="U87" s="37"/>
    </row>
    <row r="88" spans="3:21" ht="15.75" x14ac:dyDescent="0.25">
      <c r="C88" s="37"/>
      <c r="E88" t="s">
        <v>70</v>
      </c>
      <c r="F88" t="s">
        <v>71</v>
      </c>
      <c r="G88" t="s">
        <v>72</v>
      </c>
      <c r="H88" t="s">
        <v>71</v>
      </c>
      <c r="I88" t="s">
        <v>72</v>
      </c>
      <c r="S88" s="37"/>
      <c r="T88" s="37"/>
      <c r="U88" s="37"/>
    </row>
    <row r="89" spans="3:21" ht="15.75" x14ac:dyDescent="0.25">
      <c r="C89" s="37"/>
      <c r="D89" s="37" t="s">
        <v>192</v>
      </c>
      <c r="E89" t="s">
        <v>172</v>
      </c>
      <c r="N89">
        <v>1</v>
      </c>
      <c r="S89" s="37"/>
      <c r="T89" s="37"/>
    </row>
    <row r="90" spans="3:21" ht="15.75" x14ac:dyDescent="0.25">
      <c r="C90" s="37"/>
      <c r="D90" s="57" t="s">
        <v>176</v>
      </c>
      <c r="E90" t="s">
        <v>175</v>
      </c>
      <c r="N90">
        <v>2</v>
      </c>
      <c r="S90" s="37"/>
      <c r="T90" s="37"/>
    </row>
    <row r="91" spans="3:21" ht="15.75" x14ac:dyDescent="0.25">
      <c r="C91" s="37"/>
      <c r="D91" s="57" t="s">
        <v>181</v>
      </c>
      <c r="E91" t="s">
        <v>178</v>
      </c>
      <c r="N91">
        <v>1</v>
      </c>
      <c r="S91" s="37"/>
      <c r="T91" s="37"/>
    </row>
    <row r="92" spans="3:21" ht="15.75" x14ac:dyDescent="0.25">
      <c r="C92" s="37"/>
      <c r="D92" s="37"/>
      <c r="S92" s="37"/>
      <c r="T92" s="37"/>
    </row>
    <row r="93" spans="3:21" ht="15.75" x14ac:dyDescent="0.25">
      <c r="C93" s="40" t="s">
        <v>2</v>
      </c>
      <c r="D93" s="57" t="s">
        <v>184</v>
      </c>
      <c r="E93" t="s">
        <v>12</v>
      </c>
      <c r="N93">
        <v>1</v>
      </c>
      <c r="S93" s="38" t="s">
        <v>302</v>
      </c>
      <c r="T93" s="38">
        <f>N93*N94*N99*N101*N104*N106*N107*N108</f>
        <v>2160</v>
      </c>
    </row>
    <row r="94" spans="3:21" ht="15.75" x14ac:dyDescent="0.25">
      <c r="C94" s="37"/>
      <c r="D94" s="57" t="s">
        <v>185</v>
      </c>
      <c r="E94" t="s">
        <v>21</v>
      </c>
      <c r="N94">
        <v>9</v>
      </c>
    </row>
    <row r="95" spans="3:21" ht="15.75" x14ac:dyDescent="0.25">
      <c r="C95" s="37"/>
      <c r="D95" s="57" t="s">
        <v>186</v>
      </c>
      <c r="E95" t="s">
        <v>27</v>
      </c>
      <c r="F95" t="s">
        <v>29</v>
      </c>
    </row>
    <row r="96" spans="3:21" ht="15.75" x14ac:dyDescent="0.25">
      <c r="C96" s="37"/>
      <c r="D96" s="37" t="s">
        <v>253</v>
      </c>
      <c r="E96" t="s">
        <v>59</v>
      </c>
    </row>
    <row r="97" spans="3:14" ht="15.75" x14ac:dyDescent="0.25">
      <c r="C97" s="37"/>
      <c r="E97" t="s">
        <v>34</v>
      </c>
    </row>
    <row r="98" spans="3:14" ht="15.75" x14ac:dyDescent="0.25">
      <c r="C98" s="37"/>
      <c r="E98" t="s">
        <v>35</v>
      </c>
      <c r="F98" t="s">
        <v>36</v>
      </c>
    </row>
    <row r="99" spans="3:14" ht="15.75" x14ac:dyDescent="0.25">
      <c r="C99" s="37"/>
      <c r="D99" s="37" t="s">
        <v>187</v>
      </c>
      <c r="E99" t="s">
        <v>148</v>
      </c>
      <c r="H99" t="s">
        <v>151</v>
      </c>
      <c r="J99" t="s">
        <v>154</v>
      </c>
      <c r="N99">
        <v>12</v>
      </c>
    </row>
    <row r="100" spans="3:14" ht="15.75" x14ac:dyDescent="0.25">
      <c r="C100" s="37"/>
      <c r="E100" t="s">
        <v>114</v>
      </c>
      <c r="F100" t="s">
        <v>115</v>
      </c>
      <c r="G100" t="s">
        <v>117</v>
      </c>
      <c r="H100" t="s">
        <v>114</v>
      </c>
      <c r="I100" t="s">
        <v>115</v>
      </c>
      <c r="J100" t="s">
        <v>108</v>
      </c>
      <c r="K100" t="s">
        <v>113</v>
      </c>
    </row>
    <row r="101" spans="3:14" ht="15.75" x14ac:dyDescent="0.25">
      <c r="C101" s="37"/>
      <c r="D101" s="37" t="s">
        <v>299</v>
      </c>
      <c r="E101" t="s">
        <v>59</v>
      </c>
      <c r="N101">
        <v>5</v>
      </c>
    </row>
    <row r="102" spans="3:14" ht="15.75" x14ac:dyDescent="0.25">
      <c r="C102" s="37"/>
      <c r="E102" t="s">
        <v>62</v>
      </c>
      <c r="F102" t="s">
        <v>33</v>
      </c>
    </row>
    <row r="103" spans="3:14" ht="15.75" x14ac:dyDescent="0.25">
      <c r="C103" s="37"/>
      <c r="E103" t="s">
        <v>35</v>
      </c>
      <c r="F103" t="s">
        <v>36</v>
      </c>
    </row>
    <row r="104" spans="3:14" ht="15.75" x14ac:dyDescent="0.25">
      <c r="C104" s="37"/>
      <c r="D104" s="37" t="s">
        <v>189</v>
      </c>
      <c r="E104" t="s">
        <v>100</v>
      </c>
      <c r="N104">
        <v>2</v>
      </c>
    </row>
    <row r="105" spans="3:14" ht="15.75" x14ac:dyDescent="0.25">
      <c r="C105" s="37"/>
      <c r="E105" t="s">
        <v>71</v>
      </c>
      <c r="F105" t="s">
        <v>72</v>
      </c>
    </row>
    <row r="106" spans="3:14" ht="15.75" x14ac:dyDescent="0.25">
      <c r="C106" s="37"/>
      <c r="D106" s="37" t="s">
        <v>192</v>
      </c>
      <c r="E106" t="s">
        <v>172</v>
      </c>
      <c r="N106">
        <v>1</v>
      </c>
    </row>
    <row r="107" spans="3:14" ht="15.75" x14ac:dyDescent="0.25">
      <c r="C107" s="37"/>
      <c r="D107" s="57" t="s">
        <v>176</v>
      </c>
      <c r="E107" t="s">
        <v>175</v>
      </c>
      <c r="N107">
        <v>2</v>
      </c>
    </row>
    <row r="108" spans="3:14" ht="15.75" x14ac:dyDescent="0.25">
      <c r="C108" s="37"/>
      <c r="D108" s="57" t="s">
        <v>181</v>
      </c>
      <c r="E108" t="s">
        <v>178</v>
      </c>
      <c r="N108">
        <v>1</v>
      </c>
    </row>
  </sheetData>
  <mergeCells count="3">
    <mergeCell ref="C2:D2"/>
    <mergeCell ref="E2:L2"/>
    <mergeCell ref="C56:D5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theme="7" tint="0.39997558519241921"/>
  </sheetPr>
  <dimension ref="B2:BV55"/>
  <sheetViews>
    <sheetView topLeftCell="G1" zoomScale="60" zoomScaleNormal="60" workbookViewId="0">
      <selection activeCell="R36" sqref="R36"/>
    </sheetView>
  </sheetViews>
  <sheetFormatPr defaultColWidth="10.85546875" defaultRowHeight="15" x14ac:dyDescent="0.25"/>
  <cols>
    <col min="4" max="4" width="31.140625" customWidth="1"/>
    <col min="11" max="11" width="12.140625" bestFit="1" customWidth="1"/>
    <col min="12" max="12" width="44.42578125" customWidth="1"/>
    <col min="18" max="18" width="28.42578125" bestFit="1" customWidth="1"/>
    <col min="27" max="27" width="48" customWidth="1"/>
    <col min="28" max="28" width="103.42578125" bestFit="1" customWidth="1"/>
    <col min="37" max="37" width="51.85546875" customWidth="1"/>
    <col min="48" max="48" width="19.42578125" customWidth="1"/>
    <col min="49" max="49" width="51.140625" customWidth="1"/>
    <col min="64" max="64" width="28.85546875" customWidth="1"/>
    <col min="73" max="73" width="12.42578125" bestFit="1" customWidth="1"/>
    <col min="74" max="74" width="64.42578125" bestFit="1" customWidth="1"/>
  </cols>
  <sheetData>
    <row r="2" spans="2:74" x14ac:dyDescent="0.25">
      <c r="E2" s="1" t="s">
        <v>0</v>
      </c>
      <c r="F2" s="2" t="s">
        <v>1</v>
      </c>
      <c r="G2" s="3" t="s">
        <v>2</v>
      </c>
      <c r="M2" s="1" t="s">
        <v>0</v>
      </c>
      <c r="N2" s="2" t="s">
        <v>1</v>
      </c>
      <c r="O2" s="3" t="s">
        <v>2</v>
      </c>
      <c r="S2" s="1" t="s">
        <v>0</v>
      </c>
      <c r="T2" s="2" t="s">
        <v>1</v>
      </c>
      <c r="U2" s="3" t="s">
        <v>2</v>
      </c>
      <c r="AA2" s="1" t="s">
        <v>0</v>
      </c>
      <c r="AB2" s="2" t="s">
        <v>1</v>
      </c>
      <c r="AC2" s="3" t="s">
        <v>2</v>
      </c>
      <c r="AK2" s="1" t="s">
        <v>0</v>
      </c>
      <c r="AL2" s="2" t="s">
        <v>1</v>
      </c>
      <c r="AM2" s="3" t="s">
        <v>2</v>
      </c>
      <c r="AW2" s="1" t="s">
        <v>0</v>
      </c>
      <c r="AX2" s="2" t="s">
        <v>1</v>
      </c>
      <c r="AY2" s="3" t="s">
        <v>2</v>
      </c>
    </row>
    <row r="3" spans="2:74" x14ac:dyDescent="0.25">
      <c r="E3" s="4" t="s">
        <v>3</v>
      </c>
      <c r="F3" s="5" t="s">
        <v>3</v>
      </c>
      <c r="G3" s="6" t="s">
        <v>3</v>
      </c>
      <c r="M3" s="4" t="s">
        <v>3</v>
      </c>
      <c r="N3" s="5" t="s">
        <v>3</v>
      </c>
      <c r="O3" s="6" t="s">
        <v>3</v>
      </c>
      <c r="S3" s="4" t="s">
        <v>3</v>
      </c>
      <c r="T3" s="5" t="s">
        <v>3</v>
      </c>
      <c r="U3" s="6" t="s">
        <v>3</v>
      </c>
      <c r="AA3" s="4" t="s">
        <v>3</v>
      </c>
      <c r="AB3" s="5" t="s">
        <v>3</v>
      </c>
      <c r="AC3" s="6" t="s">
        <v>3</v>
      </c>
      <c r="AK3" s="4" t="s">
        <v>3</v>
      </c>
      <c r="AL3" s="5" t="s">
        <v>3</v>
      </c>
      <c r="AM3" s="6" t="s">
        <v>3</v>
      </c>
      <c r="AW3" s="4" t="s">
        <v>3</v>
      </c>
      <c r="AX3" s="5" t="s">
        <v>3</v>
      </c>
      <c r="AY3" s="6" t="s">
        <v>3</v>
      </c>
      <c r="BK3" s="1" t="s">
        <v>0</v>
      </c>
      <c r="BL3" s="2" t="s">
        <v>1</v>
      </c>
      <c r="BM3" s="3" t="s">
        <v>2</v>
      </c>
    </row>
    <row r="4" spans="2:74" x14ac:dyDescent="0.25">
      <c r="B4" t="s">
        <v>14</v>
      </c>
      <c r="E4" s="152" t="s">
        <v>5</v>
      </c>
      <c r="F4" s="152"/>
      <c r="G4" s="152"/>
      <c r="J4" t="s">
        <v>24</v>
      </c>
      <c r="M4" s="152" t="s">
        <v>5</v>
      </c>
      <c r="N4" s="152"/>
      <c r="O4" s="152"/>
      <c r="R4" t="s">
        <v>31</v>
      </c>
      <c r="S4" s="152" t="s">
        <v>5</v>
      </c>
      <c r="T4" s="152"/>
      <c r="U4" s="152"/>
      <c r="Y4" t="s">
        <v>67</v>
      </c>
      <c r="AA4" s="152" t="s">
        <v>5</v>
      </c>
      <c r="AB4" s="152"/>
      <c r="AC4" s="152"/>
      <c r="AI4" t="s">
        <v>66</v>
      </c>
      <c r="AK4" s="152" t="s">
        <v>5</v>
      </c>
      <c r="AL4" s="152"/>
      <c r="AM4" s="152"/>
      <c r="AU4" t="s">
        <v>157</v>
      </c>
      <c r="AW4" s="152" t="s">
        <v>5</v>
      </c>
      <c r="AX4" s="152"/>
      <c r="AY4" s="152"/>
      <c r="BK4" s="4" t="s">
        <v>3</v>
      </c>
      <c r="BL4" s="5" t="s">
        <v>3</v>
      </c>
      <c r="BM4" s="6" t="s">
        <v>3</v>
      </c>
    </row>
    <row r="5" spans="2:74" x14ac:dyDescent="0.25">
      <c r="H5" t="s">
        <v>182</v>
      </c>
      <c r="AB5" s="178" t="s">
        <v>32</v>
      </c>
      <c r="AC5" s="178"/>
      <c r="AD5" s="178"/>
      <c r="AE5" s="178"/>
      <c r="AF5" s="178"/>
      <c r="AG5" s="178"/>
      <c r="AH5" s="178"/>
      <c r="AX5" s="178" t="s">
        <v>107</v>
      </c>
      <c r="AY5" s="178"/>
      <c r="AZ5" s="178"/>
      <c r="BA5" s="178"/>
      <c r="BB5" s="178"/>
      <c r="BC5" s="178"/>
      <c r="BD5" s="178"/>
      <c r="BE5" s="178"/>
      <c r="BF5" s="178"/>
      <c r="BG5" s="178"/>
      <c r="BK5" s="152" t="s">
        <v>5</v>
      </c>
      <c r="BL5" s="152"/>
      <c r="BM5" s="152"/>
    </row>
    <row r="6" spans="2:74" ht="23.25" x14ac:dyDescent="0.35">
      <c r="B6" s="160" t="s">
        <v>6</v>
      </c>
      <c r="C6" s="161" t="s">
        <v>7</v>
      </c>
      <c r="D6" s="162" t="s">
        <v>8</v>
      </c>
      <c r="J6" s="153" t="s">
        <v>15</v>
      </c>
      <c r="K6" s="154" t="s">
        <v>7</v>
      </c>
      <c r="L6" s="157" t="s">
        <v>16</v>
      </c>
      <c r="M6" s="11" t="s">
        <v>17</v>
      </c>
      <c r="R6" s="160" t="s">
        <v>25</v>
      </c>
      <c r="S6" s="172" t="s">
        <v>7</v>
      </c>
      <c r="T6" s="184" t="s">
        <v>26</v>
      </c>
      <c r="Y6" s="16"/>
      <c r="Z6" s="17"/>
      <c r="AA6" s="17"/>
      <c r="AB6" s="18" t="s">
        <v>33</v>
      </c>
      <c r="AC6" s="18" t="s">
        <v>34</v>
      </c>
      <c r="AD6" s="18" t="s">
        <v>35</v>
      </c>
      <c r="AE6" s="18" t="s">
        <v>36</v>
      </c>
      <c r="AF6" s="18" t="s">
        <v>37</v>
      </c>
      <c r="AG6" s="18" t="s">
        <v>38</v>
      </c>
      <c r="AL6" s="178" t="s">
        <v>69</v>
      </c>
      <c r="AM6" s="178"/>
      <c r="AN6" s="178"/>
      <c r="AO6" s="178"/>
      <c r="AP6" s="178"/>
      <c r="AQ6" s="178"/>
      <c r="AR6" s="178"/>
      <c r="AU6" s="178" t="s">
        <v>4</v>
      </c>
      <c r="AV6" s="178"/>
      <c r="AW6" s="178"/>
      <c r="AX6" s="27" t="s">
        <v>108</v>
      </c>
      <c r="AY6" s="27" t="s">
        <v>109</v>
      </c>
      <c r="AZ6" s="27" t="s">
        <v>110</v>
      </c>
      <c r="BA6" s="27" t="s">
        <v>111</v>
      </c>
      <c r="BB6" s="27" t="s">
        <v>112</v>
      </c>
      <c r="BC6" s="27" t="s">
        <v>113</v>
      </c>
      <c r="BD6" s="27" t="s">
        <v>114</v>
      </c>
      <c r="BE6" s="27" t="s">
        <v>115</v>
      </c>
      <c r="BF6" s="27" t="s">
        <v>116</v>
      </c>
      <c r="BG6" s="27" t="s">
        <v>117</v>
      </c>
      <c r="BJ6" s="152" t="s">
        <v>174</v>
      </c>
      <c r="BK6" s="152"/>
      <c r="BL6" s="152"/>
      <c r="BM6" s="30"/>
      <c r="BP6" t="s">
        <v>176</v>
      </c>
      <c r="BT6" t="s">
        <v>181</v>
      </c>
    </row>
    <row r="7" spans="2:74" ht="48.75" customHeight="1" x14ac:dyDescent="0.35">
      <c r="B7" s="160"/>
      <c r="C7" s="161"/>
      <c r="D7" s="162"/>
      <c r="J7" s="153"/>
      <c r="K7" s="155"/>
      <c r="L7" s="158"/>
      <c r="M7" s="9" t="s">
        <v>17</v>
      </c>
      <c r="R7" s="160"/>
      <c r="S7" s="173"/>
      <c r="T7" s="185"/>
      <c r="U7" s="1"/>
      <c r="Y7" s="19"/>
      <c r="Z7" s="20"/>
      <c r="AA7" s="20"/>
      <c r="AB7" s="21" t="s">
        <v>39</v>
      </c>
      <c r="AC7" s="21" t="s">
        <v>40</v>
      </c>
      <c r="AD7" s="21" t="s">
        <v>41</v>
      </c>
      <c r="AE7" s="21" t="s">
        <v>41</v>
      </c>
      <c r="AF7" s="21" t="s">
        <v>42</v>
      </c>
      <c r="AG7" s="21" t="s">
        <v>42</v>
      </c>
      <c r="AI7" s="178" t="s">
        <v>4</v>
      </c>
      <c r="AJ7" s="178"/>
      <c r="AK7" s="178"/>
      <c r="AL7" s="27" t="s">
        <v>70</v>
      </c>
      <c r="AM7" s="27" t="s">
        <v>71</v>
      </c>
      <c r="AN7" s="27" t="s">
        <v>72</v>
      </c>
      <c r="AO7" s="27" t="s">
        <v>73</v>
      </c>
      <c r="AP7" s="27" t="s">
        <v>74</v>
      </c>
      <c r="AQ7" s="27" t="s">
        <v>75</v>
      </c>
      <c r="AR7" s="27" t="s">
        <v>76</v>
      </c>
      <c r="AU7" s="19"/>
      <c r="AV7" s="19"/>
      <c r="AW7" s="19"/>
      <c r="AX7" t="s">
        <v>118</v>
      </c>
      <c r="AY7" t="s">
        <v>119</v>
      </c>
      <c r="AZ7" t="s">
        <v>119</v>
      </c>
      <c r="BA7" t="s">
        <v>120</v>
      </c>
      <c r="BB7" t="s">
        <v>121</v>
      </c>
      <c r="BC7" t="s">
        <v>122</v>
      </c>
      <c r="BD7" t="s">
        <v>123</v>
      </c>
      <c r="BE7" t="s">
        <v>124</v>
      </c>
      <c r="BF7" t="s">
        <v>125</v>
      </c>
      <c r="BG7" t="s">
        <v>126</v>
      </c>
      <c r="BJ7" s="226" t="s">
        <v>158</v>
      </c>
      <c r="BK7" s="228" t="s">
        <v>138</v>
      </c>
      <c r="BL7" s="227" t="s">
        <v>139</v>
      </c>
      <c r="BM7" s="236" t="s">
        <v>159</v>
      </c>
      <c r="BP7" s="231" t="s">
        <v>175</v>
      </c>
      <c r="BQ7" s="227" t="s">
        <v>176</v>
      </c>
      <c r="BR7" s="227" t="s">
        <v>177</v>
      </c>
      <c r="BT7" s="231" t="s">
        <v>178</v>
      </c>
      <c r="BU7" s="232" t="s">
        <v>179</v>
      </c>
      <c r="BV7" s="233" t="s">
        <v>180</v>
      </c>
    </row>
    <row r="8" spans="2:74" ht="28.5" customHeight="1" x14ac:dyDescent="0.25">
      <c r="B8" s="160"/>
      <c r="C8" s="161"/>
      <c r="D8" s="162"/>
      <c r="J8" s="153"/>
      <c r="K8" s="155"/>
      <c r="L8" s="158"/>
      <c r="M8" s="10" t="s">
        <v>17</v>
      </c>
      <c r="R8" s="160"/>
      <c r="S8" s="173"/>
      <c r="T8" s="185"/>
      <c r="U8" s="2"/>
      <c r="Z8" s="22"/>
      <c r="AA8" s="22"/>
      <c r="AB8" s="21" t="s">
        <v>43</v>
      </c>
      <c r="AC8" s="21" t="s">
        <v>44</v>
      </c>
      <c r="AD8" s="21" t="s">
        <v>45</v>
      </c>
      <c r="AE8" s="21" t="s">
        <v>46</v>
      </c>
      <c r="AF8" s="21" t="s">
        <v>47</v>
      </c>
      <c r="AG8" s="21" t="s">
        <v>48</v>
      </c>
      <c r="AI8" s="19"/>
      <c r="AJ8" s="19"/>
      <c r="AK8" s="19"/>
      <c r="AL8" t="s">
        <v>77</v>
      </c>
      <c r="AM8" t="s">
        <v>78</v>
      </c>
      <c r="AN8" t="s">
        <v>79</v>
      </c>
      <c r="AO8" t="s">
        <v>80</v>
      </c>
      <c r="AP8" t="s">
        <v>81</v>
      </c>
      <c r="AQ8" t="s">
        <v>82</v>
      </c>
      <c r="AR8" t="s">
        <v>83</v>
      </c>
      <c r="AX8" s="28" t="s">
        <v>127</v>
      </c>
      <c r="AY8" s="28" t="s">
        <v>128</v>
      </c>
      <c r="AZ8" s="28" t="s">
        <v>129</v>
      </c>
      <c r="BA8" s="28" t="s">
        <v>130</v>
      </c>
      <c r="BB8" s="28" t="s">
        <v>131</v>
      </c>
      <c r="BC8" s="28" t="s">
        <v>132</v>
      </c>
      <c r="BD8" s="28" t="s">
        <v>133</v>
      </c>
      <c r="BE8" s="28" t="s">
        <v>134</v>
      </c>
      <c r="BF8" s="28" t="s">
        <v>135</v>
      </c>
      <c r="BG8" s="28" t="s">
        <v>136</v>
      </c>
      <c r="BJ8" s="226"/>
      <c r="BK8" s="229"/>
      <c r="BL8" s="227"/>
      <c r="BM8" s="236"/>
      <c r="BP8" s="231"/>
      <c r="BQ8" s="227"/>
      <c r="BR8" s="227"/>
      <c r="BT8" s="231"/>
      <c r="BU8" s="232"/>
      <c r="BV8" s="233"/>
    </row>
    <row r="9" spans="2:74" ht="37.5" customHeight="1" x14ac:dyDescent="0.25">
      <c r="B9" s="160" t="s">
        <v>9</v>
      </c>
      <c r="C9" s="161" t="s">
        <v>10</v>
      </c>
      <c r="D9" s="162" t="s">
        <v>8</v>
      </c>
      <c r="E9" s="7"/>
      <c r="F9" s="8"/>
      <c r="G9" s="8"/>
      <c r="J9" s="153"/>
      <c r="K9" s="155"/>
      <c r="L9" s="158"/>
      <c r="R9" s="160"/>
      <c r="S9" s="173"/>
      <c r="T9" s="185"/>
      <c r="U9" s="3"/>
      <c r="X9" s="179" t="s">
        <v>49</v>
      </c>
      <c r="Y9" s="180" t="s">
        <v>50</v>
      </c>
      <c r="Z9" s="162" t="s">
        <v>51</v>
      </c>
      <c r="AA9" s="162" t="s">
        <v>52</v>
      </c>
      <c r="AB9" s="181" t="s">
        <v>53</v>
      </c>
      <c r="AC9" s="23"/>
      <c r="AD9" s="23"/>
      <c r="AE9" s="23"/>
      <c r="AF9" s="192"/>
      <c r="AG9" s="195"/>
      <c r="AL9" s="28" t="s">
        <v>84</v>
      </c>
      <c r="AM9" s="28" t="s">
        <v>85</v>
      </c>
      <c r="AN9" s="28" t="s">
        <v>86</v>
      </c>
      <c r="AO9" s="28" t="s">
        <v>87</v>
      </c>
      <c r="AP9" s="28" t="s">
        <v>88</v>
      </c>
      <c r="AQ9" s="28" t="s">
        <v>89</v>
      </c>
      <c r="AR9" s="28" t="s">
        <v>90</v>
      </c>
      <c r="AU9" s="160" t="s">
        <v>137</v>
      </c>
      <c r="AV9" s="157" t="s">
        <v>138</v>
      </c>
      <c r="AW9" s="157" t="s">
        <v>139</v>
      </c>
      <c r="AX9" s="217"/>
      <c r="AY9" s="169"/>
      <c r="AZ9" s="218" t="s">
        <v>140</v>
      </c>
      <c r="BA9" s="169"/>
      <c r="BB9" s="169"/>
      <c r="BC9" s="169"/>
      <c r="BD9" s="169"/>
      <c r="BE9" s="169"/>
      <c r="BF9" s="169"/>
      <c r="BG9" s="169"/>
      <c r="BJ9" s="226"/>
      <c r="BK9" s="229"/>
      <c r="BL9" s="227"/>
      <c r="BM9" s="236"/>
      <c r="BP9" s="231"/>
      <c r="BQ9" s="227"/>
      <c r="BR9" s="227"/>
      <c r="BT9" s="231"/>
      <c r="BU9" s="232"/>
      <c r="BV9" s="233"/>
    </row>
    <row r="10" spans="2:74" ht="15" customHeight="1" x14ac:dyDescent="0.25">
      <c r="B10" s="160"/>
      <c r="C10" s="161"/>
      <c r="D10" s="162"/>
      <c r="E10" s="9"/>
      <c r="F10" s="8"/>
      <c r="G10" s="8"/>
      <c r="J10" s="153"/>
      <c r="K10" s="156"/>
      <c r="L10" s="159"/>
      <c r="R10" s="160"/>
      <c r="S10" s="173"/>
      <c r="T10" s="185"/>
      <c r="X10" s="179"/>
      <c r="Y10" s="180"/>
      <c r="Z10" s="162"/>
      <c r="AA10" s="162"/>
      <c r="AB10" s="182"/>
      <c r="AC10" s="23"/>
      <c r="AD10" s="23"/>
      <c r="AE10" s="23"/>
      <c r="AF10" s="193"/>
      <c r="AG10" s="195"/>
      <c r="AI10" s="160" t="s">
        <v>91</v>
      </c>
      <c r="AJ10" s="157" t="s">
        <v>92</v>
      </c>
      <c r="AK10" s="157" t="s">
        <v>52</v>
      </c>
      <c r="AL10" s="206" t="s">
        <v>93</v>
      </c>
      <c r="AM10" s="169"/>
      <c r="AN10" s="169"/>
      <c r="AO10" s="152"/>
      <c r="AP10" s="209"/>
      <c r="AQ10" s="152"/>
      <c r="AR10" s="152"/>
      <c r="AU10" s="160"/>
      <c r="AV10" s="158"/>
      <c r="AW10" s="158"/>
      <c r="AX10" s="217"/>
      <c r="AY10" s="169"/>
      <c r="AZ10" s="218"/>
      <c r="BA10" s="169"/>
      <c r="BB10" s="169"/>
      <c r="BC10" s="169"/>
      <c r="BD10" s="169"/>
      <c r="BE10" s="169"/>
      <c r="BF10" s="169"/>
      <c r="BG10" s="169"/>
      <c r="BJ10" s="226"/>
      <c r="BK10" s="229"/>
      <c r="BL10" s="227" t="s">
        <v>160</v>
      </c>
      <c r="BM10" s="236"/>
      <c r="BP10" s="231"/>
      <c r="BQ10" s="227"/>
      <c r="BR10" s="227"/>
    </row>
    <row r="11" spans="2:74" ht="49.5" customHeight="1" x14ac:dyDescent="0.25">
      <c r="B11" s="160"/>
      <c r="C11" s="161"/>
      <c r="D11" s="162"/>
      <c r="E11" s="10"/>
      <c r="F11" s="8"/>
      <c r="G11" s="8"/>
      <c r="J11" s="153" t="s">
        <v>18</v>
      </c>
      <c r="K11" s="163" t="s">
        <v>10</v>
      </c>
      <c r="L11" s="31" t="s">
        <v>16</v>
      </c>
      <c r="M11" s="11" t="s">
        <v>19</v>
      </c>
      <c r="N11" s="12"/>
      <c r="O11" s="12"/>
      <c r="R11" s="160"/>
      <c r="S11" s="173"/>
      <c r="T11" s="185"/>
      <c r="X11" s="179"/>
      <c r="Y11" s="180"/>
      <c r="Z11" s="162"/>
      <c r="AA11" s="162"/>
      <c r="AB11" s="182"/>
      <c r="AC11" s="23"/>
      <c r="AD11" s="23"/>
      <c r="AE11" s="23"/>
      <c r="AF11" s="193"/>
      <c r="AG11" s="195"/>
      <c r="AI11" s="160"/>
      <c r="AJ11" s="158"/>
      <c r="AK11" s="158"/>
      <c r="AL11" s="206"/>
      <c r="AM11" s="169"/>
      <c r="AN11" s="169"/>
      <c r="AO11" s="152"/>
      <c r="AP11" s="209"/>
      <c r="AQ11" s="152"/>
      <c r="AR11" s="152"/>
      <c r="AU11" s="160"/>
      <c r="AV11" s="158"/>
      <c r="AW11" s="159"/>
      <c r="AX11" s="217"/>
      <c r="AY11" s="169"/>
      <c r="AZ11" s="218"/>
      <c r="BA11" s="169"/>
      <c r="BB11" s="169"/>
      <c r="BC11" s="169"/>
      <c r="BD11" s="169"/>
      <c r="BE11" s="169"/>
      <c r="BF11" s="169"/>
      <c r="BG11" s="169"/>
      <c r="BJ11" s="226"/>
      <c r="BK11" s="229"/>
      <c r="BL11" s="227"/>
      <c r="BM11" s="236"/>
      <c r="BP11" s="231"/>
      <c r="BQ11" s="227"/>
      <c r="BR11" s="227"/>
    </row>
    <row r="12" spans="2:74" ht="33.75" customHeight="1" x14ac:dyDescent="0.25">
      <c r="B12" s="160"/>
      <c r="C12" s="161"/>
      <c r="D12" s="31" t="s">
        <v>11</v>
      </c>
      <c r="J12" s="153"/>
      <c r="K12" s="164"/>
      <c r="L12" s="157" t="s">
        <v>20</v>
      </c>
      <c r="M12" s="9" t="s">
        <v>19</v>
      </c>
      <c r="R12" s="160"/>
      <c r="S12" s="174"/>
      <c r="T12" s="186"/>
      <c r="X12" s="179"/>
      <c r="Y12" s="180"/>
      <c r="Z12" s="162"/>
      <c r="AA12" s="162" t="s">
        <v>54</v>
      </c>
      <c r="AB12" s="182"/>
      <c r="AC12" s="23"/>
      <c r="AD12" s="23"/>
      <c r="AE12" s="23"/>
      <c r="AF12" s="193"/>
      <c r="AG12" s="195"/>
      <c r="AI12" s="160"/>
      <c r="AJ12" s="158"/>
      <c r="AK12" s="159"/>
      <c r="AL12" s="206"/>
      <c r="AM12" s="169"/>
      <c r="AN12" s="169"/>
      <c r="AO12" s="152"/>
      <c r="AP12" s="209"/>
      <c r="AQ12" s="152"/>
      <c r="AR12" s="152"/>
      <c r="AU12" s="160"/>
      <c r="AV12" s="158"/>
      <c r="AW12" s="157" t="s">
        <v>54</v>
      </c>
      <c r="AX12" s="217"/>
      <c r="AY12" s="169"/>
      <c r="AZ12" s="218"/>
      <c r="BA12" s="169"/>
      <c r="BB12" s="169"/>
      <c r="BC12" s="169"/>
      <c r="BD12" s="169"/>
      <c r="BE12" s="169"/>
      <c r="BF12" s="169"/>
      <c r="BG12" s="169"/>
      <c r="BJ12" s="226"/>
      <c r="BK12" s="230"/>
      <c r="BL12" s="227"/>
      <c r="BM12" s="236"/>
      <c r="BP12" s="231"/>
      <c r="BQ12" s="227"/>
      <c r="BR12" s="227"/>
    </row>
    <row r="13" spans="2:74" ht="39" customHeight="1" x14ac:dyDescent="0.25">
      <c r="B13" s="160" t="s">
        <v>12</v>
      </c>
      <c r="C13" s="161" t="s">
        <v>10</v>
      </c>
      <c r="D13" s="31" t="s">
        <v>8</v>
      </c>
      <c r="E13" s="169"/>
      <c r="F13" s="170"/>
      <c r="G13" s="171"/>
      <c r="J13" s="153"/>
      <c r="K13" s="165"/>
      <c r="L13" s="159"/>
      <c r="M13" s="10" t="s">
        <v>19</v>
      </c>
      <c r="R13" s="160" t="s">
        <v>27</v>
      </c>
      <c r="S13" s="172" t="s">
        <v>10</v>
      </c>
      <c r="T13" s="175" t="s">
        <v>28</v>
      </c>
      <c r="U13" s="13"/>
      <c r="X13" s="179"/>
      <c r="Y13" s="180"/>
      <c r="Z13" s="162"/>
      <c r="AA13" s="162"/>
      <c r="AB13" s="182"/>
      <c r="AC13" s="23"/>
      <c r="AD13" s="23"/>
      <c r="AE13" s="23"/>
      <c r="AF13" s="193"/>
      <c r="AG13" s="195"/>
      <c r="AI13" s="160"/>
      <c r="AJ13" s="158"/>
      <c r="AK13" s="157" t="s">
        <v>54</v>
      </c>
      <c r="AL13" s="206"/>
      <c r="AM13" s="169"/>
      <c r="AN13" s="169"/>
      <c r="AO13" s="152"/>
      <c r="AP13" s="209"/>
      <c r="AQ13" s="152"/>
      <c r="AR13" s="152"/>
      <c r="AU13" s="160"/>
      <c r="AV13" s="158"/>
      <c r="AW13" s="158"/>
      <c r="AX13" s="217"/>
      <c r="AY13" s="169"/>
      <c r="AZ13" s="218"/>
      <c r="BA13" s="169"/>
      <c r="BB13" s="169"/>
      <c r="BC13" s="169"/>
      <c r="BD13" s="169"/>
      <c r="BE13" s="169"/>
      <c r="BF13" s="169"/>
      <c r="BG13" s="169"/>
      <c r="BJ13" s="226" t="s">
        <v>161</v>
      </c>
      <c r="BK13" s="227" t="s">
        <v>162</v>
      </c>
      <c r="BL13" s="228" t="s">
        <v>163</v>
      </c>
      <c r="BM13" s="236" t="s">
        <v>164</v>
      </c>
      <c r="BP13" s="231"/>
      <c r="BQ13" s="227"/>
      <c r="BR13" s="227"/>
    </row>
    <row r="14" spans="2:74" ht="34.5" customHeight="1" x14ac:dyDescent="0.25">
      <c r="B14" s="160"/>
      <c r="C14" s="161"/>
      <c r="D14" s="31" t="s">
        <v>13</v>
      </c>
      <c r="E14" s="169"/>
      <c r="F14" s="170"/>
      <c r="G14" s="171"/>
      <c r="J14" s="153" t="s">
        <v>21</v>
      </c>
      <c r="K14" s="163" t="s">
        <v>10</v>
      </c>
      <c r="L14" s="166" t="s">
        <v>22</v>
      </c>
      <c r="M14" s="13"/>
      <c r="R14" s="160"/>
      <c r="S14" s="173"/>
      <c r="T14" s="176"/>
      <c r="U14" s="14"/>
      <c r="X14" s="179"/>
      <c r="Y14" s="180"/>
      <c r="Z14" s="162"/>
      <c r="AA14" s="162"/>
      <c r="AB14" s="183"/>
      <c r="AC14" s="23"/>
      <c r="AD14" s="23"/>
      <c r="AE14" s="23"/>
      <c r="AF14" s="194"/>
      <c r="AG14" s="195"/>
      <c r="AI14" s="160"/>
      <c r="AJ14" s="158"/>
      <c r="AK14" s="158"/>
      <c r="AL14" s="206"/>
      <c r="AM14" s="169"/>
      <c r="AN14" s="169"/>
      <c r="AO14" s="152"/>
      <c r="AP14" s="209"/>
      <c r="AQ14" s="152"/>
      <c r="AR14" s="152"/>
      <c r="AU14" s="160"/>
      <c r="AV14" s="159"/>
      <c r="AW14" s="159"/>
      <c r="AX14" s="217"/>
      <c r="AY14" s="169"/>
      <c r="AZ14" s="218"/>
      <c r="BA14" s="169"/>
      <c r="BB14" s="169"/>
      <c r="BC14" s="169"/>
      <c r="BD14" s="169"/>
      <c r="BE14" s="169"/>
      <c r="BF14" s="169"/>
      <c r="BG14" s="169"/>
      <c r="BJ14" s="226"/>
      <c r="BK14" s="227"/>
      <c r="BL14" s="230"/>
      <c r="BM14" s="236"/>
    </row>
    <row r="15" spans="2:74" ht="15" customHeight="1" x14ac:dyDescent="0.25">
      <c r="J15" s="153"/>
      <c r="K15" s="164"/>
      <c r="L15" s="167"/>
      <c r="M15" s="13"/>
      <c r="R15" s="160"/>
      <c r="S15" s="173"/>
      <c r="T15" s="176"/>
      <c r="U15" s="15"/>
      <c r="X15" s="179"/>
      <c r="Y15" s="180" t="s">
        <v>55</v>
      </c>
      <c r="Z15" s="162" t="s">
        <v>56</v>
      </c>
      <c r="AA15" s="162" t="s">
        <v>57</v>
      </c>
      <c r="AB15" s="196" t="s">
        <v>53</v>
      </c>
      <c r="AC15" s="24"/>
      <c r="AD15" s="24"/>
      <c r="AE15" s="24"/>
      <c r="AF15" s="199"/>
      <c r="AG15" s="202"/>
      <c r="AI15" s="160"/>
      <c r="AJ15" s="159"/>
      <c r="AK15" s="159"/>
      <c r="AL15" s="206"/>
      <c r="AM15" s="169"/>
      <c r="AN15" s="169"/>
      <c r="AO15" s="152"/>
      <c r="AP15" s="209"/>
      <c r="AQ15" s="152"/>
      <c r="AR15" s="152"/>
      <c r="AU15" s="160" t="s">
        <v>141</v>
      </c>
      <c r="AV15" s="157" t="s">
        <v>142</v>
      </c>
      <c r="AW15" s="163" t="s">
        <v>143</v>
      </c>
      <c r="AX15" s="217"/>
      <c r="AY15" s="169"/>
      <c r="AZ15" s="213" t="s">
        <v>144</v>
      </c>
      <c r="BA15" s="169"/>
      <c r="BB15" s="169"/>
      <c r="BC15" s="169"/>
      <c r="BD15" s="169"/>
      <c r="BE15" s="169"/>
      <c r="BF15" s="169"/>
      <c r="BG15" s="169"/>
      <c r="BJ15" s="226"/>
      <c r="BK15" s="227"/>
      <c r="BL15" s="227" t="s">
        <v>160</v>
      </c>
      <c r="BM15" s="236"/>
    </row>
    <row r="16" spans="2:74" ht="30.75" customHeight="1" x14ac:dyDescent="0.25">
      <c r="J16" s="153"/>
      <c r="K16" s="164"/>
      <c r="L16" s="167"/>
      <c r="M16" s="13"/>
      <c r="R16" s="160"/>
      <c r="S16" s="173"/>
      <c r="T16" s="176"/>
      <c r="X16" s="179"/>
      <c r="Y16" s="180"/>
      <c r="Z16" s="162"/>
      <c r="AA16" s="162"/>
      <c r="AB16" s="197"/>
      <c r="AC16" s="24"/>
      <c r="AD16" s="24"/>
      <c r="AE16" s="24"/>
      <c r="AF16" s="200"/>
      <c r="AG16" s="202"/>
      <c r="AI16" s="160" t="s">
        <v>94</v>
      </c>
      <c r="AJ16" s="157" t="s">
        <v>95</v>
      </c>
      <c r="AK16" s="157" t="s">
        <v>96</v>
      </c>
      <c r="AL16" s="205"/>
      <c r="AM16" s="169"/>
      <c r="AN16" s="169"/>
      <c r="AO16" s="152"/>
      <c r="AP16" s="152"/>
      <c r="AQ16" s="152"/>
      <c r="AR16" s="152"/>
      <c r="AU16" s="160"/>
      <c r="AV16" s="158"/>
      <c r="AW16" s="165"/>
      <c r="AX16" s="217"/>
      <c r="AY16" s="169"/>
      <c r="AZ16" s="213"/>
      <c r="BA16" s="169"/>
      <c r="BB16" s="169"/>
      <c r="BC16" s="169"/>
      <c r="BD16" s="169"/>
      <c r="BE16" s="169"/>
      <c r="BF16" s="169"/>
      <c r="BG16" s="169"/>
      <c r="BJ16" s="226"/>
      <c r="BK16" s="227"/>
      <c r="BL16" s="227"/>
      <c r="BM16" s="236"/>
    </row>
    <row r="17" spans="10:65" ht="15" customHeight="1" x14ac:dyDescent="0.25">
      <c r="J17" s="153"/>
      <c r="K17" s="164"/>
      <c r="L17" s="167"/>
      <c r="M17" s="14"/>
      <c r="R17" s="160"/>
      <c r="S17" s="173"/>
      <c r="T17" s="176"/>
      <c r="X17" s="179"/>
      <c r="Y17" s="180"/>
      <c r="Z17" s="162"/>
      <c r="AA17" s="162" t="s">
        <v>58</v>
      </c>
      <c r="AB17" s="197"/>
      <c r="AC17" s="24"/>
      <c r="AD17" s="24"/>
      <c r="AE17" s="24"/>
      <c r="AF17" s="200"/>
      <c r="AG17" s="202"/>
      <c r="AI17" s="160"/>
      <c r="AJ17" s="158"/>
      <c r="AK17" s="159"/>
      <c r="AL17" s="205"/>
      <c r="AM17" s="169"/>
      <c r="AN17" s="169"/>
      <c r="AO17" s="152"/>
      <c r="AP17" s="152"/>
      <c r="AQ17" s="152"/>
      <c r="AR17" s="152"/>
      <c r="AU17" s="160"/>
      <c r="AV17" s="158"/>
      <c r="AW17" s="157" t="s">
        <v>54</v>
      </c>
      <c r="AX17" s="217"/>
      <c r="AY17" s="169"/>
      <c r="AZ17" s="213"/>
      <c r="BA17" s="169"/>
      <c r="BB17" s="169"/>
      <c r="BC17" s="169"/>
      <c r="BD17" s="169"/>
      <c r="BE17" s="169"/>
      <c r="BF17" s="169"/>
      <c r="BG17" s="169"/>
      <c r="BJ17" s="226"/>
      <c r="BK17" s="227"/>
      <c r="BL17" s="227"/>
      <c r="BM17" s="236"/>
    </row>
    <row r="18" spans="10:65" ht="15" customHeight="1" x14ac:dyDescent="0.25">
      <c r="J18" s="153"/>
      <c r="K18" s="164"/>
      <c r="L18" s="168"/>
      <c r="M18" s="14"/>
      <c r="R18" s="160"/>
      <c r="S18" s="173"/>
      <c r="T18" s="176"/>
      <c r="X18" s="179"/>
      <c r="Y18" s="180"/>
      <c r="Z18" s="162"/>
      <c r="AA18" s="162"/>
      <c r="AB18" s="197"/>
      <c r="AC18" s="24"/>
      <c r="AD18" s="24"/>
      <c r="AE18" s="24"/>
      <c r="AF18" s="200"/>
      <c r="AG18" s="202"/>
      <c r="AI18" s="160"/>
      <c r="AJ18" s="158"/>
      <c r="AK18" s="157" t="s">
        <v>54</v>
      </c>
      <c r="AL18" s="205"/>
      <c r="AM18" s="169"/>
      <c r="AN18" s="169"/>
      <c r="AO18" s="152"/>
      <c r="AP18" s="152"/>
      <c r="AQ18" s="152"/>
      <c r="AR18" s="152"/>
      <c r="AU18" s="160"/>
      <c r="AV18" s="158"/>
      <c r="AW18" s="158"/>
      <c r="AX18" s="217"/>
      <c r="AY18" s="169"/>
      <c r="AZ18" s="213"/>
      <c r="BA18" s="169"/>
      <c r="BB18" s="169"/>
      <c r="BC18" s="169"/>
      <c r="BD18" s="169"/>
      <c r="BE18" s="169"/>
      <c r="BF18" s="169"/>
      <c r="BG18" s="169"/>
      <c r="BJ18" s="226" t="s">
        <v>165</v>
      </c>
      <c r="BK18" s="227" t="s">
        <v>166</v>
      </c>
      <c r="BL18" s="228" t="s">
        <v>167</v>
      </c>
      <c r="BM18" s="169"/>
    </row>
    <row r="19" spans="10:65" ht="15" customHeight="1" x14ac:dyDescent="0.25">
      <c r="J19" s="153"/>
      <c r="K19" s="164"/>
      <c r="L19" s="157" t="s">
        <v>23</v>
      </c>
      <c r="M19" s="15"/>
      <c r="R19" s="160"/>
      <c r="S19" s="173"/>
      <c r="T19" s="176"/>
      <c r="X19" s="179"/>
      <c r="Y19" s="180"/>
      <c r="Z19" s="162"/>
      <c r="AA19" s="162"/>
      <c r="AB19" s="198"/>
      <c r="AC19" s="24"/>
      <c r="AD19" s="24"/>
      <c r="AE19" s="24"/>
      <c r="AF19" s="201"/>
      <c r="AG19" s="202"/>
      <c r="AI19" s="160"/>
      <c r="AJ19" s="158"/>
      <c r="AK19" s="158"/>
      <c r="AL19" s="205"/>
      <c r="AM19" s="169"/>
      <c r="AN19" s="169"/>
      <c r="AO19" s="152"/>
      <c r="AP19" s="152"/>
      <c r="AQ19" s="152"/>
      <c r="AR19" s="152"/>
      <c r="AU19" s="160"/>
      <c r="AV19" s="159"/>
      <c r="AW19" s="159"/>
      <c r="AX19" s="217"/>
      <c r="AY19" s="169"/>
      <c r="AZ19" s="213"/>
      <c r="BA19" s="169"/>
      <c r="BB19" s="169"/>
      <c r="BC19" s="169"/>
      <c r="BD19" s="169"/>
      <c r="BE19" s="169"/>
      <c r="BF19" s="169"/>
      <c r="BG19" s="169"/>
      <c r="BJ19" s="226"/>
      <c r="BK19" s="227"/>
      <c r="BL19" s="230"/>
      <c r="BM19" s="169"/>
    </row>
    <row r="20" spans="10:65" x14ac:dyDescent="0.25">
      <c r="J20" s="153"/>
      <c r="K20" s="165"/>
      <c r="L20" s="159"/>
      <c r="M20" s="15"/>
      <c r="R20" s="160"/>
      <c r="S20" s="173"/>
      <c r="T20" s="176"/>
      <c r="X20" s="179"/>
      <c r="Y20" s="180" t="s">
        <v>59</v>
      </c>
      <c r="Z20" s="162" t="s">
        <v>60</v>
      </c>
      <c r="AA20" s="162" t="s">
        <v>61</v>
      </c>
      <c r="AB20" s="25"/>
      <c r="AC20" s="187"/>
      <c r="AD20" s="26"/>
      <c r="AE20" s="26"/>
      <c r="AF20" s="187"/>
      <c r="AG20" s="190"/>
      <c r="AI20" s="160"/>
      <c r="AJ20" s="159"/>
      <c r="AK20" s="159"/>
      <c r="AL20" s="205"/>
      <c r="AM20" s="169"/>
      <c r="AN20" s="169"/>
      <c r="AO20" s="152"/>
      <c r="AP20" s="152"/>
      <c r="AQ20" s="152"/>
      <c r="AR20" s="152"/>
      <c r="AU20" s="160" t="s">
        <v>145</v>
      </c>
      <c r="AV20" s="157" t="s">
        <v>146</v>
      </c>
      <c r="AW20" s="29" t="s">
        <v>147</v>
      </c>
      <c r="AX20" s="217"/>
      <c r="AY20" s="170"/>
      <c r="AZ20" s="170"/>
      <c r="BA20" s="220"/>
      <c r="BB20" s="152"/>
      <c r="BC20" s="152"/>
      <c r="BD20" s="170"/>
      <c r="BE20" s="152"/>
      <c r="BF20" s="152"/>
      <c r="BG20" s="170"/>
      <c r="BJ20" s="226"/>
      <c r="BK20" s="227"/>
      <c r="BL20" s="227" t="s">
        <v>160</v>
      </c>
      <c r="BM20" s="169"/>
    </row>
    <row r="21" spans="10:65" x14ac:dyDescent="0.25">
      <c r="R21" s="160"/>
      <c r="S21" s="174"/>
      <c r="T21" s="177"/>
      <c r="X21" s="179"/>
      <c r="Y21" s="180"/>
      <c r="Z21" s="162"/>
      <c r="AA21" s="162"/>
      <c r="AB21" s="25"/>
      <c r="AC21" s="188"/>
      <c r="AD21" s="26"/>
      <c r="AE21" s="26"/>
      <c r="AF21" s="188"/>
      <c r="AG21" s="190"/>
      <c r="AI21" s="160" t="s">
        <v>97</v>
      </c>
      <c r="AJ21" s="157" t="s">
        <v>98</v>
      </c>
      <c r="AK21" s="157" t="s">
        <v>99</v>
      </c>
      <c r="AL21" s="212"/>
      <c r="AM21" s="171"/>
      <c r="AN21" s="171"/>
      <c r="AO21" s="152"/>
      <c r="AP21" s="152"/>
      <c r="AQ21" s="152"/>
      <c r="AR21" s="152"/>
      <c r="AU21" s="160"/>
      <c r="AV21" s="158"/>
      <c r="AW21" s="157" t="s">
        <v>58</v>
      </c>
      <c r="AX21" s="217"/>
      <c r="AY21" s="170"/>
      <c r="AZ21" s="170"/>
      <c r="BA21" s="220"/>
      <c r="BB21" s="152"/>
      <c r="BC21" s="152"/>
      <c r="BD21" s="170"/>
      <c r="BE21" s="152"/>
      <c r="BF21" s="152"/>
      <c r="BG21" s="170"/>
      <c r="BJ21" s="226"/>
      <c r="BK21" s="227"/>
      <c r="BL21" s="227"/>
      <c r="BM21" s="169"/>
    </row>
    <row r="22" spans="10:65" x14ac:dyDescent="0.25">
      <c r="R22" s="160" t="s">
        <v>29</v>
      </c>
      <c r="S22" s="172" t="s">
        <v>10</v>
      </c>
      <c r="T22" s="175" t="s">
        <v>30</v>
      </c>
      <c r="U22" s="13"/>
      <c r="X22" s="179"/>
      <c r="Y22" s="180"/>
      <c r="Z22" s="162"/>
      <c r="AA22" s="162"/>
      <c r="AB22" s="25"/>
      <c r="AC22" s="188"/>
      <c r="AD22" s="26"/>
      <c r="AE22" s="26"/>
      <c r="AF22" s="188"/>
      <c r="AG22" s="190"/>
      <c r="AI22" s="160"/>
      <c r="AJ22" s="158"/>
      <c r="AK22" s="158"/>
      <c r="AL22" s="212"/>
      <c r="AM22" s="171"/>
      <c r="AN22" s="171"/>
      <c r="AO22" s="152"/>
      <c r="AP22" s="152"/>
      <c r="AQ22" s="152"/>
      <c r="AR22" s="152"/>
      <c r="AU22" s="160"/>
      <c r="AV22" s="158"/>
      <c r="AW22" s="158"/>
      <c r="AX22" s="217"/>
      <c r="AY22" s="170"/>
      <c r="AZ22" s="170"/>
      <c r="BA22" s="220"/>
      <c r="BB22" s="152"/>
      <c r="BC22" s="152"/>
      <c r="BD22" s="170"/>
      <c r="BE22" s="152"/>
      <c r="BF22" s="152"/>
      <c r="BG22" s="170"/>
      <c r="BJ22" s="226"/>
      <c r="BK22" s="227"/>
      <c r="BL22" s="227"/>
      <c r="BM22" s="169"/>
    </row>
    <row r="23" spans="10:65" x14ac:dyDescent="0.25">
      <c r="R23" s="160"/>
      <c r="S23" s="173"/>
      <c r="T23" s="176"/>
      <c r="U23" s="14"/>
      <c r="X23" s="179"/>
      <c r="Y23" s="180"/>
      <c r="Z23" s="162"/>
      <c r="AA23" s="162"/>
      <c r="AB23" s="25"/>
      <c r="AC23" s="188"/>
      <c r="AD23" s="26"/>
      <c r="AE23" s="26"/>
      <c r="AF23" s="188"/>
      <c r="AG23" s="190"/>
      <c r="AI23" s="160"/>
      <c r="AJ23" s="158"/>
      <c r="AK23" s="158"/>
      <c r="AL23" s="212"/>
      <c r="AM23" s="171"/>
      <c r="AN23" s="171"/>
      <c r="AO23" s="152"/>
      <c r="AP23" s="152"/>
      <c r="AQ23" s="152"/>
      <c r="AR23" s="152"/>
      <c r="AU23" s="160"/>
      <c r="AV23" s="158"/>
      <c r="AW23" s="158"/>
      <c r="AX23" s="217"/>
      <c r="AY23" s="170"/>
      <c r="AZ23" s="170"/>
      <c r="BA23" s="220"/>
      <c r="BB23" s="152"/>
      <c r="BC23" s="152"/>
      <c r="BD23" s="170"/>
      <c r="BE23" s="152"/>
      <c r="BF23" s="152"/>
      <c r="BG23" s="170"/>
      <c r="BJ23" s="226" t="s">
        <v>168</v>
      </c>
      <c r="BK23" s="227" t="s">
        <v>169</v>
      </c>
      <c r="BL23" s="227" t="s">
        <v>170</v>
      </c>
      <c r="BM23" s="234"/>
    </row>
    <row r="24" spans="10:65" x14ac:dyDescent="0.25">
      <c r="R24" s="160"/>
      <c r="S24" s="173"/>
      <c r="T24" s="176"/>
      <c r="U24" s="15"/>
      <c r="X24" s="179"/>
      <c r="Y24" s="180"/>
      <c r="Z24" s="162"/>
      <c r="AA24" s="162"/>
      <c r="AB24" s="25"/>
      <c r="AC24" s="188"/>
      <c r="AD24" s="26"/>
      <c r="AE24" s="26"/>
      <c r="AF24" s="188"/>
      <c r="AG24" s="190"/>
      <c r="AI24" s="160"/>
      <c r="AJ24" s="158"/>
      <c r="AK24" s="158"/>
      <c r="AL24" s="212"/>
      <c r="AM24" s="171"/>
      <c r="AN24" s="171"/>
      <c r="AO24" s="152"/>
      <c r="AP24" s="152"/>
      <c r="AQ24" s="152"/>
      <c r="AR24" s="152"/>
      <c r="AU24" s="160"/>
      <c r="AV24" s="159"/>
      <c r="AW24" s="159"/>
      <c r="AX24" s="217"/>
      <c r="AY24" s="170"/>
      <c r="AZ24" s="170"/>
      <c r="BA24" s="220"/>
      <c r="BB24" s="152"/>
      <c r="BC24" s="152"/>
      <c r="BD24" s="170"/>
      <c r="BE24" s="152"/>
      <c r="BF24" s="152"/>
      <c r="BG24" s="170"/>
      <c r="BJ24" s="226"/>
      <c r="BK24" s="227"/>
      <c r="BL24" s="227"/>
      <c r="BM24" s="234"/>
    </row>
    <row r="25" spans="10:65" x14ac:dyDescent="0.25">
      <c r="R25" s="160"/>
      <c r="S25" s="173"/>
      <c r="T25" s="176"/>
      <c r="X25" s="179"/>
      <c r="Y25" s="180"/>
      <c r="Z25" s="162"/>
      <c r="AA25" s="191" t="s">
        <v>58</v>
      </c>
      <c r="AB25" s="25"/>
      <c r="AC25" s="188"/>
      <c r="AD25" s="26"/>
      <c r="AE25" s="26"/>
      <c r="AF25" s="188"/>
      <c r="AG25" s="190"/>
      <c r="AI25" s="160"/>
      <c r="AJ25" s="159"/>
      <c r="AK25" s="159"/>
      <c r="AL25" s="212"/>
      <c r="AM25" s="171"/>
      <c r="AN25" s="171"/>
      <c r="AO25" s="152"/>
      <c r="AP25" s="152"/>
      <c r="AQ25" s="152"/>
      <c r="AR25" s="152"/>
      <c r="AU25" s="160" t="s">
        <v>148</v>
      </c>
      <c r="AV25" s="157" t="s">
        <v>149</v>
      </c>
      <c r="AW25" s="157" t="s">
        <v>150</v>
      </c>
      <c r="AX25" s="217"/>
      <c r="AY25" s="152"/>
      <c r="AZ25" s="152"/>
      <c r="BA25" s="152"/>
      <c r="BB25" s="152"/>
      <c r="BC25" s="152"/>
      <c r="BD25" s="171"/>
      <c r="BE25" s="171"/>
      <c r="BF25" s="152"/>
      <c r="BG25" s="171"/>
      <c r="BJ25" s="226"/>
      <c r="BK25" s="227"/>
      <c r="BL25" s="227"/>
      <c r="BM25" s="234"/>
    </row>
    <row r="26" spans="10:65" ht="15" customHeight="1" x14ac:dyDescent="0.25">
      <c r="R26" s="160"/>
      <c r="S26" s="173"/>
      <c r="T26" s="176"/>
      <c r="X26" s="179"/>
      <c r="Y26" s="180"/>
      <c r="Z26" s="162"/>
      <c r="AA26" s="191"/>
      <c r="AB26" s="25"/>
      <c r="AC26" s="188"/>
      <c r="AD26" s="26"/>
      <c r="AE26" s="26"/>
      <c r="AF26" s="188"/>
      <c r="AG26" s="190"/>
      <c r="AI26" s="180" t="s">
        <v>100</v>
      </c>
      <c r="AJ26" s="207" t="s">
        <v>101</v>
      </c>
      <c r="AK26" s="157" t="s">
        <v>102</v>
      </c>
      <c r="AL26" s="211"/>
      <c r="AM26" s="14"/>
      <c r="AN26" s="14"/>
      <c r="AO26" s="152"/>
      <c r="AP26" s="152"/>
      <c r="AQ26" s="152"/>
      <c r="AR26" s="152"/>
      <c r="AU26" s="160"/>
      <c r="AV26" s="158"/>
      <c r="AW26" s="158"/>
      <c r="AX26" s="217"/>
      <c r="AY26" s="152"/>
      <c r="AZ26" s="152"/>
      <c r="BA26" s="152"/>
      <c r="BB26" s="152"/>
      <c r="BC26" s="152"/>
      <c r="BD26" s="171"/>
      <c r="BE26" s="171"/>
      <c r="BF26" s="152"/>
      <c r="BG26" s="171"/>
      <c r="BJ26" s="226"/>
      <c r="BK26" s="227"/>
      <c r="BL26" s="227" t="s">
        <v>171</v>
      </c>
      <c r="BM26" s="235"/>
    </row>
    <row r="27" spans="10:65" ht="15" customHeight="1" x14ac:dyDescent="0.25">
      <c r="R27" s="160"/>
      <c r="S27" s="173"/>
      <c r="T27" s="176"/>
      <c r="X27" s="179"/>
      <c r="Y27" s="180"/>
      <c r="Z27" s="162"/>
      <c r="AA27" s="191"/>
      <c r="AB27" s="25"/>
      <c r="AC27" s="189"/>
      <c r="AD27" s="26"/>
      <c r="AE27" s="26"/>
      <c r="AF27" s="189"/>
      <c r="AG27" s="190"/>
      <c r="AI27" s="180"/>
      <c r="AJ27" s="208"/>
      <c r="AK27" s="158"/>
      <c r="AL27" s="211"/>
      <c r="AM27" s="14"/>
      <c r="AN27" s="14"/>
      <c r="AO27" s="152"/>
      <c r="AP27" s="152"/>
      <c r="AQ27" s="152"/>
      <c r="AR27" s="152"/>
      <c r="AU27" s="160"/>
      <c r="AV27" s="159"/>
      <c r="AW27" s="159"/>
      <c r="AX27" s="217"/>
      <c r="AY27" s="152"/>
      <c r="AZ27" s="152"/>
      <c r="BA27" s="152"/>
      <c r="BB27" s="152"/>
      <c r="BC27" s="152"/>
      <c r="BD27" s="171"/>
      <c r="BE27" s="171"/>
      <c r="BF27" s="152"/>
      <c r="BG27" s="171"/>
      <c r="BJ27" s="226"/>
      <c r="BK27" s="227"/>
      <c r="BL27" s="227"/>
      <c r="BM27" s="235"/>
    </row>
    <row r="28" spans="10:65" ht="15" customHeight="1" x14ac:dyDescent="0.25">
      <c r="R28" s="160"/>
      <c r="S28" s="173"/>
      <c r="T28" s="176"/>
      <c r="AI28" s="180"/>
      <c r="AJ28" s="208"/>
      <c r="AK28" s="159"/>
      <c r="AL28" s="211"/>
      <c r="AM28" s="14"/>
      <c r="AN28" s="14"/>
      <c r="AO28" s="152"/>
      <c r="AP28" s="152"/>
      <c r="AQ28" s="152"/>
      <c r="AR28" s="152"/>
      <c r="AU28" s="160" t="s">
        <v>151</v>
      </c>
      <c r="AV28" s="157" t="s">
        <v>152</v>
      </c>
      <c r="AW28" s="157" t="s">
        <v>153</v>
      </c>
      <c r="AX28" s="152"/>
      <c r="AY28" s="152"/>
      <c r="AZ28" s="152"/>
      <c r="BA28" s="152"/>
      <c r="BB28" s="152"/>
      <c r="BC28" s="152"/>
      <c r="BD28" s="171"/>
      <c r="BE28" s="171"/>
      <c r="BF28" s="152"/>
      <c r="BG28" s="219"/>
      <c r="BJ28" s="226" t="s">
        <v>172</v>
      </c>
      <c r="BK28" s="227" t="s">
        <v>169</v>
      </c>
      <c r="BL28" s="228" t="s">
        <v>173</v>
      </c>
      <c r="BM28" s="170"/>
    </row>
    <row r="29" spans="10:65" ht="15" customHeight="1" x14ac:dyDescent="0.25">
      <c r="R29" s="160"/>
      <c r="S29" s="173"/>
      <c r="T29" s="176"/>
      <c r="AI29" s="180"/>
      <c r="AJ29" s="208"/>
      <c r="AK29" s="214" t="s">
        <v>58</v>
      </c>
      <c r="AL29" s="3"/>
      <c r="AM29" s="15"/>
      <c r="AN29" s="15"/>
      <c r="AO29" s="152"/>
      <c r="AP29" s="152"/>
      <c r="AQ29" s="152"/>
      <c r="AR29" s="152"/>
      <c r="AU29" s="160"/>
      <c r="AV29" s="158"/>
      <c r="AW29" s="158"/>
      <c r="AX29" s="152"/>
      <c r="AY29" s="152"/>
      <c r="AZ29" s="152"/>
      <c r="BA29" s="152"/>
      <c r="BB29" s="152"/>
      <c r="BC29" s="152"/>
      <c r="BD29" s="171"/>
      <c r="BE29" s="171"/>
      <c r="BF29" s="152"/>
      <c r="BG29" s="219"/>
      <c r="BJ29" s="226"/>
      <c r="BK29" s="227"/>
      <c r="BL29" s="229"/>
      <c r="BM29" s="170"/>
    </row>
    <row r="30" spans="10:65" ht="15" customHeight="1" x14ac:dyDescent="0.25">
      <c r="R30" s="160"/>
      <c r="S30" s="173"/>
      <c r="T30" s="176"/>
      <c r="AA30" s="1" t="s">
        <v>0</v>
      </c>
      <c r="AB30" s="2" t="s">
        <v>1</v>
      </c>
      <c r="AC30" s="3" t="s">
        <v>2</v>
      </c>
      <c r="AI30" s="180"/>
      <c r="AJ30" s="208"/>
      <c r="AK30" s="215"/>
      <c r="AL30" s="3"/>
      <c r="AM30" s="15"/>
      <c r="AN30" s="15"/>
      <c r="AO30" s="152"/>
      <c r="AP30" s="152"/>
      <c r="AQ30" s="152"/>
      <c r="AR30" s="152"/>
      <c r="AU30" s="160"/>
      <c r="AV30" s="159"/>
      <c r="AW30" s="159"/>
      <c r="AX30" s="152"/>
      <c r="AY30" s="152"/>
      <c r="AZ30" s="152"/>
      <c r="BA30" s="152"/>
      <c r="BB30" s="152"/>
      <c r="BC30" s="152"/>
      <c r="BD30" s="171"/>
      <c r="BE30" s="171"/>
      <c r="BF30" s="152"/>
      <c r="BG30" s="219"/>
      <c r="BJ30" s="226"/>
      <c r="BK30" s="227"/>
      <c r="BL30" s="230"/>
      <c r="BM30" s="170"/>
    </row>
    <row r="31" spans="10:65" x14ac:dyDescent="0.25">
      <c r="R31" s="160"/>
      <c r="S31" s="174"/>
      <c r="T31" s="177"/>
      <c r="Y31" t="s">
        <v>68</v>
      </c>
      <c r="AA31" s="4" t="s">
        <v>3</v>
      </c>
      <c r="AB31" s="5" t="s">
        <v>3</v>
      </c>
      <c r="AC31" s="6" t="s">
        <v>3</v>
      </c>
      <c r="AI31" s="180"/>
      <c r="AJ31" s="210"/>
      <c r="AK31" s="216"/>
      <c r="AL31" s="3"/>
      <c r="AM31" s="15"/>
      <c r="AN31" s="15"/>
      <c r="AO31" s="152"/>
      <c r="AP31" s="152"/>
      <c r="AQ31" s="152"/>
      <c r="AR31" s="152"/>
      <c r="AU31" s="160" t="s">
        <v>154</v>
      </c>
      <c r="AV31" s="221" t="s">
        <v>155</v>
      </c>
      <c r="AW31" s="222" t="s">
        <v>156</v>
      </c>
      <c r="AX31" s="212"/>
      <c r="AY31" s="152"/>
      <c r="AZ31" s="152"/>
      <c r="BA31" s="152"/>
      <c r="BB31" s="152"/>
      <c r="BC31" s="171"/>
      <c r="BD31" s="152"/>
      <c r="BE31" s="152"/>
      <c r="BF31" s="152"/>
      <c r="BG31" s="152"/>
      <c r="BJ31" s="226"/>
      <c r="BK31" s="227"/>
      <c r="BL31" s="227" t="s">
        <v>171</v>
      </c>
      <c r="BM31" s="171"/>
    </row>
    <row r="32" spans="10:65" x14ac:dyDescent="0.25">
      <c r="AA32" s="152" t="s">
        <v>5</v>
      </c>
      <c r="AB32" s="152"/>
      <c r="AC32" s="152"/>
      <c r="AI32" s="180" t="s">
        <v>103</v>
      </c>
      <c r="AJ32" s="207" t="s">
        <v>104</v>
      </c>
      <c r="AK32" s="157" t="s">
        <v>105</v>
      </c>
      <c r="AL32" s="209"/>
      <c r="AM32" s="209"/>
      <c r="AN32" s="209"/>
      <c r="AO32" s="152"/>
      <c r="AP32" s="169"/>
      <c r="AQ32" s="213" t="s">
        <v>106</v>
      </c>
      <c r="AR32" s="152"/>
      <c r="AU32" s="160"/>
      <c r="AV32" s="221"/>
      <c r="AW32" s="223"/>
      <c r="AX32" s="212"/>
      <c r="AY32" s="152"/>
      <c r="AZ32" s="152"/>
      <c r="BA32" s="152"/>
      <c r="BB32" s="152"/>
      <c r="BC32" s="171"/>
      <c r="BD32" s="152"/>
      <c r="BE32" s="152"/>
      <c r="BF32" s="152"/>
      <c r="BG32" s="152"/>
      <c r="BJ32" s="226"/>
      <c r="BK32" s="227"/>
      <c r="BL32" s="227"/>
      <c r="BM32" s="171"/>
    </row>
    <row r="33" spans="24:59" x14ac:dyDescent="0.25">
      <c r="AB33" s="178" t="s">
        <v>32</v>
      </c>
      <c r="AC33" s="178"/>
      <c r="AD33" s="178"/>
      <c r="AE33" s="178"/>
      <c r="AF33" s="178"/>
      <c r="AG33" s="178"/>
      <c r="AH33" s="178"/>
      <c r="AI33" s="180"/>
      <c r="AJ33" s="208"/>
      <c r="AK33" s="158"/>
      <c r="AL33" s="209"/>
      <c r="AM33" s="209"/>
      <c r="AN33" s="209"/>
      <c r="AO33" s="152"/>
      <c r="AP33" s="169"/>
      <c r="AQ33" s="213"/>
      <c r="AR33" s="152"/>
      <c r="AU33" s="160"/>
      <c r="AV33" s="221"/>
      <c r="AW33" s="224"/>
      <c r="AX33" s="212"/>
      <c r="AY33" s="152"/>
      <c r="AZ33" s="152"/>
      <c r="BA33" s="152"/>
      <c r="BB33" s="152"/>
      <c r="BC33" s="171"/>
      <c r="BD33" s="152"/>
      <c r="BE33" s="152"/>
      <c r="BF33" s="152"/>
      <c r="BG33" s="152"/>
    </row>
    <row r="34" spans="24:59" ht="23.25" x14ac:dyDescent="0.35">
      <c r="Y34" s="16"/>
      <c r="Z34" s="17"/>
      <c r="AA34" s="17"/>
      <c r="AB34" s="18" t="s">
        <v>62</v>
      </c>
      <c r="AC34" s="18" t="s">
        <v>34</v>
      </c>
      <c r="AD34" s="18" t="s">
        <v>35</v>
      </c>
      <c r="AE34" s="18" t="s">
        <v>36</v>
      </c>
      <c r="AF34" s="18" t="s">
        <v>37</v>
      </c>
      <c r="AG34" s="18" t="s">
        <v>38</v>
      </c>
      <c r="AI34" s="180"/>
      <c r="AJ34" s="208"/>
      <c r="AK34" s="159"/>
      <c r="AL34" s="209"/>
      <c r="AM34" s="209"/>
      <c r="AN34" s="209"/>
      <c r="AO34" s="152"/>
      <c r="AP34" s="169"/>
      <c r="AQ34" s="213"/>
      <c r="AR34" s="152"/>
      <c r="AU34" s="160"/>
      <c r="AV34" s="221"/>
      <c r="AW34" s="225" t="s">
        <v>54</v>
      </c>
      <c r="AX34" s="212"/>
      <c r="AY34" s="152"/>
      <c r="AZ34" s="152"/>
      <c r="BA34" s="152"/>
      <c r="BB34" s="152"/>
      <c r="BC34" s="171"/>
      <c r="BD34" s="152"/>
      <c r="BE34" s="152"/>
      <c r="BF34" s="152"/>
      <c r="BG34" s="152"/>
    </row>
    <row r="35" spans="24:59" ht="120" x14ac:dyDescent="0.25">
      <c r="Y35" s="19"/>
      <c r="Z35" s="20"/>
      <c r="AA35" s="20"/>
      <c r="AB35" s="21" t="s">
        <v>63</v>
      </c>
      <c r="AC35" s="21" t="s">
        <v>40</v>
      </c>
      <c r="AD35" s="21" t="s">
        <v>41</v>
      </c>
      <c r="AE35" s="21" t="s">
        <v>41</v>
      </c>
      <c r="AF35" s="21" t="s">
        <v>42</v>
      </c>
      <c r="AG35" s="21" t="s">
        <v>42</v>
      </c>
      <c r="AI35" s="180"/>
      <c r="AJ35" s="208"/>
      <c r="AK35" s="214" t="s">
        <v>58</v>
      </c>
      <c r="AL35" s="209"/>
      <c r="AM35" s="209"/>
      <c r="AN35" s="209"/>
      <c r="AO35" s="152"/>
      <c r="AP35" s="169"/>
      <c r="AQ35" s="213"/>
      <c r="AR35" s="152"/>
      <c r="AU35" s="160"/>
      <c r="AV35" s="221"/>
      <c r="AW35" s="225"/>
      <c r="AX35" s="212"/>
      <c r="AY35" s="152"/>
      <c r="AZ35" s="152"/>
      <c r="BA35" s="152"/>
      <c r="BB35" s="152"/>
      <c r="BC35" s="171"/>
      <c r="BD35" s="152"/>
      <c r="BE35" s="152"/>
      <c r="BF35" s="152"/>
      <c r="BG35" s="152"/>
    </row>
    <row r="36" spans="24:59" ht="150" x14ac:dyDescent="0.25">
      <c r="Z36" s="22"/>
      <c r="AA36" s="22"/>
      <c r="AB36" s="21" t="s">
        <v>64</v>
      </c>
      <c r="AC36" s="21" t="s">
        <v>44</v>
      </c>
      <c r="AD36" s="21" t="s">
        <v>45</v>
      </c>
      <c r="AE36" s="21" t="s">
        <v>46</v>
      </c>
      <c r="AF36" s="21" t="s">
        <v>47</v>
      </c>
      <c r="AG36" s="21" t="s">
        <v>48</v>
      </c>
      <c r="AI36" s="180"/>
      <c r="AJ36" s="208"/>
      <c r="AK36" s="215"/>
      <c r="AL36" s="209"/>
      <c r="AM36" s="209"/>
      <c r="AN36" s="209"/>
      <c r="AO36" s="152"/>
      <c r="AP36" s="169"/>
      <c r="AQ36" s="213"/>
      <c r="AR36" s="152"/>
      <c r="AU36" s="160"/>
      <c r="AV36" s="221"/>
      <c r="AW36" s="225"/>
      <c r="AX36" s="212"/>
      <c r="AY36" s="152"/>
      <c r="AZ36" s="152"/>
      <c r="BA36" s="152"/>
      <c r="BB36" s="152"/>
      <c r="BC36" s="171"/>
      <c r="BD36" s="152"/>
      <c r="BE36" s="152"/>
      <c r="BF36" s="152"/>
      <c r="BG36" s="152"/>
    </row>
    <row r="37" spans="24:59" x14ac:dyDescent="0.25">
      <c r="X37" s="179" t="s">
        <v>49</v>
      </c>
      <c r="Y37" s="180" t="s">
        <v>50</v>
      </c>
      <c r="Z37" s="162" t="s">
        <v>51</v>
      </c>
      <c r="AA37" s="162" t="s">
        <v>52</v>
      </c>
      <c r="AB37" s="203" t="s">
        <v>65</v>
      </c>
      <c r="AC37" s="23"/>
      <c r="AD37" s="23"/>
      <c r="AE37" s="23"/>
      <c r="AF37" s="192"/>
      <c r="AG37" s="195"/>
      <c r="AI37" s="180"/>
      <c r="AJ37" s="208"/>
      <c r="AK37" s="215"/>
      <c r="AL37" s="209"/>
      <c r="AM37" s="209"/>
      <c r="AN37" s="209"/>
      <c r="AO37" s="152"/>
      <c r="AP37" s="169"/>
      <c r="AQ37" s="213"/>
      <c r="AR37" s="152"/>
    </row>
    <row r="38" spans="24:59" x14ac:dyDescent="0.25">
      <c r="X38" s="179"/>
      <c r="Y38" s="180"/>
      <c r="Z38" s="162"/>
      <c r="AA38" s="162"/>
      <c r="AB38" s="203"/>
      <c r="AC38" s="23"/>
      <c r="AD38" s="23"/>
      <c r="AE38" s="23"/>
      <c r="AF38" s="193"/>
      <c r="AG38" s="195"/>
    </row>
    <row r="39" spans="24:59" x14ac:dyDescent="0.25">
      <c r="X39" s="179"/>
      <c r="Y39" s="180"/>
      <c r="Z39" s="162"/>
      <c r="AA39" s="162"/>
      <c r="AB39" s="203"/>
      <c r="AC39" s="23"/>
      <c r="AD39" s="23"/>
      <c r="AE39" s="23"/>
      <c r="AF39" s="193"/>
      <c r="AG39" s="195"/>
    </row>
    <row r="40" spans="24:59" x14ac:dyDescent="0.25">
      <c r="X40" s="179"/>
      <c r="Y40" s="180"/>
      <c r="Z40" s="162"/>
      <c r="AA40" s="162" t="s">
        <v>54</v>
      </c>
      <c r="AB40" s="203"/>
      <c r="AC40" s="23"/>
      <c r="AD40" s="23"/>
      <c r="AE40" s="23"/>
      <c r="AF40" s="193"/>
      <c r="AG40" s="195"/>
    </row>
    <row r="41" spans="24:59" x14ac:dyDescent="0.25">
      <c r="X41" s="179"/>
      <c r="Y41" s="180"/>
      <c r="Z41" s="162"/>
      <c r="AA41" s="162"/>
      <c r="AB41" s="203"/>
      <c r="AC41" s="23"/>
      <c r="AD41" s="23"/>
      <c r="AE41" s="23"/>
      <c r="AF41" s="193"/>
      <c r="AG41" s="195"/>
    </row>
    <row r="42" spans="24:59" x14ac:dyDescent="0.25">
      <c r="X42" s="179"/>
      <c r="Y42" s="180"/>
      <c r="Z42" s="162"/>
      <c r="AA42" s="162"/>
      <c r="AB42" s="203"/>
      <c r="AC42" s="23"/>
      <c r="AD42" s="23"/>
      <c r="AE42" s="23"/>
      <c r="AF42" s="194"/>
      <c r="AG42" s="195"/>
    </row>
    <row r="43" spans="24:59" x14ac:dyDescent="0.25">
      <c r="X43" s="179"/>
      <c r="Y43" s="180" t="s">
        <v>55</v>
      </c>
      <c r="Z43" s="162" t="s">
        <v>56</v>
      </c>
      <c r="AA43" s="162" t="s">
        <v>57</v>
      </c>
      <c r="AB43" s="204" t="s">
        <v>65</v>
      </c>
      <c r="AC43" s="24"/>
      <c r="AD43" s="24"/>
      <c r="AE43" s="24"/>
      <c r="AF43" s="199"/>
      <c r="AG43" s="202"/>
    </row>
    <row r="44" spans="24:59" ht="36" customHeight="1" x14ac:dyDescent="0.25">
      <c r="X44" s="179"/>
      <c r="Y44" s="180"/>
      <c r="Z44" s="162"/>
      <c r="AA44" s="162"/>
      <c r="AB44" s="204"/>
      <c r="AC44" s="24"/>
      <c r="AD44" s="24"/>
      <c r="AE44" s="24"/>
      <c r="AF44" s="200"/>
      <c r="AG44" s="202"/>
    </row>
    <row r="45" spans="24:59" ht="24.75" customHeight="1" x14ac:dyDescent="0.25">
      <c r="X45" s="179"/>
      <c r="Y45" s="180"/>
      <c r="Z45" s="162"/>
      <c r="AA45" s="162" t="s">
        <v>58</v>
      </c>
      <c r="AB45" s="204"/>
      <c r="AC45" s="24"/>
      <c r="AD45" s="24"/>
      <c r="AE45" s="24"/>
      <c r="AF45" s="200"/>
      <c r="AG45" s="202"/>
    </row>
    <row r="46" spans="24:59" ht="23.25" customHeight="1" x14ac:dyDescent="0.25">
      <c r="X46" s="179"/>
      <c r="Y46" s="180"/>
      <c r="Z46" s="162"/>
      <c r="AA46" s="162"/>
      <c r="AB46" s="204"/>
      <c r="AC46" s="24"/>
      <c r="AD46" s="24"/>
      <c r="AE46" s="24"/>
      <c r="AF46" s="200"/>
      <c r="AG46" s="202"/>
    </row>
    <row r="47" spans="24:59" x14ac:dyDescent="0.25">
      <c r="X47" s="179"/>
      <c r="Y47" s="180"/>
      <c r="Z47" s="162"/>
      <c r="AA47" s="162"/>
      <c r="AB47" s="204"/>
      <c r="AC47" s="24"/>
      <c r="AD47" s="24"/>
      <c r="AE47" s="24"/>
      <c r="AF47" s="201"/>
      <c r="AG47" s="202"/>
    </row>
    <row r="48" spans="24:59" x14ac:dyDescent="0.25">
      <c r="X48" s="179"/>
      <c r="Y48" s="180" t="s">
        <v>59</v>
      </c>
      <c r="Z48" s="162" t="s">
        <v>60</v>
      </c>
      <c r="AA48" s="162" t="s">
        <v>61</v>
      </c>
      <c r="AB48" s="25"/>
      <c r="AC48" s="187"/>
      <c r="AD48" s="26"/>
      <c r="AE48" s="26"/>
      <c r="AF48" s="187"/>
      <c r="AG48" s="190"/>
    </row>
    <row r="49" spans="24:33" x14ac:dyDescent="0.25">
      <c r="X49" s="179"/>
      <c r="Y49" s="180"/>
      <c r="Z49" s="162"/>
      <c r="AA49" s="162"/>
      <c r="AB49" s="25"/>
      <c r="AC49" s="188"/>
      <c r="AD49" s="26"/>
      <c r="AE49" s="26"/>
      <c r="AF49" s="188"/>
      <c r="AG49" s="190"/>
    </row>
    <row r="50" spans="24:33" x14ac:dyDescent="0.25">
      <c r="X50" s="179"/>
      <c r="Y50" s="180"/>
      <c r="Z50" s="162"/>
      <c r="AA50" s="162"/>
      <c r="AB50" s="25"/>
      <c r="AC50" s="188"/>
      <c r="AD50" s="26"/>
      <c r="AE50" s="26"/>
      <c r="AF50" s="188"/>
      <c r="AG50" s="190"/>
    </row>
    <row r="51" spans="24:33" x14ac:dyDescent="0.25">
      <c r="X51" s="179"/>
      <c r="Y51" s="180"/>
      <c r="Z51" s="162"/>
      <c r="AA51" s="162"/>
      <c r="AB51" s="25"/>
      <c r="AC51" s="188"/>
      <c r="AD51" s="26"/>
      <c r="AE51" s="26"/>
      <c r="AF51" s="188"/>
      <c r="AG51" s="190"/>
    </row>
    <row r="52" spans="24:33" x14ac:dyDescent="0.25">
      <c r="X52" s="179"/>
      <c r="Y52" s="180"/>
      <c r="Z52" s="162"/>
      <c r="AA52" s="162"/>
      <c r="AB52" s="25"/>
      <c r="AC52" s="188"/>
      <c r="AD52" s="26"/>
      <c r="AE52" s="26"/>
      <c r="AF52" s="188"/>
      <c r="AG52" s="190"/>
    </row>
    <row r="53" spans="24:33" x14ac:dyDescent="0.25">
      <c r="X53" s="179"/>
      <c r="Y53" s="180"/>
      <c r="Z53" s="162"/>
      <c r="AA53" s="191" t="s">
        <v>58</v>
      </c>
      <c r="AB53" s="25"/>
      <c r="AC53" s="188"/>
      <c r="AD53" s="26"/>
      <c r="AE53" s="26"/>
      <c r="AF53" s="188"/>
      <c r="AG53" s="190"/>
    </row>
    <row r="54" spans="24:33" x14ac:dyDescent="0.25">
      <c r="X54" s="179"/>
      <c r="Y54" s="180"/>
      <c r="Z54" s="162"/>
      <c r="AA54" s="191"/>
      <c r="AB54" s="25"/>
      <c r="AC54" s="188"/>
      <c r="AD54" s="26"/>
      <c r="AE54" s="26"/>
      <c r="AF54" s="188"/>
      <c r="AG54" s="190"/>
    </row>
    <row r="55" spans="24:33" x14ac:dyDescent="0.25">
      <c r="X55" s="179"/>
      <c r="Y55" s="180"/>
      <c r="Z55" s="162"/>
      <c r="AA55" s="191"/>
      <c r="AB55" s="25"/>
      <c r="AC55" s="189"/>
      <c r="AD55" s="26"/>
      <c r="AE55" s="26"/>
      <c r="AF55" s="189"/>
      <c r="AG55" s="190"/>
    </row>
  </sheetData>
  <mergeCells count="265">
    <mergeCell ref="BP7:BP13"/>
    <mergeCell ref="BQ7:BQ13"/>
    <mergeCell ref="BR7:BR13"/>
    <mergeCell ref="BT7:BT9"/>
    <mergeCell ref="BU7:BU9"/>
    <mergeCell ref="BV7:BV9"/>
    <mergeCell ref="BL20:BL22"/>
    <mergeCell ref="BJ23:BJ27"/>
    <mergeCell ref="BK23:BK27"/>
    <mergeCell ref="BM23:BM25"/>
    <mergeCell ref="BL26:BL27"/>
    <mergeCell ref="BM26:BM27"/>
    <mergeCell ref="BM7:BM12"/>
    <mergeCell ref="BJ13:BJ17"/>
    <mergeCell ref="BK13:BK17"/>
    <mergeCell ref="BL13:BL14"/>
    <mergeCell ref="BM13:BM17"/>
    <mergeCell ref="BL15:BL17"/>
    <mergeCell ref="BL7:BL9"/>
    <mergeCell ref="BJ18:BJ22"/>
    <mergeCell ref="BK18:BK22"/>
    <mergeCell ref="BM18:BM22"/>
    <mergeCell ref="BJ28:BJ32"/>
    <mergeCell ref="BK28:BK32"/>
    <mergeCell ref="BL28:BL30"/>
    <mergeCell ref="BL31:BL32"/>
    <mergeCell ref="BL23:BL25"/>
    <mergeCell ref="BL18:BL19"/>
    <mergeCell ref="BK5:BM5"/>
    <mergeCell ref="BL10:BL12"/>
    <mergeCell ref="BF31:BF33"/>
    <mergeCell ref="BG31:BG33"/>
    <mergeCell ref="BF9:BF14"/>
    <mergeCell ref="BG9:BG14"/>
    <mergeCell ref="BM28:BM30"/>
    <mergeCell ref="BM31:BM32"/>
    <mergeCell ref="BJ6:BL6"/>
    <mergeCell ref="BJ7:BJ12"/>
    <mergeCell ref="BK7:BK12"/>
    <mergeCell ref="BA34:BA36"/>
    <mergeCell ref="BB34:BB36"/>
    <mergeCell ref="BC34:BC36"/>
    <mergeCell ref="BD34:BD36"/>
    <mergeCell ref="AZ31:AZ33"/>
    <mergeCell ref="BA31:BA33"/>
    <mergeCell ref="BB31:BB33"/>
    <mergeCell ref="BC31:BC33"/>
    <mergeCell ref="BD31:BD33"/>
    <mergeCell ref="AU31:AU36"/>
    <mergeCell ref="AV31:AV36"/>
    <mergeCell ref="AW31:AW33"/>
    <mergeCell ref="AX31:AX33"/>
    <mergeCell ref="AY31:AY33"/>
    <mergeCell ref="BF25:BF27"/>
    <mergeCell ref="BG25:BG27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AZ25:AZ27"/>
    <mergeCell ref="BA25:BA27"/>
    <mergeCell ref="AW34:AW36"/>
    <mergeCell ref="AX34:AX36"/>
    <mergeCell ref="AY34:AY36"/>
    <mergeCell ref="AZ34:AZ36"/>
    <mergeCell ref="BC25:BC27"/>
    <mergeCell ref="BD25:BD27"/>
    <mergeCell ref="BE25:BE27"/>
    <mergeCell ref="BE34:BE36"/>
    <mergeCell ref="BF34:BF36"/>
    <mergeCell ref="BG34:BG36"/>
    <mergeCell ref="BF20:BF24"/>
    <mergeCell ref="BG20:BG24"/>
    <mergeCell ref="BE31:BE33"/>
    <mergeCell ref="BC28:BC30"/>
    <mergeCell ref="BD28:BD30"/>
    <mergeCell ref="BE28:BE30"/>
    <mergeCell ref="AU25:AU27"/>
    <mergeCell ref="AV25:AV27"/>
    <mergeCell ref="AW25:AW27"/>
    <mergeCell ref="AX25:AX27"/>
    <mergeCell ref="AY25:AY27"/>
    <mergeCell ref="BF28:BF30"/>
    <mergeCell ref="BG28:BG30"/>
    <mergeCell ref="BG15:BG19"/>
    <mergeCell ref="AW17:AW19"/>
    <mergeCell ref="AU20:AU24"/>
    <mergeCell ref="AV20:AV24"/>
    <mergeCell ref="AX20:AX24"/>
    <mergeCell ref="AY20:AY24"/>
    <mergeCell ref="AZ20:AZ24"/>
    <mergeCell ref="BA20:BA24"/>
    <mergeCell ref="BB20:BB24"/>
    <mergeCell ref="BC20:BC24"/>
    <mergeCell ref="BA15:BA19"/>
    <mergeCell ref="BB15:BB19"/>
    <mergeCell ref="BC15:BC19"/>
    <mergeCell ref="BD15:BD19"/>
    <mergeCell ref="BE15:BE19"/>
    <mergeCell ref="BF15:BF19"/>
    <mergeCell ref="BB25:BB27"/>
    <mergeCell ref="AU15:AU19"/>
    <mergeCell ref="AV15:AV19"/>
    <mergeCell ref="AW15:AW16"/>
    <mergeCell ref="AX15:AX19"/>
    <mergeCell ref="AY15:AY19"/>
    <mergeCell ref="AZ15:AZ19"/>
    <mergeCell ref="BD20:BD24"/>
    <mergeCell ref="BE20:BE24"/>
    <mergeCell ref="BE9:BE14"/>
    <mergeCell ref="AW12:AW14"/>
    <mergeCell ref="AW9:AW11"/>
    <mergeCell ref="AX9:AX14"/>
    <mergeCell ref="AY9:AY14"/>
    <mergeCell ref="AZ9:AZ14"/>
    <mergeCell ref="BA9:BA14"/>
    <mergeCell ref="BB9:BB14"/>
    <mergeCell ref="AW21:AW24"/>
    <mergeCell ref="AQ32:AQ37"/>
    <mergeCell ref="AR32:AR37"/>
    <mergeCell ref="AK35:AK37"/>
    <mergeCell ref="AW4:AY4"/>
    <mergeCell ref="AX5:BG5"/>
    <mergeCell ref="AU6:AW6"/>
    <mergeCell ref="AU9:AU14"/>
    <mergeCell ref="AV9:AV14"/>
    <mergeCell ref="AP26:AP31"/>
    <mergeCell ref="AQ26:AQ31"/>
    <mergeCell ref="AR26:AR31"/>
    <mergeCell ref="AK29:AK31"/>
    <mergeCell ref="AQ21:AQ25"/>
    <mergeCell ref="AR21:AR25"/>
    <mergeCell ref="AO16:AO20"/>
    <mergeCell ref="AP16:AP20"/>
    <mergeCell ref="AQ16:AQ20"/>
    <mergeCell ref="AR16:AR20"/>
    <mergeCell ref="AK18:AK20"/>
    <mergeCell ref="AP10:AP15"/>
    <mergeCell ref="AQ10:AQ15"/>
    <mergeCell ref="AR10:AR15"/>
    <mergeCell ref="BC9:BC14"/>
    <mergeCell ref="BD9:BD14"/>
    <mergeCell ref="AI32:AI37"/>
    <mergeCell ref="AJ32:AJ37"/>
    <mergeCell ref="AK32:AK34"/>
    <mergeCell ref="AL32:AL37"/>
    <mergeCell ref="AM32:AM37"/>
    <mergeCell ref="AN32:AN37"/>
    <mergeCell ref="AN21:AN25"/>
    <mergeCell ref="AO21:AO25"/>
    <mergeCell ref="AP21:AP25"/>
    <mergeCell ref="AI26:AI31"/>
    <mergeCell ref="AJ26:AJ31"/>
    <mergeCell ref="AK26:AK28"/>
    <mergeCell ref="AL26:AL28"/>
    <mergeCell ref="AO26:AO31"/>
    <mergeCell ref="AI21:AI25"/>
    <mergeCell ref="AJ21:AJ25"/>
    <mergeCell ref="AK21:AK25"/>
    <mergeCell ref="AL21:AL25"/>
    <mergeCell ref="AM21:AM25"/>
    <mergeCell ref="AO32:AO37"/>
    <mergeCell ref="AP32:AP37"/>
    <mergeCell ref="AK13:AK15"/>
    <mergeCell ref="AI16:AI20"/>
    <mergeCell ref="AJ16:AJ20"/>
    <mergeCell ref="AK16:AK17"/>
    <mergeCell ref="AL16:AL20"/>
    <mergeCell ref="AM16:AM20"/>
    <mergeCell ref="AN16:AN20"/>
    <mergeCell ref="AK4:AM4"/>
    <mergeCell ref="AL6:AR6"/>
    <mergeCell ref="AI7:AK7"/>
    <mergeCell ref="AI10:AI15"/>
    <mergeCell ref="AJ10:AJ15"/>
    <mergeCell ref="AK10:AK12"/>
    <mergeCell ref="AL10:AL15"/>
    <mergeCell ref="AM10:AM15"/>
    <mergeCell ref="AN10:AN15"/>
    <mergeCell ref="AO10:AO15"/>
    <mergeCell ref="AA32:AC32"/>
    <mergeCell ref="AB33:AH33"/>
    <mergeCell ref="X37:X55"/>
    <mergeCell ref="Y37:Y42"/>
    <mergeCell ref="Z37:Z42"/>
    <mergeCell ref="AA37:AA39"/>
    <mergeCell ref="AB37:AB42"/>
    <mergeCell ref="AF37:AF42"/>
    <mergeCell ref="AG37:AG42"/>
    <mergeCell ref="AA40:AA42"/>
    <mergeCell ref="Y48:Y55"/>
    <mergeCell ref="Z48:Z55"/>
    <mergeCell ref="AA48:AA52"/>
    <mergeCell ref="AC48:AC55"/>
    <mergeCell ref="AF48:AF55"/>
    <mergeCell ref="AG48:AG55"/>
    <mergeCell ref="AA53:AA55"/>
    <mergeCell ref="Y43:Y47"/>
    <mergeCell ref="Z43:Z47"/>
    <mergeCell ref="AA43:AA44"/>
    <mergeCell ref="AB43:AB47"/>
    <mergeCell ref="AF43:AF47"/>
    <mergeCell ref="AG43:AG47"/>
    <mergeCell ref="AA45:AA47"/>
    <mergeCell ref="AF9:AF14"/>
    <mergeCell ref="AG9:AG14"/>
    <mergeCell ref="AA12:AA14"/>
    <mergeCell ref="Y15:Y19"/>
    <mergeCell ref="Z15:Z19"/>
    <mergeCell ref="AA15:AA16"/>
    <mergeCell ref="AB15:AB19"/>
    <mergeCell ref="AF15:AF19"/>
    <mergeCell ref="AG15:AG19"/>
    <mergeCell ref="AA17:AA19"/>
    <mergeCell ref="R22:R31"/>
    <mergeCell ref="S22:S31"/>
    <mergeCell ref="T22:T31"/>
    <mergeCell ref="AA4:AC4"/>
    <mergeCell ref="AB5:AH5"/>
    <mergeCell ref="X9:X27"/>
    <mergeCell ref="Y9:Y14"/>
    <mergeCell ref="Z9:Z14"/>
    <mergeCell ref="AA9:AA11"/>
    <mergeCell ref="AB9:AB14"/>
    <mergeCell ref="S4:U4"/>
    <mergeCell ref="R6:R12"/>
    <mergeCell ref="S6:S12"/>
    <mergeCell ref="T6:T12"/>
    <mergeCell ref="R13:R21"/>
    <mergeCell ref="S13:S21"/>
    <mergeCell ref="T13:T21"/>
    <mergeCell ref="Y20:Y27"/>
    <mergeCell ref="Z20:Z27"/>
    <mergeCell ref="AA20:AA24"/>
    <mergeCell ref="AC20:AC27"/>
    <mergeCell ref="AF20:AF27"/>
    <mergeCell ref="AG20:AG27"/>
    <mergeCell ref="AA25:AA27"/>
    <mergeCell ref="J14:J20"/>
    <mergeCell ref="K14:K20"/>
    <mergeCell ref="L14:L18"/>
    <mergeCell ref="L19:L20"/>
    <mergeCell ref="B13:B14"/>
    <mergeCell ref="C13:C14"/>
    <mergeCell ref="E13:E14"/>
    <mergeCell ref="F13:F14"/>
    <mergeCell ref="G13:G14"/>
    <mergeCell ref="M4:O4"/>
    <mergeCell ref="J6:J10"/>
    <mergeCell ref="K6:K10"/>
    <mergeCell ref="L6:L10"/>
    <mergeCell ref="J11:J13"/>
    <mergeCell ref="E4:G4"/>
    <mergeCell ref="B6:B8"/>
    <mergeCell ref="C6:C8"/>
    <mergeCell ref="D6:D8"/>
    <mergeCell ref="B9:B12"/>
    <mergeCell ref="C9:C12"/>
    <mergeCell ref="D9:D11"/>
    <mergeCell ref="K11:K13"/>
    <mergeCell ref="L12:L13"/>
  </mergeCells>
  <pageMargins left="0.7" right="0.7" top="0.75" bottom="0.75" header="0.3" footer="0.3"/>
  <pageSetup paperSize="9" orientation="landscape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>
    <tabColor theme="4" tint="-0.249977111117893"/>
  </sheetPr>
  <dimension ref="B1:BK18"/>
  <sheetViews>
    <sheetView topLeftCell="AK1" workbookViewId="0">
      <selection activeCell="AT5" sqref="AT5"/>
    </sheetView>
  </sheetViews>
  <sheetFormatPr defaultColWidth="10.85546875" defaultRowHeight="15" x14ac:dyDescent="0.25"/>
  <cols>
    <col min="2" max="2" width="14.42578125" customWidth="1"/>
    <col min="3" max="3" width="41.85546875" customWidth="1"/>
    <col min="4" max="4" width="4.42578125" customWidth="1"/>
    <col min="5" max="5" width="21.42578125" customWidth="1"/>
    <col min="6" max="6" width="56.42578125" customWidth="1"/>
    <col min="7" max="7" width="15.42578125" customWidth="1"/>
    <col min="8" max="8" width="4.42578125" customWidth="1"/>
    <col min="9" max="9" width="2.42578125" customWidth="1"/>
    <col min="10" max="10" width="4.42578125" customWidth="1"/>
    <col min="11" max="11" width="13.42578125" customWidth="1"/>
    <col min="12" max="12" width="17.140625" customWidth="1"/>
    <col min="13" max="13" width="33.140625" bestFit="1" customWidth="1"/>
    <col min="14" max="14" width="3.42578125" customWidth="1"/>
    <col min="15" max="15" width="3" customWidth="1"/>
    <col min="16" max="16" width="4.42578125" customWidth="1"/>
    <col min="17" max="17" width="3.85546875" customWidth="1"/>
    <col min="43" max="44" width="11.42578125" customWidth="1"/>
  </cols>
  <sheetData>
    <row r="1" spans="2:63" x14ac:dyDescent="0.25">
      <c r="H1" t="s">
        <v>183</v>
      </c>
      <c r="K1" t="s">
        <v>182</v>
      </c>
    </row>
    <row r="2" spans="2:63" x14ac:dyDescent="0.25">
      <c r="I2" s="36"/>
      <c r="J2" s="36"/>
    </row>
    <row r="3" spans="2:63" x14ac:dyDescent="0.2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5">
      <c r="B4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5">
      <c r="B5" s="32" t="str">
        <f>'[1]Gebäudehülle u.T.'!D4</f>
        <v>Magerbeton 7 cm [kg]</v>
      </c>
      <c r="C5" s="32" t="str">
        <f>'[1]Gebäudehülle u.T.'!D4</f>
        <v>Magerbeton 7 cm [kg]</v>
      </c>
      <c r="D5" s="32" t="str">
        <f>'[1]Gebäudehülle u.T.'!D4</f>
        <v>Magerbeton 7 cm [kg]</v>
      </c>
      <c r="E5" s="32" t="str">
        <f>'[1]Gebäudehülle u.T.'!D23</f>
        <v>Hochbaubeton, 25 cm [kg]</v>
      </c>
      <c r="F5" s="32" t="str">
        <f>'[1]Gebäudehülle u.T.'!D23</f>
        <v>Hochbaubeton, 25 cm [kg]</v>
      </c>
      <c r="G5" s="32" t="str">
        <f>'[1]Gebäudehülle u.T.'!D35</f>
        <v>Hochbaubeton, 25 cm [kg]</v>
      </c>
      <c r="H5" s="32" t="str">
        <f>'[1]Gebäudehülle u.T.'!D47</f>
        <v>Hochbaubeton 30 cm [kg]</v>
      </c>
      <c r="I5" s="32" t="str">
        <f>'[1]Gebäudehülle u.T.'!D56</f>
        <v>Hochbaubeton 30 cm [kg]</v>
      </c>
      <c r="J5" s="32" t="str">
        <f>'[1]Gebäudehülle u.T.'!D67</f>
        <v>Hochbaubeton 30 cm [kg]</v>
      </c>
      <c r="K5" s="32" t="str">
        <f>'[1]Gebäudehülle über Terrain'!D4</f>
        <v>Hochbaubeton, 20 cm [kg]</v>
      </c>
      <c r="L5" s="32" t="str">
        <f>'[1]Gebäudehülle über Terrain'!D12</f>
        <v>Backstein [kg]</v>
      </c>
      <c r="M5" s="32" t="str">
        <f>'[1]Gebäudehülle über Terrain'!D19</f>
        <v>Nadelschnittholz [kg]</v>
      </c>
      <c r="N5" s="32" t="str">
        <f>'[1]Gebäudehülle über Terrain'!D27</f>
        <v>Hochbaubeton  [kg]</v>
      </c>
      <c r="O5" s="32" t="str">
        <f>'[1]Gebäudehülle über Terrain'!D32</f>
        <v>Betonfertigteil, Normalbeton, ab Werk [kg]</v>
      </c>
      <c r="P5" s="32" t="str">
        <f>'[1]Gebäudehülle über Terrain'!D40</f>
        <v>Blähperlit [kg]</v>
      </c>
      <c r="Q5" s="32" t="str">
        <f>'[1]Gebäudehülle über Terrain'!D50</f>
        <v>Zement Grundputz 1cm [kg]</v>
      </c>
      <c r="R5" s="32" t="str">
        <f>'[1]Gebäudehülle über Terrain'!D55</f>
        <v>Zementkleber [kg]</v>
      </c>
      <c r="S5" s="32" t="str">
        <f>'[1]Gebäudehülle über Terrain'!D64</f>
        <v>Zementkleber [kg]</v>
      </c>
      <c r="T5" s="32" t="str">
        <f>'[1]Gebäudehülle über Terrain'!D76</f>
        <v>Holzschalung mit Nut und Kamm [kg]</v>
      </c>
      <c r="U5" s="32" t="str">
        <f>'[1]Gebäudehülle über Terrain'!D86</f>
        <v>Faserzement [kg]</v>
      </c>
      <c r="V5" s="32" t="str">
        <f>'[1]Gebäudehülle über Terrain'!D95</f>
        <v>Naturstein</v>
      </c>
      <c r="W5" s="32" t="str">
        <f>'[1]Gebäudehülle über Terrain'!D105</f>
        <v>Fassadenplatte, Aluverbund, 4 mm</v>
      </c>
      <c r="X5" s="32" t="str">
        <f>'[1]Gebäudehülle über Terrain'!D113</f>
        <v>10 mm Einscheibensicherheitsglas [kg]</v>
      </c>
      <c r="Y5" s="32" t="str">
        <f>'[1]Gebäudehülle über Terrain'!D123</f>
        <v>11.5 cm Sichtbackstein Klinker [kg]</v>
      </c>
      <c r="Z5" s="32" t="str">
        <f>'[1]Gebäudehülle über Terrain'!D130</f>
        <v>Pfostenriegel Alu/Glas [m2]</v>
      </c>
      <c r="AA5" s="32" t="str">
        <f>'[1]Gebäudehülle über Terrain'!D137</f>
        <v>Holz-Metallfenster [m2 i.L.]</v>
      </c>
      <c r="AB5" s="32" t="str">
        <f>'[1]Gebäudehülle über Terrain'!D144</f>
        <v>Hochbaubeton 25 cm [kg]</v>
      </c>
      <c r="AC5" s="32" t="str">
        <f>'[1]Gebäudehülle über Terrain'!D152</f>
        <v>Hochbaubeton 40 cm [kg]</v>
      </c>
      <c r="AD5" s="32" t="str">
        <f>'[1]Gebäudehülle über Terrain'!D160</f>
        <v>Hochbaubeton 25 cm [kg]</v>
      </c>
      <c r="AE5" s="32" t="str">
        <f>'[1]Gebäudehülle über Terrain'!D166</f>
        <v>3-SP [kg]</v>
      </c>
      <c r="AF5" s="32" t="str">
        <f>'[1]Gebäudehülle über Terrain'!D174</f>
        <v>Nadelschnittholz [kg]</v>
      </c>
      <c r="AG5" s="32" t="str">
        <f>'[1]Gebäudehülle über Terrain'!D185</f>
        <v>EPS 25 Standard, 22 cm, 25 kg/m3 [kg]</v>
      </c>
      <c r="AH5" s="32" t="str">
        <f>'[1]Gebäudehülle über Terrain'!D194</f>
        <v>PUR, 16 cm, 30 kg/m3 [kg]</v>
      </c>
      <c r="AI5" s="32" t="str">
        <f>'[1]Gebäudehülle über Terrain'!D203</f>
        <v>Steinwolle 28 cm, 160kg/m3 [kg]</v>
      </c>
      <c r="AJ5" t="str">
        <f>'[1]Gebäudehülle über Terrain'!D215</f>
        <v>Bitumenemulsion [m2]</v>
      </c>
      <c r="AK5" t="str">
        <f>'[1]Gebäudehülle über Terrain'!D223</f>
        <v>Konter- und Ziegellattung aus Nadelschnittholz [kg]</v>
      </c>
      <c r="AL5" t="str">
        <f>'[1]Gebäudehülle über Terrain'!D231</f>
        <v>Konter- und Ziegellattung aus Nadelschnittholz [kg]</v>
      </c>
      <c r="AM5" t="str">
        <f>'[1]Gebäudehülle über Terrain'!D242</f>
        <v>Konter- und Ziegellattung aus Nadelschnittholz [kg]</v>
      </c>
      <c r="AN5" s="32" t="str">
        <f>'[1]Innenbauteile &amp; Aussenbauteile'!D4</f>
        <v>Hochbaubeton, 20 cm [kg]</v>
      </c>
      <c r="AO5" s="32" t="str">
        <f>'[1]Innenbauteile &amp; Aussenbauteile'!D12</f>
        <v>15 cm Backstein [kg]</v>
      </c>
      <c r="AP5" s="32" t="str">
        <f>'[1]Innenbauteile &amp; Aussenbauteile'!D19</f>
        <v>15 cm Kalksandstein [kg]</v>
      </c>
      <c r="AQ5" s="32" t="str">
        <f>'[1]Innenbauteile &amp; Aussenbauteile'!D29</f>
        <v>4 x 12.5 mm Gipskartonplatten [kg]</v>
      </c>
      <c r="AR5" s="32" t="str">
        <f>'[1]Innenbauteile &amp; Aussenbauteile'!D36</f>
        <v>2 x 12.5 mm und 2 x 10mm Gipsfaserplatten [kg]</v>
      </c>
      <c r="AS5" s="32" t="str">
        <f>'[1]Innenbauteile &amp; Aussenbauteile'!D46</f>
        <v>Hochbaubeton 25 cm [kg]</v>
      </c>
      <c r="AT5" s="32" t="str">
        <f>'[1]Innenbauteile &amp; Aussenbauteile'!D54</f>
        <v>Nadelschnittholz [kg]</v>
      </c>
      <c r="AU5" s="32" t="str">
        <f>'[1]Innenbauteile &amp; Aussenbauteile'!D64</f>
        <v>Hochbaubeton 9cm [kg]</v>
      </c>
      <c r="AV5" s="32" t="str">
        <f>'[1]Innenbauteile &amp; Aussenbauteile'!D73</f>
        <v>Glaswolle (50 kg/m3) [kg]</v>
      </c>
      <c r="AW5" s="32" t="str">
        <f>'[1]Innenbauteile &amp; Aussenbauteile'!D77</f>
        <v>Gipsfaserplatte [kg]</v>
      </c>
      <c r="AX5" s="32" t="str">
        <f>'[1]Innenbauteile &amp; Aussenbauteile'!D83</f>
        <v>Stahlblech verzinkt [kg]</v>
      </c>
      <c r="AY5" s="32" t="str">
        <f>'[1]Innenbauteile &amp; Aussenbauteile'!D93</f>
        <v>Linoleum [m2]</v>
      </c>
      <c r="AZ5" s="32" t="str">
        <f>'[1]Innenbauteile &amp; Aussenbauteile'!D97</f>
        <v>Parkett 2-Schicht werkversiegelt, 11 mm [m2]</v>
      </c>
      <c r="BA5" s="32" t="str">
        <f>'[1]Innenbauteile &amp; Aussenbauteile'!D104</f>
        <v>Parkett 2-Schicht werkversiegelt, 11 mm [m2]</v>
      </c>
      <c r="BB5" s="32" t="str">
        <f>'[1]Innenbauteile &amp; Aussenbauteile'!D111</f>
        <v>Keramikplatten 9mm [m2]</v>
      </c>
      <c r="BC5" s="32" t="str">
        <f>'[1]Innenbauteile &amp; Aussenbauteile'!D124</f>
        <v>Balkonkragplatte Ortbeton [kg]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5">
      <c r="B6" s="32" t="str">
        <f>'[1]Gebäudehülle u.T.'!D5</f>
        <v>Hochbaubeton, 30 cm [kg]</v>
      </c>
      <c r="C6" s="32" t="str">
        <f>'[1]Gebäudehülle u.T.'!D5</f>
        <v>Hochbaubeton, 30 cm [kg]</v>
      </c>
      <c r="D6" s="32" t="str">
        <f>'[1]Gebäudehülle u.T.'!D5</f>
        <v>Hochbaubeton, 30 cm [kg]</v>
      </c>
      <c r="E6" s="32" t="str">
        <f>'[1]Gebäudehülle u.T.'!D24</f>
        <v>Armierungsstahl [kg]</v>
      </c>
      <c r="F6" s="32" t="str">
        <f>'[1]Gebäudehülle u.T.'!D24</f>
        <v>Armierungsstahl [kg]</v>
      </c>
      <c r="G6" s="32" t="str">
        <f>'[1]Gebäudehülle u.T.'!D36</f>
        <v>Armierungsstahl [kg]</v>
      </c>
      <c r="H6" s="32" t="str">
        <f>'[1]Gebäudehülle u.T.'!D48</f>
        <v>Armierungsstahl [kg]</v>
      </c>
      <c r="I6" s="32" t="str">
        <f>'[1]Gebäudehülle u.T.'!D57</f>
        <v>Armierungsstahl [kg]</v>
      </c>
      <c r="J6" s="32" t="str">
        <f>'[1]Gebäudehülle u.T.'!D68</f>
        <v>Armierungsstahl [kg]</v>
      </c>
      <c r="K6" s="32" t="str">
        <f>'[1]Gebäudehülle über Terrain'!D5</f>
        <v>Armierungsstahl [kg]</v>
      </c>
      <c r="L6" s="32" t="str">
        <f>'[1]Gebäudehülle über Terrain'!D13</f>
        <v>Mörtel [kg]</v>
      </c>
      <c r="M6" s="32" t="str">
        <f>'[1]Gebäudehülle über Terrain'!D20</f>
        <v>Nadelschnittholz [kg]</v>
      </c>
      <c r="N6" s="32" t="str">
        <f>'[1]Gebäudehülle über Terrain'!D28</f>
        <v>Armierungsstahl [kg]</v>
      </c>
      <c r="O6" s="32" t="str">
        <f>'[1]Gebäudehülle über Terrain'!D33</f>
        <v>Armierungsstahl [kg]</v>
      </c>
      <c r="P6" s="32" t="str">
        <f>'[1]Gebäudehülle über Terrain'!D41</f>
        <v>Backstein [kg]</v>
      </c>
      <c r="Q6" s="32" t="str">
        <f>'[1]Gebäudehülle über Terrain'!D51</f>
        <v>Mineralischer Deckputz (Kalk-Zementputz) 1.5 mm [kg]</v>
      </c>
      <c r="R6" s="32" t="str">
        <f>'[1]Gebäudehülle über Terrain'!D56</f>
        <v>Steinwolle 22cm (80 kg/m3, 0.034 W/mK) [kg]</v>
      </c>
      <c r="S6" s="32" t="str">
        <f>'[1]Gebäudehülle über Terrain'!D65</f>
        <v>EPS 20cm (16 kg/m3, 0.031 W/mK) [kg]</v>
      </c>
      <c r="T6" s="32" t="str">
        <f>'[1]Gebäudehülle über Terrain'!D77</f>
        <v>Vergrauungslasur [m2]</v>
      </c>
      <c r="U6" s="32" t="str">
        <f>'[1]Gebäudehülle über Terrain'!D87</f>
        <v>Aluminiumprofile [kg]</v>
      </c>
      <c r="V6" s="32" t="str">
        <f>'[1]Gebäudehülle über Terrain'!D96</f>
        <v>Aluminiumunterkonstruktion [kg]</v>
      </c>
      <c r="W6" s="32" t="str">
        <f>'[1]Gebäudehülle über Terrain'!D106</f>
        <v>Aluminiumunterkonstruktion [kg]</v>
      </c>
      <c r="X6" s="32" t="str">
        <f>'[1]Gebäudehülle über Terrain'!D114</f>
        <v>Aluminiumunterkonstruktion [kg]</v>
      </c>
      <c r="Y6" s="32" t="str">
        <f>'[1]Gebäudehülle über Terrain'!D124</f>
        <v>Armierung Chromstahl [kg]</v>
      </c>
      <c r="Z6" s="32" t="str">
        <f>'[1]Gebäudehülle über Terrain'!D131</f>
        <v>Lamellenstoren [m2]</v>
      </c>
      <c r="AA6" s="32" t="str">
        <f>'[1]Gebäudehülle über Terrain'!D138</f>
        <v>Isolierverglasung 3-fach, Ug-Wert 0.6 W/m2K, Dicke 40 mm [m2]</v>
      </c>
      <c r="AB6" s="32" t="str">
        <f>'[1]Gebäudehülle über Terrain'!D145</f>
        <v>Armierungsstahl (Bewehurngsgehalt 90 kg/m3) [kg]</v>
      </c>
      <c r="AC6" s="32" t="str">
        <f>'[1]Gebäudehülle über Terrain'!D153</f>
        <v>Armierungsstahl (Bewehrungsgehalt 147.5 kg/m3) [kg]</v>
      </c>
      <c r="AD6" s="32" t="str">
        <f>'[1]Gebäudehülle über Terrain'!D161</f>
        <v>Armierungsstahl (Bewehrungsgehalt 80 kg/m3) [kg]</v>
      </c>
      <c r="AE6" s="32" t="str">
        <f>'[1]Gebäudehülle über Terrain'!D167</f>
        <v>Nadelschnittholz [kg]</v>
      </c>
      <c r="AF6" s="32" t="str">
        <f>'[1]Gebäudehülle über Terrain'!D175</f>
        <v>Sperrholz für Feuchtebreich [kg]</v>
      </c>
      <c r="AG6" s="32" t="str">
        <f>'[1]Gebäudehülle über Terrain'!D186</f>
        <v>2 x EGV3 Polymerbitumenbahn [kg]</v>
      </c>
      <c r="AH6" s="32" t="str">
        <f>'[1]Gebäudehülle über Terrain'!D195</f>
        <v>2 x EGV3 Polymerbitumenbahn [kg]</v>
      </c>
      <c r="AI6" s="32" t="str">
        <f>'[1]Gebäudehülle über Terrain'!D204</f>
        <v>2 x EGV3 Polymerbitumenbahn [kg]</v>
      </c>
      <c r="AJ6" t="str">
        <f>'[1]Gebäudehülle über Terrain'!D216</f>
        <v>2x EP4 Polymerbitumenbahn [kg]</v>
      </c>
      <c r="AK6" t="str">
        <f>'[1]Gebäudehülle über Terrain'!D224</f>
        <v>Unterdachfolie: PP-Vlies [kg]</v>
      </c>
      <c r="AL6" t="str">
        <f>'[1]Gebäudehülle über Terrain'!D232</f>
        <v>Unterdachfolie: PP-Vlies [kg]</v>
      </c>
      <c r="AM6" t="str">
        <f>'[1]Gebäudehülle über Terrain'!D243</f>
        <v>Unterdachfolie: PP-Vlies [kg]</v>
      </c>
      <c r="AN6" s="32" t="str">
        <f>'[1]Innenbauteile &amp; Aussenbauteile'!D5</f>
        <v>Armierungsstahl [kg]</v>
      </c>
      <c r="AO6" s="32" t="str">
        <f>'[1]Innenbauteile &amp; Aussenbauteile'!D13</f>
        <v>Mörtel [kg]</v>
      </c>
      <c r="AP6" s="32" t="str">
        <f>'[1]Innenbauteile &amp; Aussenbauteile'!D20</f>
        <v>Mörtel [kg]</v>
      </c>
      <c r="AQ6" s="32" t="str">
        <f>'[1]Innenbauteile &amp; Aussenbauteile'!D30</f>
        <v>Stahlprofile verzinkt [kg]</v>
      </c>
      <c r="AR6" s="32" t="str">
        <f>'[1]Innenbauteile &amp; Aussenbauteile'!D37</f>
        <v>Stahlprofile verzinkt [kg]</v>
      </c>
      <c r="AS6" s="32" t="str">
        <f>'[1]Innenbauteile &amp; Aussenbauteile'!D47</f>
        <v>Armierungsstahl (Bewehrungsgehalt 90 kg/m3) [kg]</v>
      </c>
      <c r="AT6" s="32" t="str">
        <f>'[1]Innenbauteile &amp; Aussenbauteile'!D55</f>
        <v>Leim [kg]</v>
      </c>
      <c r="AU6" s="32" t="str">
        <f>'[1]Innenbauteile &amp; Aussenbauteile'!D65</f>
        <v>Armierungsstahl [kg]</v>
      </c>
      <c r="AV6" s="32" t="str">
        <f>'[1]Innenbauteile &amp; Aussenbauteile'!D74</f>
        <v>PE-Vlies [kg]</v>
      </c>
      <c r="AW6" s="32" t="str">
        <f>'[1]Innenbauteile &amp; Aussenbauteile'!D78</f>
        <v>Stahlprofile verzinkt [kg]</v>
      </c>
      <c r="AX6" s="32" t="str">
        <f>'[1]Innenbauteile &amp; Aussenbauteile'!D84</f>
        <v>Pulverbeschichten Stahl [m2]</v>
      </c>
      <c r="AY6" s="32" t="str">
        <f>'[1]Innenbauteile &amp; Aussenbauteile'!D94</f>
        <v>Klebstoff [kg]</v>
      </c>
      <c r="AZ6" s="32" t="str">
        <f>'[1]Innenbauteile &amp; Aussenbauteile'!D98</f>
        <v>Klebstoff [kg]</v>
      </c>
      <c r="BA6" s="32" t="str">
        <f>'[1]Innenbauteile &amp; Aussenbauteile'!D105</f>
        <v>Klebstoff [kg]</v>
      </c>
      <c r="BB6" s="32" t="str">
        <f>'[1]Innenbauteile &amp; Aussenbauteile'!D112</f>
        <v>Klebemörtel [kg]</v>
      </c>
      <c r="BC6" s="32" t="str">
        <f>'[1]Innenbauteile &amp; Aussenbauteile'!D125</f>
        <v>Bewehrungsstahl [kg]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5">
      <c r="B7" s="32" t="str">
        <f>'[1]Gebäudehülle u.T.'!D6</f>
        <v>Armierungsstahl [kg]</v>
      </c>
      <c r="C7" s="32" t="str">
        <f>'[1]Gebäudehülle u.T.'!D6</f>
        <v>Armierungsstahl [kg]</v>
      </c>
      <c r="D7" s="32" t="str">
        <f>'[1]Gebäudehülle u.T.'!D6</f>
        <v>Armierungsstahl [kg]</v>
      </c>
      <c r="E7" s="32" t="str">
        <f>'[1]Gebäudehülle u.T.'!D25</f>
        <v>3-SP Schalung 2.5cm (Annahme 5xverwendet) [kg]</v>
      </c>
      <c r="F7" s="32" t="str">
        <f>'[1]Gebäudehülle u.T.'!D25</f>
        <v>3-SP Schalung 2.5cm (Annahme 5xverwendet) [kg]</v>
      </c>
      <c r="G7" s="32" t="str">
        <f>'[1]Gebäudehülle u.T.'!D37</f>
        <v>3-SP Schalung 2.5cm (Annahme 5xverwendet) [kg]</v>
      </c>
      <c r="H7" s="32" t="str">
        <f>'[1]Gebäudehülle u.T.'!D49</f>
        <v>3-SP Schalung 2.5 cm (Annahme 5xverwendet) [kg]</v>
      </c>
      <c r="I7" s="32" t="str">
        <f>'[1]Gebäudehülle u.T.'!D58</f>
        <v>3-SP Schalung 2.5 cm (Annahme 5xverwendet) [kg]</v>
      </c>
      <c r="J7" s="32" t="str">
        <f>'[1]Gebäudehülle u.T.'!D69</f>
        <v>3-SP Schalung 2.5cm (Annahme 5xverwendet) [kg]</v>
      </c>
      <c r="K7" s="32" t="str">
        <f>'[1]Gebäudehülle über Terrain'!D6</f>
        <v>3-SP Schalung 2.5cm (Annahme 5xverwendet) [kg]</v>
      </c>
      <c r="L7" s="32" t="str">
        <f>'[1]Gebäudehülle über Terrain'!D14</f>
        <v>Kalk-Zementgrundputz [kg]</v>
      </c>
      <c r="M7" s="32" t="str">
        <f>'[1]Gebäudehülle über Terrain'!D21</f>
        <v>Gipskartonplatte [kg]</v>
      </c>
      <c r="N7" s="32" t="str">
        <f>'[1]Gebäudehülle über Terrain'!D29</f>
        <v>3-SP Schalung 2.5 cm (Annahme 5xverwendet) [kg]</v>
      </c>
      <c r="O7" s="32" t="str">
        <f>'[1]Gebäudehülle über Terrain'!D34</f>
        <v>3-SP Schalung 2.5 cm (Annahme 5xverwendet) [kg]</v>
      </c>
      <c r="P7" s="32" t="str">
        <f>'[1]Gebäudehülle über Terrain'!D42</f>
        <v>Dünnbettmörtel [kg]</v>
      </c>
      <c r="Q7" s="32" t="str">
        <f>'[1]Gebäudehülle über Terrain'!D52</f>
        <v>Anstrich [m2]</v>
      </c>
      <c r="R7" s="32" t="str">
        <f>'[1]Gebäudehülle über Terrain'!D57</f>
        <v>Dämmstoffdübel (3 Stk. à 40g pro m2) [kg]</v>
      </c>
      <c r="S7" s="32" t="str">
        <f>'[1]Gebäudehülle über Terrain'!D66</f>
        <v>Dämmstoffdübel (3 Stk. à 40g pro m2) [kg]</v>
      </c>
      <c r="T7" s="32" t="str">
        <f>'[1]Gebäudehülle über Terrain'!D78</f>
        <v>Chromstahl 18/8 (Rogger Dübel), 3.5 Stk./m2 [kg]</v>
      </c>
      <c r="U7" s="32" t="str">
        <f>'[1]Gebäudehülle über Terrain'!D88</f>
        <v>Chromstahl 18/8 [kg]</v>
      </c>
      <c r="V7" s="32" t="str">
        <f>'[1]Gebäudehülle über Terrain'!D97</f>
        <v>Dämmstoffdübel (3 Stk. à 40g pro m2) [kg]</v>
      </c>
      <c r="W7" s="32" t="str">
        <f>'[1]Gebäudehülle über Terrain'!D107</f>
        <v>Dämmstoffdübel [kg]</v>
      </c>
      <c r="X7" s="32" t="str">
        <f>'[1]Gebäudehülle über Terrain'!D115</f>
        <v>Dämmstoffdübel (3 Stk. à 40g pro m2) [kg]</v>
      </c>
      <c r="Y7" s="32" t="str">
        <f>'[1]Gebäudehülle über Terrain'!D125</f>
        <v>Dämmstoffdübel (3 Stk. à 40g pro m2) [kg]</v>
      </c>
      <c r="Z7" s="32" t="str">
        <f>'[1]Gebäudehülle über Terrain'!D132</f>
        <v>Ausstellstoren [m2]</v>
      </c>
      <c r="AA7" s="32" t="str">
        <f>'[1]Gebäudehülle über Terrain'!D139</f>
        <v>Lamellenstoren [m2]</v>
      </c>
      <c r="AB7" s="32" t="str">
        <f>'[1]Gebäudehülle über Terrain'!D146</f>
        <v>3-SP Schalung 2.5cm (Annahme 5xverwendet) [kg]</v>
      </c>
      <c r="AC7" s="32" t="str">
        <f>'[1]Gebäudehülle über Terrain'!D154</f>
        <v>3-SP Schalung 2.5 cm (Annahme 5xverwendet) [kg]</v>
      </c>
      <c r="AD7" s="32" t="str">
        <f>'[1]Gebäudehülle über Terrain'!D162</f>
        <v>Stahlblech [kg]</v>
      </c>
      <c r="AE7" s="32" t="str">
        <f>'[1]Gebäudehülle über Terrain'!D168</f>
        <v>Nadelschnittholz [kg]</v>
      </c>
      <c r="AF7" s="32" t="str">
        <f>'[1]Gebäudehülle über Terrain'!D176</f>
        <v>MF-Klebstoff</v>
      </c>
      <c r="AG7" s="32" t="str">
        <f>'[1]Gebäudehülle über Terrain'!D187</f>
        <v>Bitumenemulsion [m2]</v>
      </c>
      <c r="AH7" s="32" t="str">
        <f>'[1]Gebäudehülle über Terrain'!D196</f>
        <v>Bitumenemulsion [m2]</v>
      </c>
      <c r="AI7" s="32" t="str">
        <f>'[1]Gebäudehülle über Terrain'!D205</f>
        <v>Bitumenemulsion [m2]</v>
      </c>
      <c r="AJ7" t="str">
        <f>'[1]Gebäudehülle über Terrain'!D217</f>
        <v>PP-Vlies Trenn-/Schutzvlies [kg]</v>
      </c>
      <c r="AK7" t="str">
        <f>'[1]Gebäudehülle über Terrain'!D225</f>
        <v>Ziegeleindeckeung [kg]</v>
      </c>
      <c r="AL7" t="str">
        <f>'[1]Gebäudehülle über Terrain'!D233</f>
        <v>Ziegeleindeckeung [kg]</v>
      </c>
      <c r="AM7" t="str">
        <f>'[1]Gebäudehülle über Terrain'!D244</f>
        <v>Ziegeleindeckeung [kg]</v>
      </c>
      <c r="AN7" s="32" t="str">
        <f>'[1]Innenbauteile &amp; Aussenbauteile'!D6</f>
        <v>3-SP Schalung 2.5cm (Annahme 5xverwendet) [kg]</v>
      </c>
      <c r="AO7" s="32" t="str">
        <f>'[1]Innenbauteile &amp; Aussenbauteile'!D14</f>
        <v>Kalk-Zementgrundputz [kg]</v>
      </c>
      <c r="AP7" s="32" t="str">
        <f>'[1]Innenbauteile &amp; Aussenbauteile'!D21</f>
        <v>Kalk-Zementgrundputz [kg]</v>
      </c>
      <c r="AQ7" s="32" t="str">
        <f>'[1]Innenbauteile &amp; Aussenbauteile'!D31</f>
        <v>Glaswolle [kg]</v>
      </c>
      <c r="AR7" s="32" t="str">
        <f>'[1]Innenbauteile &amp; Aussenbauteile'!D38</f>
        <v>Steinwolle [kg]</v>
      </c>
      <c r="AS7" s="32" t="str">
        <f>'[1]Innenbauteile &amp; Aussenbauteile'!D48</f>
        <v>3-SP Schalung 2.5cm (Annahme 5xverwendet) [kg]</v>
      </c>
      <c r="AT7" s="32" t="str">
        <f>'[1]Innenbauteile &amp; Aussenbauteile'!D56</f>
        <v>Schüttung [kg]</v>
      </c>
      <c r="AU7" s="32" t="str">
        <f>'[1]Innenbauteile &amp; Aussenbauteile'!D66</f>
        <v>Nadelschnittholz [kg]</v>
      </c>
      <c r="AV7" s="32"/>
      <c r="AW7" s="32" t="str">
        <f>'[1]Innenbauteile &amp; Aussenbauteile'!D79</f>
        <v>Spachtel [kg]</v>
      </c>
      <c r="AX7" s="32" t="str">
        <f>'[1]Innenbauteile &amp; Aussenbauteile'!D85</f>
        <v>Akustikvlies [kg]</v>
      </c>
      <c r="AY7" s="32"/>
      <c r="AZ7" s="32"/>
      <c r="BA7" s="32" t="str">
        <f>'[1]Innenbauteile &amp; Aussenbauteile'!D106</f>
        <v>Zementunterlagsboden 7cm [kg]</v>
      </c>
      <c r="BB7" s="32" t="str">
        <f>'[1]Innenbauteile &amp; Aussenbauteile'!D113</f>
        <v>Zementunterlagsboden 7cm [kg]</v>
      </c>
      <c r="BC7" s="32" t="str">
        <f>'[1]Innenbauteile &amp; Aussenbauteile'!D126</f>
        <v>3-SP Schalung 2.5 cm (Annahme 5xverwendet) [kg]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5">
      <c r="B8">
        <v>0</v>
      </c>
      <c r="C8" s="32" t="str">
        <f>'[1]Gebäudehülle u.T.'!D12</f>
        <v>Polystyrol extrudiert, 33 kg/m3, lamdaD 0.033 W/mK, 20 cm [kg]</v>
      </c>
      <c r="D8" s="32" t="str">
        <f>'[1]Gebäudehülle u.T.'!D16</f>
        <v>Foamglas T4+, 115 kg/m3, lambdaD 0.041 W/mK, 25 cm [kg]</v>
      </c>
      <c r="E8" s="32" t="str">
        <f>'[1]Gebäudehülle u.T.'!D26</f>
        <v>Bitumenanstrich [m2]</v>
      </c>
      <c r="F8" s="32" t="str">
        <f>'[1]Gebäudehülle u.T.'!D26</f>
        <v>Bitumenanstrich [m2]</v>
      </c>
      <c r="G8" s="32" t="str">
        <f>'[1]Gebäudehülle u.T.'!D38</f>
        <v>Bitumenanstrich [m2]</v>
      </c>
      <c r="H8" s="32" t="str">
        <f>'[1]Gebäudehülle u.T.'!D50</f>
        <v>Bitumenemulsion [m2]</v>
      </c>
      <c r="I8" s="32" t="str">
        <f>'[1]Gebäudehülle u.T.'!D59</f>
        <v>Bitumenemulsion [m2]</v>
      </c>
      <c r="J8" s="32" t="str">
        <f>'[1]Gebäudehülle u.T.'!D70</f>
        <v>Bitumenemulsion [m2]</v>
      </c>
      <c r="K8" s="32" t="str">
        <f>'[1]Gebäudehülle über Terrain'!D7</f>
        <v>Kalk-Zementgrundputz [kg]</v>
      </c>
      <c r="L8" s="32" t="str">
        <f>'[1]Gebäudehülle über Terrain'!D15</f>
        <v>Deckputz (Weissputz) [kg]</v>
      </c>
      <c r="M8" s="32" t="str">
        <f>'[1]Gebäudehülle über Terrain'!D22</f>
        <v>Spachtel [kg]</v>
      </c>
      <c r="N8" s="32"/>
      <c r="O8" s="32"/>
      <c r="P8" s="32" t="str">
        <f>'[1]Gebäudehülle über Terrain'!D43</f>
        <v>Kalk-Zementgrundputz [kg]</v>
      </c>
      <c r="Q8" s="32"/>
      <c r="R8" s="32" t="str">
        <f>'[1]Gebäudehülle über Terrain'!D58</f>
        <v>Einbettmörtel [kg]</v>
      </c>
      <c r="S8" s="32" t="str">
        <f>'[1]Gebäudehülle über Terrain'!D67</f>
        <v>Einbettmörtel [kg]</v>
      </c>
      <c r="T8" s="32" t="str">
        <f>'[1]Gebäudehülle über Terrain'!D79</f>
        <v>Polyamid glasfaserverstärkt (Rogger Dübel) [kg]</v>
      </c>
      <c r="U8" s="32" t="str">
        <f>'[1]Gebäudehülle über Terrain'!D89</f>
        <v>PVC [kg]</v>
      </c>
      <c r="V8" s="32" t="str">
        <f>'[1]Gebäudehülle über Terrain'!D98</f>
        <v>22 cm Steinwolle (48 kg/m3, 0.034 W/mK) [kg]</v>
      </c>
      <c r="W8" s="32" t="str">
        <f>'[1]Gebäudehülle über Terrain'!D108</f>
        <v>22 cm Steinwolle (48 kg/m3, 0.034 W/mK) [kg]</v>
      </c>
      <c r="X8" s="32" t="str">
        <f>'[1]Gebäudehülle über Terrain'!D116</f>
        <v>20 cm Glaswolle (38 kg/m3, 0.032 W/mK) [kg]</v>
      </c>
      <c r="Y8" s="32" t="str">
        <f>'[1]Gebäudehülle über Terrain'!D126</f>
        <v>22 cm Steinwolle (48 kg/m3, 0.034 W/mK) [kg]</v>
      </c>
      <c r="Z8" s="32"/>
      <c r="AA8" s="32"/>
      <c r="AB8" s="32" t="str">
        <f>'[1]Gebäudehülle über Terrain'!D147</f>
        <v>Kalk-Zementgrundputz [kg]</v>
      </c>
      <c r="AC8" s="32" t="str">
        <f>'[1]Gebäudehülle über Terrain'!D155</f>
        <v>Kalk-Zementgrundputz [kg]</v>
      </c>
      <c r="AD8" s="32" t="str">
        <f>'[1]Gebäudehülle über Terrain'!D163</f>
        <v>Stahlträger [kg]</v>
      </c>
      <c r="AE8" s="32" t="str">
        <f>'[1]Gebäudehülle über Terrain'!D169</f>
        <v>Gipskartonplatte [kg]</v>
      </c>
      <c r="AF8" s="32" t="str">
        <f>'[1]Gebäudehülle über Terrain'!D177</f>
        <v>Nadelschnittholz [kg]</v>
      </c>
      <c r="AG8" s="32" t="str">
        <f>'[1]Gebäudehülle über Terrain'!D188</f>
        <v>1x EP4 Polymerbitumenbahn [kg]</v>
      </c>
      <c r="AH8" s="32" t="str">
        <f>'[1]Gebäudehülle über Terrain'!D197</f>
        <v>1x EP4 Polymerbitumenbahn [kg]</v>
      </c>
      <c r="AI8" s="32" t="str">
        <f>'[1]Gebäudehülle über Terrain'!D206</f>
        <v>1x EP4 Polymerbitumenbahn [kg]</v>
      </c>
      <c r="AJ8" t="str">
        <f>'[1]Gebäudehülle über Terrain'!D218</f>
        <v>Kies 3 cm [kg]</v>
      </c>
      <c r="AK8" t="str">
        <f>'[1]Gebäudehülle über Terrain'!D226</f>
        <v>Befestigung mit verzinkten Stahlschrauben [kg]</v>
      </c>
      <c r="AL8" t="str">
        <f>'[1]Gebäudehülle über Terrain'!D234</f>
        <v>Befestigung mit verzinkten Stahlschrauben [kg]</v>
      </c>
      <c r="AM8" t="str">
        <f>'[1]Gebäudehülle über Terrain'!D245</f>
        <v>Befestigung mit verzinkten Stahlschrauben [kg]</v>
      </c>
      <c r="AN8" s="32" t="str">
        <f>'[1]Innenbauteile &amp; Aussenbauteile'!D7</f>
        <v>Kalk-Zementgrundputz [kg]</v>
      </c>
      <c r="AO8" s="32" t="str">
        <f>'[1]Innenbauteile &amp; Aussenbauteile'!D15</f>
        <v>Deckputz (Weissputz) [kg]</v>
      </c>
      <c r="AP8" s="32" t="str">
        <f>'[1]Innenbauteile &amp; Aussenbauteile'!D22</f>
        <v>Deckputz (Weissputz) [kg]</v>
      </c>
      <c r="AQ8" s="32" t="str">
        <f>'[1]Innenbauteile &amp; Aussenbauteile'!D32</f>
        <v>Spachtel [kg]</v>
      </c>
      <c r="AR8" s="32" t="str">
        <f>'[1]Innenbauteile &amp; Aussenbauteile'!D39</f>
        <v>Spachtel [kg]</v>
      </c>
      <c r="AS8" s="32" t="str">
        <f>'[1]Innenbauteile &amp; Aussenbauteile'!D49</f>
        <v>Kalk-Zementgrundputz [kg]</v>
      </c>
      <c r="AT8" s="32" t="str">
        <f>'[1]Innenbauteile &amp; Aussenbauteile'!D57</f>
        <v>Nadelschnittholz [kg]</v>
      </c>
      <c r="AU8" s="32" t="str">
        <f>'[1]Innenbauteile &amp; Aussenbauteile'!D67</f>
        <v>Nadelschnittholz [kg]</v>
      </c>
      <c r="AV8" s="32"/>
      <c r="AW8" s="32" t="str">
        <f>'[1]Innenbauteile &amp; Aussenbauteile'!D80</f>
        <v>Wanddispersion [m2]</v>
      </c>
      <c r="AX8" s="32" t="str">
        <f>'[1]Innenbauteile &amp; Aussenbauteile'!D86</f>
        <v>Stahlprofile verzinkt [kg]</v>
      </c>
      <c r="AY8" s="32"/>
      <c r="AZ8" s="32"/>
      <c r="BA8" s="32" t="str">
        <f>'[1]Innenbauteile &amp; Aussenbauteile'!D107</f>
        <v>PE-Folie</v>
      </c>
      <c r="BB8" s="32" t="str">
        <f>'[1]Innenbauteile &amp; Aussenbauteile'!D114</f>
        <v>PE-Folie</v>
      </c>
      <c r="BC8" s="32" t="str">
        <f>'[1]Innenbauteile &amp; Aussenbauteile'!D127</f>
        <v>Chromstahl (Kragplattenanschluss) [kg]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5">
      <c r="B9">
        <v>0</v>
      </c>
      <c r="C9">
        <v>0</v>
      </c>
      <c r="D9">
        <v>0</v>
      </c>
      <c r="E9" s="32" t="str">
        <f>'[1]Gebäudehülle u.T.'!D27</f>
        <v>Noppenfolie PE [kg]</v>
      </c>
      <c r="F9" s="32" t="str">
        <f>'[1]Gebäudehülle u.T.'!D27</f>
        <v>Noppenfolie PE [kg]</v>
      </c>
      <c r="G9" s="32" t="str">
        <f>'[1]Gebäudehülle u.T.'!D39</f>
        <v>Sickerplatte</v>
      </c>
      <c r="H9" s="32" t="str">
        <f>'[1]Gebäudehülle u.T.'!D51</f>
        <v>Polymerbitumenbahn EP5 [kg]</v>
      </c>
      <c r="I9" s="32" t="str">
        <f>'[1]Gebäudehülle u.T.'!D60</f>
        <v>Polymerbitumenbahn EP4 [kg]</v>
      </c>
      <c r="J9" s="32" t="str">
        <f>'[1]Gebäudehülle u.T.'!D71</f>
        <v>Polymerbitumenbahn EP4 [kg]</v>
      </c>
      <c r="K9" s="32" t="str">
        <f>'[1]Gebäudehülle über Terrain'!D8</f>
        <v>Deckputz (Weissputz) [kg]</v>
      </c>
      <c r="L9" s="32" t="str">
        <f>'[1]Gebäudehülle über Terrain'!D16</f>
        <v>Wanddispersion [m2]</v>
      </c>
      <c r="M9" s="32" t="str">
        <f>'[1]Gebäudehülle über Terrain'!D23</f>
        <v>Wanddispersion [m2]</v>
      </c>
      <c r="N9" s="32"/>
      <c r="O9" s="32"/>
      <c r="P9" s="32" t="str">
        <f>'[1]Gebäudehülle über Terrain'!D44</f>
        <v>Deckputz (Weissputz) [kg]</v>
      </c>
      <c r="Q9" s="32"/>
      <c r="R9" s="32" t="str">
        <f>'[1]Gebäudehülle über Terrain'!D59</f>
        <v>Armierungsgewebe [kg]</v>
      </c>
      <c r="S9" s="32" t="str">
        <f>'[1]Gebäudehülle über Terrain'!D68</f>
        <v>Armierungsgewebe [kg]</v>
      </c>
      <c r="T9" s="32" t="str">
        <f>'[1]Gebäudehülle über Terrain'!D80</f>
        <v>Stahlprofile verzinkt [kg]</v>
      </c>
      <c r="U9" s="32" t="str">
        <f>'[1]Gebäudehülle über Terrain'!D90</f>
        <v>Dämmstoffdübel (3 Stk. à 40g pro m2) [kg]</v>
      </c>
      <c r="V9" s="32" t="str">
        <f>'[1]Gebäudehülle über Terrain'!D99</f>
        <v>Winpapier (PE Spinnvlies)</v>
      </c>
      <c r="W9" s="32" t="str">
        <f>'[1]Gebäudehülle über Terrain'!D109</f>
        <v>Winpapier (PE Spinnvlies) [kg]</v>
      </c>
      <c r="X9" s="32" t="str">
        <f>'[1]Gebäudehülle über Terrain'!D117</f>
        <v>Winpapier (PE Spinnvlies)</v>
      </c>
      <c r="Y9" s="32" t="str">
        <f>'[1]Gebäudehülle über Terrain'!D127</f>
        <v>Winpapier (PE Spinnvlies)</v>
      </c>
      <c r="Z9" s="32"/>
      <c r="AA9" s="32"/>
      <c r="AB9" s="32" t="str">
        <f>'[1]Gebäudehülle über Terrain'!D148</f>
        <v>Deckputz (Weissputz) [kg]</v>
      </c>
      <c r="AC9" s="32" t="str">
        <f>'[1]Gebäudehülle über Terrain'!D156</f>
        <v>Deckputz (Weissputz) [kg]</v>
      </c>
      <c r="AD9" s="32"/>
      <c r="AE9" s="32" t="str">
        <f>'[1]Gebäudehülle über Terrain'!D170</f>
        <v>Spachtel [kg]</v>
      </c>
      <c r="AF9" s="32" t="str">
        <f>'[1]Gebäudehülle über Terrain'!D178</f>
        <v>Gipskartonplatte [kg]</v>
      </c>
      <c r="AG9" s="32" t="str">
        <f>'[1]Gebäudehülle über Terrain'!D189</f>
        <v>PP-Vlies Trenn-/Schutzvlies [kg]</v>
      </c>
      <c r="AH9" s="32" t="str">
        <f>'[1]Gebäudehülle über Terrain'!D198</f>
        <v>PP-Vlies Trenn-/Schutzvlies [kg]</v>
      </c>
      <c r="AI9" s="32" t="str">
        <f>'[1]Gebäudehülle über Terrain'!D207</f>
        <v>PP-Vlies Trenn-/Schutzvlies [kg]</v>
      </c>
      <c r="AJ9" t="str">
        <f>'[1]Gebäudehülle über Terrain'!D219</f>
        <v>Substrat 7 cm [kg]</v>
      </c>
      <c r="AK9" t="str">
        <f>'[1]Gebäudehülle über Terrain'!D227</f>
        <v>Steinwolle (90 kg/m3)</v>
      </c>
      <c r="AL9" t="str">
        <f>'[1]Gebäudehülle über Terrain'!D235</f>
        <v>Glaswolle (60 kg/m3)</v>
      </c>
      <c r="AN9" s="32" t="str">
        <f>'[1]Innenbauteile &amp; Aussenbauteile'!D8</f>
        <v>Deckputz (Weissputz) [kg]</v>
      </c>
      <c r="AO9" s="32" t="str">
        <f>'[1]Innenbauteile &amp; Aussenbauteile'!D16</f>
        <v>Wanddispersion [m2]</v>
      </c>
      <c r="AP9" s="32" t="str">
        <f>'[1]Innenbauteile &amp; Aussenbauteile'!D23</f>
        <v>Wanddispersion [m2]</v>
      </c>
      <c r="AQ9" s="32" t="str">
        <f>'[1]Innenbauteile &amp; Aussenbauteile'!D33</f>
        <v>Wanddispersion [m2]</v>
      </c>
      <c r="AR9" s="32" t="str">
        <f>'[1]Innenbauteile &amp; Aussenbauteile'!D40</f>
        <v>Wanddispersion [m2]</v>
      </c>
      <c r="AS9" s="32" t="str">
        <f>'[1]Innenbauteile &amp; Aussenbauteile'!D50</f>
        <v>Deckputz (Weissputz) [kg]</v>
      </c>
      <c r="AT9" s="32" t="str">
        <f>'[1]Innenbauteile &amp; Aussenbauteile'!D58</f>
        <v>Gipskartonplatte [kg]</v>
      </c>
      <c r="AU9" s="32" t="str">
        <f>'[1]Innenbauteile &amp; Aussenbauteile'!D68</f>
        <v>Gipskartonplatte [kg]</v>
      </c>
      <c r="AV9" s="32"/>
      <c r="AW9" s="32"/>
      <c r="AX9" s="32"/>
      <c r="AY9" s="32"/>
      <c r="AZ9" s="32"/>
      <c r="BA9" s="32" t="str">
        <f>'[1]Innenbauteile &amp; Aussenbauteile'!D108</f>
        <v>Trittschall 2cm EPS</v>
      </c>
      <c r="BB9" s="32" t="str">
        <f>'[1]Innenbauteile &amp; Aussenbauteile'!D115</f>
        <v>Trittschall 2cm EPS</v>
      </c>
      <c r="BC9" s="32" t="str">
        <f>'[1]Innenbauteile &amp; Aussenbauteile'!D128</f>
        <v>XPS (Kragplattenanschluss)[kg]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5">
      <c r="B10">
        <v>0</v>
      </c>
      <c r="C10">
        <v>0</v>
      </c>
      <c r="D10">
        <v>0</v>
      </c>
      <c r="F10" s="32" t="str">
        <f>'[1]Gebäudehülle u.T.'!D31</f>
        <v>Polystyrol extrudiert, 33 kg/m3, lamdaD 0.033 W/mK, 20 cm [kg]</v>
      </c>
      <c r="G10" s="32" t="str">
        <f>'[1]Gebäudehülle u.T.'!D40</f>
        <v>Foamglas T4+, 115 kg/m3, lambdaD 0.041 W/mK, 25 cm [kg]</v>
      </c>
      <c r="H10" s="32" t="str">
        <f>'[1]Gebäudehülle u.T.'!D52</f>
        <v>Trenn-/Schutzvlies [kg]</v>
      </c>
      <c r="I10" s="32" t="str">
        <f>'[1]Gebäudehülle u.T.'!D61</f>
        <v>Polystyrol extrudiert, 33 kg/m3, lamdaD 0.033 W/mK, 20 cm [kg]</v>
      </c>
      <c r="J10" s="32" t="str">
        <f>'[1]Gebäudehülle u.T.'!D72</f>
        <v>Foamglas T4+, 115 kg/m3, lambdaD 0.041 W/mK, 25 cm [kg]</v>
      </c>
      <c r="K10" s="32" t="str">
        <f>'[1]Gebäudehülle über Terrain'!D9</f>
        <v>Wanddispersion [m2]</v>
      </c>
      <c r="L10" s="32"/>
      <c r="M10" s="32"/>
      <c r="N10" s="32"/>
      <c r="O10" s="32"/>
      <c r="P10" s="32" t="str">
        <f>'[1]Gebäudehülle über Terrain'!D45</f>
        <v>Wanddispersion [m2]</v>
      </c>
      <c r="Q10" s="32"/>
      <c r="R10" s="32" t="str">
        <f>'[1]Gebäudehülle über Terrain'!D60</f>
        <v>Mineralischer Deckputz (Kalk-Zementputz) 1.5mm [kg]</v>
      </c>
      <c r="S10" s="32" t="str">
        <f>'[1]Gebäudehülle über Terrain'!D69</f>
        <v>Mineralischer Deckputz (Kalk-Zementputz) 1.5mm [kg]</v>
      </c>
      <c r="T10" s="32" t="str">
        <f>'[1]Gebäudehülle über Terrain'!D81</f>
        <v>Dämmstoffdübel (3 Stk. à 40 g pro m2) [kg]</v>
      </c>
      <c r="U10" s="32" t="str">
        <f>'[1]Gebäudehülle über Terrain'!D91</f>
        <v>20 cm Glaswolle (38 kg/m3, 0.032 W/mK) [kg]</v>
      </c>
      <c r="V10" s="32"/>
      <c r="W10" s="32"/>
      <c r="X10" s="32"/>
      <c r="Y10" s="32"/>
      <c r="Z10" s="32"/>
      <c r="AA10" s="32"/>
      <c r="AB10" s="32" t="str">
        <f>'[1]Gebäudehülle über Terrain'!D149</f>
        <v>Wanddispersion [m2]</v>
      </c>
      <c r="AC10" s="32" t="str">
        <f>'[1]Gebäudehülle über Terrain'!D157</f>
        <v>Wanddispersion [m2]</v>
      </c>
      <c r="AD10" s="32"/>
      <c r="AE10" s="32" t="str">
        <f>'[1]Gebäudehülle über Terrain'!D171</f>
        <v>Wanddispersion [m2]</v>
      </c>
      <c r="AF10" s="32" t="str">
        <f>'[1]Gebäudehülle über Terrain'!D179</f>
        <v>Spachtel [kg]</v>
      </c>
      <c r="AG10" s="32" t="str">
        <f>'[1]Gebäudehülle über Terrain'!D190</f>
        <v>Kies 3 cm [kg]</v>
      </c>
      <c r="AH10" s="32" t="str">
        <f>'[1]Gebäudehülle über Terrain'!D199</f>
        <v>Kies 3 cm [kg]</v>
      </c>
      <c r="AI10" s="32" t="str">
        <f>'[1]Gebäudehülle über Terrain'!D208</f>
        <v>Kies 3 cm [kg]</v>
      </c>
      <c r="AK10" t="str">
        <f>'[1]Gebäudehülle über Terrain'!D228</f>
        <v>PE Dampfbremse [kg]</v>
      </c>
      <c r="AL10" t="str">
        <f>'[1]Gebäudehülle über Terrain'!D236</f>
        <v>PE Dampfbremse [kg]</v>
      </c>
      <c r="AN10" s="32" t="str">
        <f>'[1]Innenbauteile &amp; Aussenbauteile'!D9</f>
        <v>Wanddispersion [m2]</v>
      </c>
      <c r="AO10" s="32"/>
      <c r="AP10" s="32"/>
      <c r="AQ10" s="32"/>
      <c r="AR10" s="32"/>
      <c r="AS10" s="32" t="str">
        <f>'[1]Innenbauteile &amp; Aussenbauteile'!D51</f>
        <v>Wanddispersion [m2]</v>
      </c>
      <c r="AT10" s="32" t="str">
        <f>'[1]Innenbauteile &amp; Aussenbauteile'!D59</f>
        <v>Spachtel [kg]</v>
      </c>
      <c r="AU10" s="32" t="str">
        <f>'[1]Innenbauteile &amp; Aussenbauteile'!D69</f>
        <v>Spachtel [kg]</v>
      </c>
      <c r="AV10" s="32"/>
      <c r="AW10" s="32"/>
      <c r="AX10" s="32"/>
      <c r="AY10" s="32"/>
      <c r="AZ10" s="32"/>
      <c r="BA10" s="32"/>
      <c r="BB10" s="32"/>
      <c r="BC10" s="32" t="str">
        <f>'[1]Innenbauteile &amp; Aussenbauteile'!D129</f>
        <v>Harbetonüberzug [kg]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5">
      <c r="B11">
        <v>0</v>
      </c>
      <c r="C11">
        <v>0</v>
      </c>
      <c r="D11">
        <v>0</v>
      </c>
      <c r="F11" s="32" t="str">
        <f>'[1]Gebäudehülle u.T.'!D32</f>
        <v>Bitumenkleber [kg]</v>
      </c>
      <c r="G11" s="32" t="str">
        <f>'[1]Gebäudehülle u.T.'!D41</f>
        <v>Bitumenkleber [kg]</v>
      </c>
      <c r="H11" s="32" t="str">
        <f>'[1]Gebäudehülle u.T.'!D53</f>
        <v>Kies 3 cm [kg]</v>
      </c>
      <c r="I11" s="32" t="str">
        <f>'[1]Gebäudehülle u.T.'!D62</f>
        <v>2xPolymerbitumenbahn EGV3 [kg]</v>
      </c>
      <c r="J11" s="32" t="str">
        <f>'[1]Gebäudehülle u.T.'!D73</f>
        <v>Heissbitumen [kg]</v>
      </c>
      <c r="K11" s="32"/>
      <c r="L11" s="32"/>
      <c r="M11" s="32"/>
      <c r="N11" s="32"/>
      <c r="O11" s="32"/>
      <c r="P11" s="32"/>
      <c r="Q11" s="32"/>
      <c r="R11" s="32" t="str">
        <f>'[1]Gebäudehülle über Terrain'!D61</f>
        <v>Anstrich [m2]</v>
      </c>
      <c r="S11" s="32" t="str">
        <f>'[1]Gebäudehülle über Terrain'!D70</f>
        <v>Anstrich [m2]</v>
      </c>
      <c r="T11" s="32" t="str">
        <f>'[1]Gebäudehülle über Terrain'!D82</f>
        <v>20 cm Glaswolle (38 kg/m3, 0.032 W/mK) [kg]</v>
      </c>
      <c r="U11" s="32" t="str">
        <f>'[1]Gebäudehülle über Terrain'!D92</f>
        <v>Winpapier (PE Spinnvlies) [kg]</v>
      </c>
      <c r="V11" s="32"/>
      <c r="W11" s="32"/>
      <c r="X11" s="32"/>
      <c r="Y11" s="32"/>
      <c r="Z11" s="32"/>
      <c r="AA11" s="32"/>
      <c r="AB11" s="32"/>
      <c r="AC11" s="32"/>
      <c r="AF11" s="32" t="str">
        <f>'[1]Gebäudehülle über Terrain'!D180</f>
        <v>Wanddispersion [m2]</v>
      </c>
      <c r="AG11" s="32" t="str">
        <f>'[1]Gebäudehülle über Terrain'!D191</f>
        <v>Substrat 7 cm [kg]</v>
      </c>
      <c r="AH11" s="32" t="str">
        <f>'[1]Gebäudehülle über Terrain'!D200</f>
        <v>Substrat 7 cm [kg]</v>
      </c>
      <c r="AI11" s="32" t="str">
        <f>'[1]Gebäudehülle über Terrain'!D209</f>
        <v>Substrat 7cm [kg]</v>
      </c>
      <c r="AJ11" s="32"/>
      <c r="AM11" s="32"/>
      <c r="AN11" s="32"/>
      <c r="AO11" s="32"/>
      <c r="AP11" s="32"/>
      <c r="AQ11" s="32"/>
      <c r="AT11" s="32" t="str">
        <f>'[1]Innenbauteile &amp; Aussenbauteile'!D60</f>
        <v>Wanddispersion [m2]</v>
      </c>
      <c r="AU11" s="32" t="str">
        <f>'[1]Innenbauteile &amp; Aussenbauteile'!D70</f>
        <v>Wanddispersion [m2]</v>
      </c>
      <c r="AV11" s="32"/>
      <c r="AW11" s="32"/>
      <c r="AX11" s="32"/>
      <c r="AY11" s="32"/>
      <c r="AZ11" s="32"/>
      <c r="BA11" s="32"/>
      <c r="BB11" s="32"/>
      <c r="BC11" s="32" t="str">
        <f>'[1]Innenbauteile &amp; Aussenbauteile'!D130</f>
        <v>Metallstabgeländer [kg]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5">
      <c r="B12">
        <v>0</v>
      </c>
      <c r="C12">
        <v>0</v>
      </c>
      <c r="D12">
        <v>0</v>
      </c>
      <c r="I12" s="32" t="str">
        <f>'[1]Gebäudehülle u.T.'!D63</f>
        <v>Trenn-/Schutzvlies [kg]</v>
      </c>
      <c r="J12" s="32" t="str">
        <f>'[1]Gebäudehülle u.T.'!D74</f>
        <v>2xPolymerbitumenbahn EGV3 [kg]</v>
      </c>
      <c r="K12" s="32"/>
      <c r="L12" s="32"/>
      <c r="M12" s="32"/>
      <c r="N12" s="32"/>
      <c r="O12" s="32"/>
      <c r="P12" s="32"/>
      <c r="Q12" s="32"/>
      <c r="R12" s="32"/>
      <c r="T12" s="32" t="str">
        <f>'[1]Gebäudehülle über Terrain'!D83</f>
        <v>Winpapier (PE Spinnvlies) [kg]</v>
      </c>
      <c r="U12" s="32"/>
      <c r="V12" s="32"/>
      <c r="W12" s="32"/>
      <c r="X12" s="32"/>
      <c r="Y12" s="32"/>
      <c r="Z12" s="32"/>
      <c r="AA12" s="32"/>
      <c r="AB12" s="32"/>
    </row>
    <row r="13" spans="2:63" x14ac:dyDescent="0.25">
      <c r="B13">
        <v>0</v>
      </c>
      <c r="C13">
        <v>0</v>
      </c>
      <c r="D13">
        <v>0</v>
      </c>
      <c r="I13" s="32" t="str">
        <f>'[1]Gebäudehülle u.T.'!D64</f>
        <v>Kies 3 cm [kg]</v>
      </c>
      <c r="J13" s="32" t="str">
        <f>'[1]Gebäudehülle u.T.'!D75</f>
        <v>Trenn-/Schutzvlies [kg]</v>
      </c>
      <c r="K13" s="32"/>
      <c r="L13" s="32"/>
      <c r="M13" s="32"/>
      <c r="N13" s="32"/>
      <c r="O13" s="32"/>
      <c r="P13" s="32"/>
      <c r="Q13" s="32"/>
      <c r="R13" s="32"/>
    </row>
    <row r="14" spans="2:63" x14ac:dyDescent="0.25">
      <c r="B14">
        <v>0</v>
      </c>
      <c r="C14">
        <v>0</v>
      </c>
      <c r="D14">
        <v>0</v>
      </c>
      <c r="H14" s="35"/>
      <c r="I14" s="35"/>
      <c r="J14" s="32" t="str">
        <f>'[1]Gebäudehülle u.T.'!D76</f>
        <v>Kies 3 cm [kg]</v>
      </c>
      <c r="K14" s="32"/>
      <c r="L14" s="32"/>
      <c r="M14" s="32"/>
      <c r="N14" s="32"/>
      <c r="O14" s="32"/>
      <c r="P14" s="32"/>
      <c r="Q14" s="32"/>
      <c r="R14" s="32"/>
    </row>
    <row r="17" spans="2:17" x14ac:dyDescent="0.25">
      <c r="B17" s="45"/>
    </row>
    <row r="18" spans="2:17" x14ac:dyDescent="0.25">
      <c r="D18" s="152"/>
      <c r="E18" s="152"/>
      <c r="F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>
    <tabColor theme="4" tint="-0.249977111117893"/>
  </sheetPr>
  <dimension ref="B1:BK20"/>
  <sheetViews>
    <sheetView zoomScaleNormal="100" workbookViewId="0">
      <selection activeCell="K24" sqref="K24"/>
    </sheetView>
  </sheetViews>
  <sheetFormatPr defaultColWidth="10.85546875" defaultRowHeight="15" x14ac:dyDescent="0.25"/>
  <cols>
    <col min="2" max="3" width="8.42578125" customWidth="1"/>
    <col min="4" max="4" width="12" bestFit="1" customWidth="1"/>
    <col min="5" max="5" width="7.140625" customWidth="1"/>
    <col min="6" max="6" width="10.42578125" customWidth="1"/>
    <col min="7" max="7" width="8" customWidth="1"/>
    <col min="8" max="8" width="9" customWidth="1"/>
    <col min="9" max="9" width="14.85546875" customWidth="1"/>
    <col min="10" max="10" width="18.140625" customWidth="1"/>
    <col min="11" max="11" width="13.42578125" customWidth="1"/>
    <col min="12" max="12" width="8.85546875" customWidth="1"/>
    <col min="13" max="13" width="8.140625" customWidth="1"/>
    <col min="14" max="14" width="7.42578125" customWidth="1"/>
    <col min="15" max="15" width="8" customWidth="1"/>
    <col min="16" max="16" width="7.85546875" customWidth="1"/>
    <col min="17" max="17" width="7.42578125" customWidth="1"/>
    <col min="18" max="18" width="8.42578125" customWidth="1"/>
    <col min="19" max="23" width="7.42578125" customWidth="1"/>
    <col min="24" max="24" width="8.140625" customWidth="1"/>
    <col min="25" max="25" width="7.42578125" customWidth="1"/>
    <col min="26" max="26" width="7.85546875" customWidth="1"/>
    <col min="27" max="27" width="7.42578125" customWidth="1"/>
    <col min="28" max="28" width="8.42578125" customWidth="1"/>
    <col min="29" max="29" width="8.140625" customWidth="1"/>
    <col min="30" max="30" width="7.85546875" customWidth="1"/>
    <col min="31" max="31" width="7.42578125" customWidth="1"/>
    <col min="32" max="32" width="8.42578125" customWidth="1"/>
    <col min="33" max="33" width="7.42578125" customWidth="1"/>
    <col min="36" max="36" width="7.85546875" customWidth="1"/>
    <col min="37" max="37" width="8.42578125" customWidth="1"/>
    <col min="38" max="40" width="7.85546875" customWidth="1"/>
    <col min="41" max="41" width="7.42578125" customWidth="1"/>
    <col min="42" max="42" width="8.42578125" customWidth="1"/>
    <col min="43" max="43" width="8" customWidth="1"/>
    <col min="44" max="44" width="8.42578125" customWidth="1"/>
    <col min="45" max="45" width="8.140625" customWidth="1"/>
    <col min="46" max="46" width="8.42578125" customWidth="1"/>
    <col min="47" max="48" width="7.42578125" customWidth="1"/>
    <col min="49" max="50" width="8" customWidth="1"/>
    <col min="51" max="52" width="7.85546875" customWidth="1"/>
    <col min="53" max="53" width="8.42578125" customWidth="1"/>
    <col min="54" max="54" width="9.42578125" customWidth="1"/>
    <col min="55" max="55" width="7.42578125" bestFit="1" customWidth="1"/>
  </cols>
  <sheetData>
    <row r="1" spans="2:63" x14ac:dyDescent="0.25">
      <c r="H1" t="s">
        <v>183</v>
      </c>
      <c r="K1" t="s">
        <v>182</v>
      </c>
    </row>
    <row r="2" spans="2:63" x14ac:dyDescent="0.25">
      <c r="I2" s="36"/>
      <c r="J2" s="36"/>
    </row>
    <row r="3" spans="2:63" x14ac:dyDescent="0.2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5">
      <c r="B4" t="s">
        <v>6</v>
      </c>
      <c r="C4" s="61" t="s">
        <v>9</v>
      </c>
      <c r="D4" s="61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5">
      <c r="B5" s="95" t="str">
        <f>'[1]Gebäudehülle u.T.'!G4</f>
        <v>C1.5</v>
      </c>
      <c r="C5" s="95" t="str">
        <f>'[1]Gebäudehülle u.T.'!G9</f>
        <v>C1.5</v>
      </c>
      <c r="D5" s="95" t="str">
        <f>'[1]Gebäudehülle u.T.'!G9</f>
        <v>C1.5</v>
      </c>
      <c r="E5" s="95" t="str">
        <f>'[1]Gebäudehülle u.T.'!G23</f>
        <v>C2.1</v>
      </c>
      <c r="F5" s="95" t="str">
        <f>'[1]Gebäudehülle u.T.'!G23</f>
        <v>C2.1</v>
      </c>
      <c r="G5" s="95" t="str">
        <f>'[1]Gebäudehülle u.T.'!G35</f>
        <v>C2.1</v>
      </c>
      <c r="H5" s="95" t="str">
        <f>'[1]Gebäudehülle u.T.'!G47</f>
        <v>C4.4</v>
      </c>
      <c r="I5" s="95" t="str">
        <f>'[1]Gebäudehülle u.T.'!G56</f>
        <v>C4.4</v>
      </c>
      <c r="J5" s="95" t="str">
        <f>'[1]Gebäudehülle u.T.'!G67</f>
        <v>C4.4</v>
      </c>
      <c r="K5" s="95" t="str">
        <f>'[1]Gebäudehülle über Terrain'!G4</f>
        <v>C2.1</v>
      </c>
      <c r="L5" s="95" t="str">
        <f>'[1]Gebäudehülle über Terrain'!G12</f>
        <v>C2.1</v>
      </c>
      <c r="M5" s="95" t="str">
        <f>'[1]Gebäudehülle über Terrain'!G19</f>
        <v>C2.1</v>
      </c>
      <c r="N5" s="95" t="str">
        <f>'[1]Gebäudehülle über Terrain'!G27</f>
        <v>C3.1</v>
      </c>
      <c r="O5" s="95" t="str">
        <f>'[1]Gebäudehülle über Terrain'!G32</f>
        <v>C3.1</v>
      </c>
      <c r="P5" s="95" t="str">
        <f>'[1]Gebäudehülle über Terrain'!G40</f>
        <v>C2.1</v>
      </c>
      <c r="Q5" s="95" t="str">
        <f>'[1]Gebäudehülle über Terrain'!G50</f>
        <v>E2.1</v>
      </c>
      <c r="R5" s="95" t="str">
        <f>'[1]Gebäudehülle über Terrain'!G55</f>
        <v>E2.1</v>
      </c>
      <c r="S5" s="95" t="str">
        <f>'[1]Gebäudehülle über Terrain'!G64</f>
        <v>E2.1</v>
      </c>
      <c r="T5" s="95" t="str">
        <f>'[1]Gebäudehülle über Terrain'!G76</f>
        <v>E2.3</v>
      </c>
      <c r="U5" s="95" t="str">
        <f>'[1]Gebäudehülle über Terrain'!G86</f>
        <v>E2.3</v>
      </c>
      <c r="V5" s="95" t="str">
        <f>'[1]Gebäudehülle über Terrain'!G95</f>
        <v>E2.3</v>
      </c>
      <c r="W5" s="95" t="str">
        <f>'[1]Gebäudehülle über Terrain'!G105</f>
        <v>E2.3</v>
      </c>
      <c r="X5" s="95" t="str">
        <f>'[1]Gebäudehülle über Terrain'!G113</f>
        <v>E2.3</v>
      </c>
      <c r="Y5" s="95" t="str">
        <f>'[1]Gebäudehülle über Terrain'!G123</f>
        <v>E2.3</v>
      </c>
      <c r="Z5" s="95" t="str">
        <f>'[1]Gebäudehülle über Terrain'!G130</f>
        <v>E2.4</v>
      </c>
      <c r="AA5" s="95" t="str">
        <f>'[1]Gebäudehülle über Terrain'!G137</f>
        <v>E3.1</v>
      </c>
      <c r="AB5" s="95" t="str">
        <f>'[1]Gebäudehülle über Terrain'!G144</f>
        <v>C4.4</v>
      </c>
      <c r="AC5" s="95" t="str">
        <f>'[1]Gebäudehülle über Terrain'!G152</f>
        <v>C4.4</v>
      </c>
      <c r="AD5" s="95" t="str">
        <f>'[1]Gebäudehülle über Terrain'!G160</f>
        <v>C4.4</v>
      </c>
      <c r="AE5" s="95" t="str">
        <f>'[1]Gebäudehülle über Terrain'!G166</f>
        <v>C4.4</v>
      </c>
      <c r="AF5" s="95" t="str">
        <f>'[1]Gebäudehülle über Terrain'!G174</f>
        <v>C4.4</v>
      </c>
      <c r="AG5" s="95" t="str">
        <f>'[1]Gebäudehülle über Terrain'!G185</f>
        <v>F1.2</v>
      </c>
      <c r="AH5" s="95" t="str">
        <f>'[1]Gebäudehülle über Terrain'!G194</f>
        <v>F1.2</v>
      </c>
      <c r="AI5" s="95" t="str">
        <f>'[1]Gebäudehülle über Terrain'!G203</f>
        <v>F1.2</v>
      </c>
      <c r="AJ5" s="97" t="str">
        <f>'[1]Gebäudehülle über Terrain'!G215</f>
        <v>F1.2</v>
      </c>
      <c r="AK5" s="97" t="str">
        <f>'[1]Gebäudehülle über Terrain'!G223</f>
        <v>F1.3</v>
      </c>
      <c r="AL5" s="97" t="str">
        <f>'[1]Gebäudehülle über Terrain'!G231</f>
        <v>F1.3</v>
      </c>
      <c r="AM5" s="97" t="str">
        <f>'[1]Gebäudehülle über Terrain'!G242</f>
        <v>F1.3</v>
      </c>
      <c r="AN5" s="95" t="str">
        <f>'[1]Innenbauteile &amp; Aussenbauteile'!G4</f>
        <v>C2.2</v>
      </c>
      <c r="AO5" s="95" t="str">
        <f>'[1]Innenbauteile &amp; Aussenbauteile'!G12</f>
        <v>C2.2</v>
      </c>
      <c r="AP5" s="95" t="str">
        <f>'[1]Innenbauteile &amp; Aussenbauteile'!G19</f>
        <v>C2.2</v>
      </c>
      <c r="AQ5" s="95" t="str">
        <f>'[1]Innenbauteile &amp; Aussenbauteile'!G29</f>
        <v>C2.2</v>
      </c>
      <c r="AR5" s="95" t="str">
        <f>'[1]Innenbauteile &amp; Aussenbauteile'!G36</f>
        <v>C2.2</v>
      </c>
      <c r="AS5" s="95" t="str">
        <f>'[1]Innenbauteile &amp; Aussenbauteile'!G46</f>
        <v>C4.1</v>
      </c>
      <c r="AT5" s="95" t="str">
        <f>'[1]Innenbauteile &amp; Aussenbauteile'!G54</f>
        <v>C4.1</v>
      </c>
      <c r="AU5" s="95" t="str">
        <f>'[1]Innenbauteile &amp; Aussenbauteile'!G64</f>
        <v>C4.1</v>
      </c>
      <c r="AV5" s="95" t="str">
        <f>'[1]Innenbauteile &amp; Aussenbauteile'!G73</f>
        <v>G4.1</v>
      </c>
      <c r="AW5" s="95" t="str">
        <f>'[1]Innenbauteile &amp; Aussenbauteile'!G77</f>
        <v>G4.1</v>
      </c>
      <c r="AX5" s="95" t="str">
        <f>'[1]Innenbauteile &amp; Aussenbauteile'!G83</f>
        <v>G4.2</v>
      </c>
      <c r="AY5" s="95" t="str">
        <f>'[1]Innenbauteile &amp; Aussenbauteile'!G93</f>
        <v>G2.2</v>
      </c>
      <c r="AZ5" s="95" t="str">
        <f>'[1]Innenbauteile &amp; Aussenbauteile'!G97</f>
        <v>G2.2</v>
      </c>
      <c r="BA5" s="95" t="str">
        <f>'[1]Innenbauteile &amp; Aussenbauteile'!G104</f>
        <v>G2.2</v>
      </c>
      <c r="BB5" s="95" t="str">
        <f>'[1]Innenbauteile &amp; Aussenbauteile'!G111</f>
        <v>G2.2</v>
      </c>
      <c r="BC5" s="95" t="str">
        <f>'[1]Innenbauteile &amp; Aussenbauteile'!G124</f>
        <v>C4.3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5">
      <c r="B6" s="95" t="str">
        <f>'[1]Gebäudehülle u.T.'!G5</f>
        <v>C1.5</v>
      </c>
      <c r="C6" s="95" t="str">
        <f>'[1]Gebäudehülle u.T.'!G10</f>
        <v>C1.5</v>
      </c>
      <c r="D6" s="95" t="str">
        <f>'[1]Gebäudehülle u.T.'!G10</f>
        <v>C1.5</v>
      </c>
      <c r="E6" s="95" t="str">
        <f>'[1]Gebäudehülle u.T.'!G24</f>
        <v>C2.1</v>
      </c>
      <c r="F6" s="95" t="str">
        <f>'[1]Gebäudehülle u.T.'!G24</f>
        <v>C2.1</v>
      </c>
      <c r="G6" s="95" t="str">
        <f>'[1]Gebäudehülle u.T.'!G36</f>
        <v>C2.1</v>
      </c>
      <c r="H6" s="95" t="str">
        <f>'[1]Gebäudehülle u.T.'!G48</f>
        <v>C4.4</v>
      </c>
      <c r="I6" s="95" t="str">
        <f>'[1]Gebäudehülle u.T.'!G57</f>
        <v>C4.4</v>
      </c>
      <c r="J6" s="95" t="str">
        <f>'[1]Gebäudehülle u.T.'!G68</f>
        <v>C4.4</v>
      </c>
      <c r="K6" s="95" t="str">
        <f>'[1]Gebäudehülle über Terrain'!G5</f>
        <v>C2.1</v>
      </c>
      <c r="L6" s="95" t="str">
        <f>'[1]Gebäudehülle über Terrain'!G13</f>
        <v>C2.1</v>
      </c>
      <c r="M6" s="95" t="str">
        <f>'[1]Gebäudehülle über Terrain'!G20</f>
        <v>G3.1</v>
      </c>
      <c r="N6" s="95" t="str">
        <f>'[1]Gebäudehülle über Terrain'!G28</f>
        <v>C3.1</v>
      </c>
      <c r="O6" s="95" t="str">
        <f>'[1]Gebäudehülle über Terrain'!G33</f>
        <v>C3.1</v>
      </c>
      <c r="P6" s="95" t="str">
        <f>'[1]Gebäudehülle über Terrain'!G41</f>
        <v>C2.1</v>
      </c>
      <c r="Q6" s="95" t="str">
        <f>'[1]Gebäudehülle über Terrain'!G51</f>
        <v>E2.1</v>
      </c>
      <c r="R6" s="95" t="str">
        <f>'[1]Gebäudehülle über Terrain'!G56</f>
        <v>E2.2</v>
      </c>
      <c r="S6" s="95" t="str">
        <f>'[1]Gebäudehülle über Terrain'!G65</f>
        <v>E2.2</v>
      </c>
      <c r="T6" s="95" t="str">
        <f>'[1]Gebäudehülle über Terrain'!G77</f>
        <v>E2.1</v>
      </c>
      <c r="U6" s="95" t="str">
        <f>'[1]Gebäudehülle über Terrain'!G87</f>
        <v>E2.4</v>
      </c>
      <c r="V6" s="95" t="str">
        <f>'[1]Gebäudehülle über Terrain'!G96</f>
        <v>E2.4</v>
      </c>
      <c r="W6" s="95" t="str">
        <f>'[1]Gebäudehülle über Terrain'!G106</f>
        <v>E2.4</v>
      </c>
      <c r="X6" s="95" t="str">
        <f>'[1]Gebäudehülle über Terrain'!G114</f>
        <v>E2.4</v>
      </c>
      <c r="Y6" s="95" t="str">
        <f>'[1]Gebäudehülle über Terrain'!G124</f>
        <v>E2.4</v>
      </c>
      <c r="Z6" s="95" t="str">
        <f>'[1]Gebäudehülle über Terrain'!G131</f>
        <v>E3.3</v>
      </c>
      <c r="AA6" s="95" t="str">
        <f>'[1]Gebäudehülle über Terrain'!G138</f>
        <v>E3.1</v>
      </c>
      <c r="AB6" s="95" t="str">
        <f>'[1]Gebäudehülle über Terrain'!G145</f>
        <v>C4.4</v>
      </c>
      <c r="AC6" s="95" t="str">
        <f>'[1]Gebäudehülle über Terrain'!G153</f>
        <v>C4.4</v>
      </c>
      <c r="AD6" s="95" t="str">
        <f>'[1]Gebäudehülle über Terrain'!G161</f>
        <v>C4.4</v>
      </c>
      <c r="AE6" s="95" t="str">
        <f>'[1]Gebäudehülle über Terrain'!G167</f>
        <v>C4.4</v>
      </c>
      <c r="AF6" s="95" t="str">
        <f>'[1]Gebäudehülle über Terrain'!G175</f>
        <v>C4.4</v>
      </c>
      <c r="AG6" s="95" t="str">
        <f>'[1]Gebäudehülle über Terrain'!G186</f>
        <v>F1.2</v>
      </c>
      <c r="AH6" s="95" t="str">
        <f>'[1]Gebäudehülle über Terrain'!G195</f>
        <v>F1.2</v>
      </c>
      <c r="AI6" s="95" t="str">
        <f>'[1]Gebäudehülle über Terrain'!G204</f>
        <v>F1.2</v>
      </c>
      <c r="AJ6" s="97" t="str">
        <f>'[1]Gebäudehülle über Terrain'!G216</f>
        <v>F1.2</v>
      </c>
      <c r="AK6" s="97" t="str">
        <f>'[1]Gebäudehülle über Terrain'!G224</f>
        <v>F1.3</v>
      </c>
      <c r="AL6" s="97" t="str">
        <f>'[1]Gebäudehülle über Terrain'!G232</f>
        <v>F1.3</v>
      </c>
      <c r="AM6" s="97" t="str">
        <f>'[1]Gebäudehülle über Terrain'!G243</f>
        <v>F1.3</v>
      </c>
      <c r="AN6" s="95" t="str">
        <f>'[1]Innenbauteile &amp; Aussenbauteile'!G5</f>
        <v>C2.2</v>
      </c>
      <c r="AO6" s="95" t="str">
        <f>'[1]Innenbauteile &amp; Aussenbauteile'!G13</f>
        <v>C2.2</v>
      </c>
      <c r="AP6" s="95" t="str">
        <f>'[1]Innenbauteile &amp; Aussenbauteile'!G20</f>
        <v>C2.2</v>
      </c>
      <c r="AQ6" s="95" t="str">
        <f>'[1]Innenbauteile &amp; Aussenbauteile'!G30</f>
        <v>C2.2</v>
      </c>
      <c r="AR6" s="95" t="str">
        <f>'[1]Innenbauteile &amp; Aussenbauteile'!G37</f>
        <v>C2.2</v>
      </c>
      <c r="AS6" s="95" t="str">
        <f>'[1]Innenbauteile &amp; Aussenbauteile'!G47</f>
        <v>C4.1</v>
      </c>
      <c r="AT6" s="95" t="str">
        <f>'[1]Innenbauteile &amp; Aussenbauteile'!G55</f>
        <v>C4.1</v>
      </c>
      <c r="AU6" s="95" t="str">
        <f>'[1]Innenbauteile &amp; Aussenbauteile'!G65</f>
        <v>C4.1</v>
      </c>
      <c r="AV6" s="95" t="str">
        <f>'[1]Innenbauteile &amp; Aussenbauteile'!G74</f>
        <v>G4.1</v>
      </c>
      <c r="AW6" s="95" t="str">
        <f>'[1]Innenbauteile &amp; Aussenbauteile'!G78</f>
        <v>G4.1</v>
      </c>
      <c r="AX6" s="95" t="str">
        <f>'[1]Innenbauteile &amp; Aussenbauteile'!G84</f>
        <v>G4.2</v>
      </c>
      <c r="AY6" s="95" t="str">
        <f>'[1]Innenbauteile &amp; Aussenbauteile'!G94</f>
        <v>G2.2</v>
      </c>
      <c r="AZ6" s="95" t="str">
        <f>'[1]Innenbauteile &amp; Aussenbauteile'!G98</f>
        <v>G2.2</v>
      </c>
      <c r="BA6" s="95" t="str">
        <f>'[1]Innenbauteile &amp; Aussenbauteile'!G105</f>
        <v>G2.2</v>
      </c>
      <c r="BB6" s="95" t="str">
        <f>'[1]Innenbauteile &amp; Aussenbauteile'!G112</f>
        <v>G2.2</v>
      </c>
      <c r="BC6" s="95" t="str">
        <f>'[1]Innenbauteile &amp; Aussenbauteile'!G125</f>
        <v>C4.3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5">
      <c r="B7" s="95" t="str">
        <f>'[1]Gebäudehülle u.T.'!G6</f>
        <v>C1.5</v>
      </c>
      <c r="C7" s="95" t="str">
        <f>'[1]Gebäudehülle u.T.'!G11</f>
        <v>C1.5</v>
      </c>
      <c r="D7" s="95" t="str">
        <f>'[1]Gebäudehülle u.T.'!G11</f>
        <v>C1.5</v>
      </c>
      <c r="E7" s="95" t="str">
        <f>'[1]Gebäudehülle u.T.'!G25</f>
        <v>C2.1</v>
      </c>
      <c r="F7" s="95" t="str">
        <f>'[1]Gebäudehülle u.T.'!G25</f>
        <v>C2.1</v>
      </c>
      <c r="G7" s="95" t="str">
        <f>'[1]Gebäudehülle u.T.'!G37</f>
        <v>C2.1</v>
      </c>
      <c r="H7" s="95" t="str">
        <f>'[1]Gebäudehülle u.T.'!G49</f>
        <v>C4.4</v>
      </c>
      <c r="I7" s="95" t="str">
        <f>'[1]Gebäudehülle u.T.'!G58</f>
        <v>C4.4</v>
      </c>
      <c r="J7" s="95" t="str">
        <f>'[1]Gebäudehülle u.T.'!G69</f>
        <v>C4.4</v>
      </c>
      <c r="K7" s="95" t="str">
        <f>'[1]Gebäudehülle über Terrain'!G6</f>
        <v>C2.1</v>
      </c>
      <c r="L7" s="95" t="str">
        <f>'[1]Gebäudehülle über Terrain'!G14</f>
        <v>G3.1</v>
      </c>
      <c r="M7" s="95" t="str">
        <f>'[1]Gebäudehülle über Terrain'!G21</f>
        <v>G3.1</v>
      </c>
      <c r="N7" s="95" t="str">
        <f>'[1]Gebäudehülle über Terrain'!G29</f>
        <v>C3.1</v>
      </c>
      <c r="O7" s="95" t="str">
        <f>'[1]Gebäudehülle über Terrain'!G34</f>
        <v>C3.1</v>
      </c>
      <c r="P7" s="95" t="str">
        <f>'[1]Gebäudehülle über Terrain'!G42</f>
        <v>C2.1</v>
      </c>
      <c r="Q7" s="95" t="str">
        <f>'[1]Gebäudehülle über Terrain'!G52</f>
        <v>E2.1</v>
      </c>
      <c r="R7" s="95" t="str">
        <f>'[1]Gebäudehülle über Terrain'!G57</f>
        <v>E2.2</v>
      </c>
      <c r="S7" s="95" t="str">
        <f>'[1]Gebäudehülle über Terrain'!G66</f>
        <v>E2.2</v>
      </c>
      <c r="T7" s="95" t="str">
        <f>'[1]Gebäudehülle über Terrain'!G78</f>
        <v>E2.4</v>
      </c>
      <c r="U7" s="95" t="str">
        <f>'[1]Gebäudehülle über Terrain'!G88</f>
        <v>E2.4</v>
      </c>
      <c r="V7" s="95" t="str">
        <f>'[1]Gebäudehülle über Terrain'!G97</f>
        <v>E2.2</v>
      </c>
      <c r="W7" s="95" t="str">
        <f>'[1]Gebäudehülle über Terrain'!G107</f>
        <v>E2.2</v>
      </c>
      <c r="X7" s="95" t="str">
        <f>'[1]Gebäudehülle über Terrain'!G115</f>
        <v>E2.2</v>
      </c>
      <c r="Y7" s="95" t="str">
        <f>'[1]Gebäudehülle über Terrain'!G125</f>
        <v>E2.2</v>
      </c>
      <c r="Z7" s="95" t="str">
        <f>'[1]Gebäudehülle über Terrain'!G132</f>
        <v>E3.3</v>
      </c>
      <c r="AA7" s="95" t="str">
        <f>'[1]Gebäudehülle über Terrain'!G139</f>
        <v>E3.3</v>
      </c>
      <c r="AB7" s="95" t="str">
        <f>'[1]Gebäudehülle über Terrain'!G146</f>
        <v>C4.4</v>
      </c>
      <c r="AC7" s="95" t="str">
        <f>'[1]Gebäudehülle über Terrain'!G154</f>
        <v>C4.4</v>
      </c>
      <c r="AD7" s="95" t="str">
        <f>'[1]Gebäudehülle über Terrain'!G162</f>
        <v>C4.4</v>
      </c>
      <c r="AE7" s="95" t="str">
        <f>'[1]Gebäudehülle über Terrain'!G168</f>
        <v>G4.1</v>
      </c>
      <c r="AF7" s="95" t="str">
        <f>'[1]Gebäudehülle über Terrain'!G176</f>
        <v>C4.4</v>
      </c>
      <c r="AG7" s="95" t="str">
        <f>'[1]Gebäudehülle über Terrain'!G187</f>
        <v>F1.2</v>
      </c>
      <c r="AH7" s="95" t="str">
        <f>'[1]Gebäudehülle über Terrain'!G196</f>
        <v>F1.2</v>
      </c>
      <c r="AI7" s="95" t="str">
        <f>'[1]Gebäudehülle über Terrain'!G205</f>
        <v>F1.2</v>
      </c>
      <c r="AJ7" s="97" t="str">
        <f>'[1]Gebäudehülle über Terrain'!G217</f>
        <v>F1.2</v>
      </c>
      <c r="AK7" s="97" t="str">
        <f>'[1]Gebäudehülle über Terrain'!G225</f>
        <v>F1.3</v>
      </c>
      <c r="AL7" s="97" t="str">
        <f>'[1]Gebäudehülle über Terrain'!G233</f>
        <v>F1.3</v>
      </c>
      <c r="AM7" s="97" t="str">
        <f>'[1]Gebäudehülle über Terrain'!G244</f>
        <v>F1.3</v>
      </c>
      <c r="AN7" s="95" t="str">
        <f>'[1]Innenbauteile &amp; Aussenbauteile'!G6</f>
        <v>C2.2</v>
      </c>
      <c r="AO7" s="95" t="str">
        <f>'[1]Innenbauteile &amp; Aussenbauteile'!G14</f>
        <v>G3.1</v>
      </c>
      <c r="AP7" s="95" t="str">
        <f>'[1]Innenbauteile &amp; Aussenbauteile'!G21</f>
        <v>G3.1</v>
      </c>
      <c r="AQ7" s="95" t="str">
        <f>'[1]Innenbauteile &amp; Aussenbauteile'!G31</f>
        <v>C2.2</v>
      </c>
      <c r="AR7" s="95" t="str">
        <f>'[1]Innenbauteile &amp; Aussenbauteile'!G38</f>
        <v>C2.2</v>
      </c>
      <c r="AS7" s="95" t="str">
        <f>'[1]Innenbauteile &amp; Aussenbauteile'!G48</f>
        <v>C4.1</v>
      </c>
      <c r="AT7" s="95" t="str">
        <f>'[1]Innenbauteile &amp; Aussenbauteile'!G56</f>
        <v>C4.1</v>
      </c>
      <c r="AU7" s="95" t="str">
        <f>'[1]Innenbauteile &amp; Aussenbauteile'!G66</f>
        <v>C4.1</v>
      </c>
      <c r="AV7" s="95"/>
      <c r="AW7" s="95" t="str">
        <f>'[1]Innenbauteile &amp; Aussenbauteile'!G79</f>
        <v>G4.2</v>
      </c>
      <c r="AX7" s="95" t="str">
        <f>'[1]Innenbauteile &amp; Aussenbauteile'!G85</f>
        <v>G4.2</v>
      </c>
      <c r="AY7" s="95"/>
      <c r="AZ7" s="95"/>
      <c r="BA7" s="95" t="str">
        <f>'[1]Innenbauteile &amp; Aussenbauteile'!G106</f>
        <v>G2.1</v>
      </c>
      <c r="BB7" s="95" t="str">
        <f>'[1]Innenbauteile &amp; Aussenbauteile'!G113</f>
        <v>G2.1</v>
      </c>
      <c r="BC7" s="95" t="str">
        <f>'[1]Innenbauteile &amp; Aussenbauteile'!G126</f>
        <v>C4.3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5">
      <c r="B8" s="95">
        <v>0</v>
      </c>
      <c r="C8" s="95" t="str">
        <f>'[1]Gebäudehülle u.T.'!G12</f>
        <v>C1.2</v>
      </c>
      <c r="D8" s="95" t="str">
        <f>'[1]Gebäudehülle u.T.'!G12</f>
        <v>C1.2</v>
      </c>
      <c r="E8" s="95" t="str">
        <f>'[1]Gebäudehülle u.T.'!G26</f>
        <v>E1.3</v>
      </c>
      <c r="F8" s="95" t="str">
        <f>'[1]Gebäudehülle u.T.'!G26</f>
        <v>E1.3</v>
      </c>
      <c r="G8" s="95" t="str">
        <f>'[1]Gebäudehülle u.T.'!G38</f>
        <v>E1.3</v>
      </c>
      <c r="H8" s="95" t="str">
        <f>'[1]Gebäudehülle u.T.'!G50</f>
        <v>F1.1</v>
      </c>
      <c r="I8" s="95" t="str">
        <f>'[1]Gebäudehülle u.T.'!G59</f>
        <v>F1.1</v>
      </c>
      <c r="J8" s="95" t="str">
        <f>'[1]Gebäudehülle u.T.'!G70</f>
        <v>F1.1</v>
      </c>
      <c r="K8" s="95" t="str">
        <f>'[1]Gebäudehülle über Terrain'!G7</f>
        <v>G3.1</v>
      </c>
      <c r="L8" s="95" t="str">
        <f>'[1]Gebäudehülle über Terrain'!G15</f>
        <v>G3.2</v>
      </c>
      <c r="M8" s="95" t="str">
        <f>'[1]Gebäudehülle über Terrain'!G22</f>
        <v>G3.2</v>
      </c>
      <c r="N8" s="95"/>
      <c r="O8" s="95"/>
      <c r="P8" s="95" t="str">
        <f>'[1]Gebäudehülle über Terrain'!G43</f>
        <v>G3.1</v>
      </c>
      <c r="Q8" s="95"/>
      <c r="R8" s="95" t="str">
        <f>'[1]Gebäudehülle über Terrain'!G58</f>
        <v>E2.1</v>
      </c>
      <c r="S8" s="95" t="str">
        <f>'[1]Gebäudehülle über Terrain'!G67</f>
        <v>E2.1</v>
      </c>
      <c r="T8" s="95" t="str">
        <f>'[1]Gebäudehülle über Terrain'!G79</f>
        <v>E2.4</v>
      </c>
      <c r="U8" s="95" t="str">
        <f>'[1]Gebäudehülle über Terrain'!G89</f>
        <v>E2.4</v>
      </c>
      <c r="V8" s="95" t="str">
        <f>'[1]Gebäudehülle über Terrain'!G98</f>
        <v>E2.2</v>
      </c>
      <c r="W8" s="95" t="str">
        <f>'[1]Gebäudehülle über Terrain'!G108</f>
        <v>E2.2</v>
      </c>
      <c r="X8" s="95" t="str">
        <f>'[1]Gebäudehülle über Terrain'!G116</f>
        <v>E2.2</v>
      </c>
      <c r="Y8" s="95" t="str">
        <f>'[1]Gebäudehülle über Terrain'!G126</f>
        <v>E2.2</v>
      </c>
      <c r="Z8" s="95"/>
      <c r="AA8" s="95"/>
      <c r="AB8" s="95" t="str">
        <f>'[1]Gebäudehülle über Terrain'!G147</f>
        <v>G4.1</v>
      </c>
      <c r="AC8" s="95" t="str">
        <f>'[1]Gebäudehülle über Terrain'!G155</f>
        <v>G4.1</v>
      </c>
      <c r="AD8" s="95" t="str">
        <f>'[1]Gebäudehülle über Terrain'!G163</f>
        <v>C4.4</v>
      </c>
      <c r="AE8" s="95" t="str">
        <f>'[1]Gebäudehülle über Terrain'!G169</f>
        <v>G4.1</v>
      </c>
      <c r="AF8" s="95" t="str">
        <f>'[1]Gebäudehülle über Terrain'!G177</f>
        <v>G4.1</v>
      </c>
      <c r="AG8" s="95" t="str">
        <f>'[1]Gebäudehülle über Terrain'!G188</f>
        <v>F1.2</v>
      </c>
      <c r="AH8" s="95" t="str">
        <f>'[1]Gebäudehülle über Terrain'!G197</f>
        <v>F1.2</v>
      </c>
      <c r="AI8" s="95" t="str">
        <f>'[1]Gebäudehülle über Terrain'!G206</f>
        <v>F1.2</v>
      </c>
      <c r="AJ8" s="97" t="str">
        <f>'[1]Gebäudehülle über Terrain'!G218</f>
        <v>F1.2</v>
      </c>
      <c r="AK8" s="97" t="str">
        <f>'[1]Gebäudehülle über Terrain'!G226</f>
        <v>F1.3</v>
      </c>
      <c r="AL8" s="97" t="str">
        <f>'[1]Gebäudehülle über Terrain'!G234</f>
        <v>F1.3</v>
      </c>
      <c r="AM8" s="97" t="str">
        <f>'[1]Gebäudehülle über Terrain'!G245</f>
        <v>F1.3</v>
      </c>
      <c r="AN8" s="95" t="str">
        <f>'[1]Innenbauteile &amp; Aussenbauteile'!G7</f>
        <v>G3.1</v>
      </c>
      <c r="AO8" s="95" t="str">
        <f>'[1]Innenbauteile &amp; Aussenbauteile'!G15</f>
        <v>G3.2</v>
      </c>
      <c r="AP8" s="95" t="str">
        <f>'[1]Innenbauteile &amp; Aussenbauteile'!G22</f>
        <v>G3.2</v>
      </c>
      <c r="AQ8" s="95" t="str">
        <f>'[1]Innenbauteile &amp; Aussenbauteile'!G32</f>
        <v>G3.2</v>
      </c>
      <c r="AR8" s="95" t="str">
        <f>'[1]Innenbauteile &amp; Aussenbauteile'!G39</f>
        <v>G3.2</v>
      </c>
      <c r="AS8" s="95" t="str">
        <f>'[1]Innenbauteile &amp; Aussenbauteile'!G49</f>
        <v>G4.1</v>
      </c>
      <c r="AT8" s="95" t="str">
        <f>'[1]Innenbauteile &amp; Aussenbauteile'!G57</f>
        <v>G4.1</v>
      </c>
      <c r="AU8" s="95" t="str">
        <f>'[1]Innenbauteile &amp; Aussenbauteile'!G67</f>
        <v>G4.1</v>
      </c>
      <c r="AV8" s="95"/>
      <c r="AW8" s="95" t="str">
        <f>'[1]Innenbauteile &amp; Aussenbauteile'!G80</f>
        <v>G4.2</v>
      </c>
      <c r="AX8" s="95" t="str">
        <f>'[1]Innenbauteile &amp; Aussenbauteile'!G86</f>
        <v>G4.1</v>
      </c>
      <c r="AY8" s="95"/>
      <c r="AZ8" s="95"/>
      <c r="BA8" s="95" t="str">
        <f>'[1]Innenbauteile &amp; Aussenbauteile'!G107</f>
        <v>G2.1</v>
      </c>
      <c r="BB8" s="95" t="str">
        <f>'[1]Innenbauteile &amp; Aussenbauteile'!G114</f>
        <v>G2.1</v>
      </c>
      <c r="BC8" s="95" t="str">
        <f>'[1]Innenbauteile &amp; Aussenbauteile'!G127</f>
        <v>C4.3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5">
      <c r="B9" s="95">
        <v>0</v>
      </c>
      <c r="C9" s="92">
        <v>0</v>
      </c>
      <c r="D9" s="95">
        <v>0</v>
      </c>
      <c r="E9" s="95" t="str">
        <f>'[1]Gebäudehülle u.T.'!G27</f>
        <v>E1.3</v>
      </c>
      <c r="F9" s="95" t="str">
        <f>'[1]Gebäudehülle u.T.'!G27</f>
        <v>E1.3</v>
      </c>
      <c r="G9" s="95" t="str">
        <f>'[1]Gebäudehülle u.T.'!G39</f>
        <v>E1.3</v>
      </c>
      <c r="H9" s="95" t="str">
        <f>'[1]Gebäudehülle u.T.'!G51</f>
        <v>F1.1</v>
      </c>
      <c r="I9" s="95" t="str">
        <f>'[1]Gebäudehülle u.T.'!G60</f>
        <v>F1.1</v>
      </c>
      <c r="J9" s="95" t="str">
        <f>'[1]Gebäudehülle u.T.'!G71</f>
        <v>F1.1</v>
      </c>
      <c r="K9" s="95" t="str">
        <f>'[1]Gebäudehülle über Terrain'!G8</f>
        <v>G3.2</v>
      </c>
      <c r="L9" s="95" t="str">
        <f>'[1]Gebäudehülle über Terrain'!G16</f>
        <v>G3.2</v>
      </c>
      <c r="M9" s="95" t="str">
        <f>'[1]Gebäudehülle über Terrain'!G23</f>
        <v>G3.2</v>
      </c>
      <c r="N9" s="95"/>
      <c r="O9" s="95"/>
      <c r="P9" s="95" t="str">
        <f>'[1]Gebäudehülle über Terrain'!G44</f>
        <v>G3.2</v>
      </c>
      <c r="Q9" s="95"/>
      <c r="R9" s="95" t="str">
        <f>'[1]Gebäudehülle über Terrain'!G59</f>
        <v>E2.1</v>
      </c>
      <c r="S9" s="95" t="str">
        <f>'[1]Gebäudehülle über Terrain'!G68</f>
        <v>E2.1</v>
      </c>
      <c r="T9" s="95" t="str">
        <f>'[1]Gebäudehülle über Terrain'!G80</f>
        <v>E2.4</v>
      </c>
      <c r="U9" s="95" t="str">
        <f>'[1]Gebäudehülle über Terrain'!G90</f>
        <v>E2.2</v>
      </c>
      <c r="V9" s="95" t="str">
        <f>'[1]Gebäudehülle über Terrain'!G99</f>
        <v>E2.1</v>
      </c>
      <c r="W9" s="95" t="str">
        <f>'[1]Gebäudehülle über Terrain'!G109</f>
        <v>E2.1</v>
      </c>
      <c r="X9" s="95" t="str">
        <f>'[1]Gebäudehülle über Terrain'!G117</f>
        <v>E2.1</v>
      </c>
      <c r="Y9" s="95" t="str">
        <f>'[1]Gebäudehülle über Terrain'!G127</f>
        <v>E2.1</v>
      </c>
      <c r="Z9" s="95"/>
      <c r="AA9" s="95"/>
      <c r="AB9" s="95" t="str">
        <f>'[1]Gebäudehülle über Terrain'!G148</f>
        <v>G4.2</v>
      </c>
      <c r="AC9" s="95" t="str">
        <f>'[1]Gebäudehülle über Terrain'!G156</f>
        <v>G4.2</v>
      </c>
      <c r="AD9" s="95"/>
      <c r="AE9" s="95" t="str">
        <f>'[1]Gebäudehülle über Terrain'!G170</f>
        <v>G4.2</v>
      </c>
      <c r="AF9" s="95" t="str">
        <f>'[1]Gebäudehülle über Terrain'!G178</f>
        <v>G4.1</v>
      </c>
      <c r="AG9" s="95" t="str">
        <f>'[1]Gebäudehülle über Terrain'!G189</f>
        <v>F1.2</v>
      </c>
      <c r="AH9" s="95" t="str">
        <f>'[1]Gebäudehülle über Terrain'!G198</f>
        <v>F1.2</v>
      </c>
      <c r="AI9" s="95" t="str">
        <f>'[1]Gebäudehülle über Terrain'!G207</f>
        <v>F1.2</v>
      </c>
      <c r="AJ9" s="97" t="str">
        <f>'[1]Gebäudehülle über Terrain'!G219</f>
        <v>F1.2</v>
      </c>
      <c r="AK9" s="97" t="str">
        <f>'[1]Gebäudehülle über Terrain'!G227</f>
        <v>F1.3</v>
      </c>
      <c r="AL9" s="97" t="str">
        <f>'[1]Gebäudehülle über Terrain'!G235</f>
        <v>F1.3</v>
      </c>
      <c r="AM9" s="92"/>
      <c r="AN9" s="95" t="str">
        <f>'[1]Innenbauteile &amp; Aussenbauteile'!G8</f>
        <v>G3.2</v>
      </c>
      <c r="AO9" s="95" t="str">
        <f>'[1]Innenbauteile &amp; Aussenbauteile'!G16</f>
        <v>G3.2</v>
      </c>
      <c r="AP9" s="95" t="str">
        <f>'[1]Innenbauteile &amp; Aussenbauteile'!G23</f>
        <v>G3.2</v>
      </c>
      <c r="AQ9" s="95" t="str">
        <f>'[1]Innenbauteile &amp; Aussenbauteile'!G33</f>
        <v>G3.2</v>
      </c>
      <c r="AR9" s="95" t="str">
        <f>'[1]Innenbauteile &amp; Aussenbauteile'!G40</f>
        <v>G3.2</v>
      </c>
      <c r="AS9" s="95" t="str">
        <f>'[1]Innenbauteile &amp; Aussenbauteile'!G50</f>
        <v>G4.2</v>
      </c>
      <c r="AT9" s="95" t="str">
        <f>'[1]Innenbauteile &amp; Aussenbauteile'!G58</f>
        <v>G4.1</v>
      </c>
      <c r="AU9" s="95" t="str">
        <f>'[1]Innenbauteile &amp; Aussenbauteile'!G68</f>
        <v>G4.1</v>
      </c>
      <c r="AV9" s="95"/>
      <c r="AW9" s="95"/>
      <c r="AX9" s="95"/>
      <c r="AY9" s="95"/>
      <c r="AZ9" s="95"/>
      <c r="BA9" s="95" t="str">
        <f>'[1]Innenbauteile &amp; Aussenbauteile'!G108</f>
        <v>G2.1</v>
      </c>
      <c r="BB9" s="95" t="str">
        <f>'[1]Innenbauteile &amp; Aussenbauteile'!G115</f>
        <v>G2.1</v>
      </c>
      <c r="BC9" s="95" t="str">
        <f>'[1]Innenbauteile &amp; Aussenbauteile'!G128</f>
        <v>C4.3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5">
      <c r="B10" s="95">
        <v>0</v>
      </c>
      <c r="C10" s="92">
        <v>0</v>
      </c>
      <c r="D10" s="95">
        <v>0</v>
      </c>
      <c r="E10" s="92"/>
      <c r="F10" s="95" t="str">
        <f>'[1]Gebäudehülle u.T.'!G31</f>
        <v>E1.2</v>
      </c>
      <c r="G10" s="95" t="str">
        <f>'[1]Gebäudehülle u.T.'!G40</f>
        <v>E1.2</v>
      </c>
      <c r="H10" s="95" t="str">
        <f>'[1]Gebäudehülle u.T.'!G52</f>
        <v>F1.1</v>
      </c>
      <c r="I10" s="95" t="str">
        <f>'[1]Gebäudehülle u.T.'!G61</f>
        <v>F1.1</v>
      </c>
      <c r="J10" s="95" t="str">
        <f>'[1]Gebäudehülle u.T.'!G72</f>
        <v>F1.1</v>
      </c>
      <c r="K10" s="95" t="str">
        <f>'[1]Gebäudehülle über Terrain'!G9</f>
        <v>G3.2</v>
      </c>
      <c r="L10" s="95"/>
      <c r="M10" s="95"/>
      <c r="N10" s="95"/>
      <c r="O10" s="95"/>
      <c r="P10" s="95" t="str">
        <f>'[1]Gebäudehülle über Terrain'!G45</f>
        <v>G3.2</v>
      </c>
      <c r="Q10" s="95"/>
      <c r="R10" s="95" t="str">
        <f>'[1]Gebäudehülle über Terrain'!G60</f>
        <v>E2.1</v>
      </c>
      <c r="S10" s="95" t="str">
        <f>'[1]Gebäudehülle über Terrain'!G69</f>
        <v>E2.1</v>
      </c>
      <c r="T10" s="95" t="str">
        <f>'[1]Gebäudehülle über Terrain'!G81</f>
        <v>E2.2</v>
      </c>
      <c r="U10" s="95" t="str">
        <f>'[1]Gebäudehülle über Terrain'!G91</f>
        <v>E2.2</v>
      </c>
      <c r="V10" s="95"/>
      <c r="W10" s="95"/>
      <c r="X10" s="95"/>
      <c r="Y10" s="95"/>
      <c r="Z10" s="95"/>
      <c r="AA10" s="95"/>
      <c r="AB10" s="95" t="str">
        <f>'[1]Gebäudehülle über Terrain'!G149</f>
        <v>G4.2</v>
      </c>
      <c r="AC10" s="95" t="str">
        <f>'[1]Gebäudehülle über Terrain'!G157</f>
        <v>G4.2</v>
      </c>
      <c r="AD10" s="95"/>
      <c r="AE10" s="95" t="str">
        <f>'[1]Gebäudehülle über Terrain'!G171</f>
        <v>G4.2</v>
      </c>
      <c r="AF10" s="95" t="str">
        <f>'[1]Gebäudehülle über Terrain'!G179</f>
        <v>G4.2</v>
      </c>
      <c r="AG10" s="95" t="str">
        <f>'[1]Gebäudehülle über Terrain'!G190</f>
        <v>F1.2</v>
      </c>
      <c r="AH10" s="95" t="str">
        <f>'[1]Gebäudehülle über Terrain'!G199</f>
        <v>F1.2</v>
      </c>
      <c r="AI10" s="95" t="str">
        <f>'[1]Gebäudehülle über Terrain'!G208</f>
        <v>F1.2</v>
      </c>
      <c r="AJ10" s="92"/>
      <c r="AK10" s="97" t="str">
        <f>'[1]Gebäudehülle über Terrain'!G228</f>
        <v>F1.3</v>
      </c>
      <c r="AL10" s="97" t="str">
        <f>'[1]Gebäudehülle über Terrain'!G236</f>
        <v>F1.3</v>
      </c>
      <c r="AM10" s="92"/>
      <c r="AN10" s="95" t="str">
        <f>'[1]Innenbauteile &amp; Aussenbauteile'!G9</f>
        <v>G3.2</v>
      </c>
      <c r="AO10" s="95"/>
      <c r="AP10" s="95"/>
      <c r="AQ10" s="95"/>
      <c r="AR10" s="95"/>
      <c r="AS10" s="95" t="str">
        <f>'[1]Innenbauteile &amp; Aussenbauteile'!G51</f>
        <v>G4.2</v>
      </c>
      <c r="AT10" s="95" t="str">
        <f>'[1]Innenbauteile &amp; Aussenbauteile'!G59</f>
        <v>G4.2</v>
      </c>
      <c r="AU10" s="95" t="str">
        <f>'[1]Innenbauteile &amp; Aussenbauteile'!G69</f>
        <v>G4.2</v>
      </c>
      <c r="AV10" s="95"/>
      <c r="AW10" s="95"/>
      <c r="AX10" s="95"/>
      <c r="AY10" s="95"/>
      <c r="AZ10" s="95"/>
      <c r="BA10" s="95"/>
      <c r="BB10" s="95"/>
      <c r="BC10" s="95" t="str">
        <f>'[1]Innenbauteile &amp; Aussenbauteile'!G129</f>
        <v>G2.2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5">
      <c r="B11" s="95">
        <v>0</v>
      </c>
      <c r="C11" s="92">
        <v>0</v>
      </c>
      <c r="D11" s="95">
        <v>0</v>
      </c>
      <c r="E11" s="92"/>
      <c r="F11" s="95" t="str">
        <f>'[1]Gebäudehülle u.T.'!G32</f>
        <v>E1.2</v>
      </c>
      <c r="G11" s="95" t="str">
        <f>'[1]Gebäudehülle u.T.'!G41</f>
        <v>E1.2</v>
      </c>
      <c r="H11" s="95" t="str">
        <f>'[1]Gebäudehülle u.T.'!G53</f>
        <v>F1.2</v>
      </c>
      <c r="I11" s="95" t="str">
        <f>'[1]Gebäudehülle u.T.'!G62</f>
        <v>F1.1</v>
      </c>
      <c r="J11" s="95" t="str">
        <f>'[1]Gebäudehülle u.T.'!G73</f>
        <v>F1.1</v>
      </c>
      <c r="K11" s="95"/>
      <c r="L11" s="95"/>
      <c r="M11" s="95"/>
      <c r="N11" s="95"/>
      <c r="O11" s="95"/>
      <c r="P11" s="95"/>
      <c r="Q11" s="95"/>
      <c r="R11" s="95" t="str">
        <f>'[1]Gebäudehülle über Terrain'!G61</f>
        <v>E2.1</v>
      </c>
      <c r="S11" s="95" t="str">
        <f>'[1]Gebäudehülle über Terrain'!G70</f>
        <v>E2.1</v>
      </c>
      <c r="T11" s="95" t="str">
        <f>'[1]Gebäudehülle über Terrain'!G82</f>
        <v>E2.2</v>
      </c>
      <c r="U11" s="95" t="str">
        <f>'[1]Gebäudehülle über Terrain'!G92</f>
        <v>E2.1</v>
      </c>
      <c r="V11" s="95"/>
      <c r="W11" s="95"/>
      <c r="X11" s="95"/>
      <c r="Y11" s="95"/>
      <c r="Z11" s="95"/>
      <c r="AA11" s="95"/>
      <c r="AB11" s="95"/>
      <c r="AC11" s="95"/>
      <c r="AD11" s="92"/>
      <c r="AE11" s="92"/>
      <c r="AF11" s="95" t="str">
        <f>'[1]Gebäudehülle über Terrain'!G180</f>
        <v>G4.2</v>
      </c>
      <c r="AG11" s="95" t="str">
        <f>'[1]Gebäudehülle über Terrain'!G191</f>
        <v>F1.2</v>
      </c>
      <c r="AH11" s="95" t="str">
        <f>'[1]Gebäudehülle über Terrain'!G200</f>
        <v>F1.2</v>
      </c>
      <c r="AI11" s="95" t="str">
        <f>'[1]Gebäudehülle über Terrain'!G209</f>
        <v>F1.2</v>
      </c>
      <c r="AJ11" s="95"/>
      <c r="AK11" s="92"/>
      <c r="AL11" s="92"/>
      <c r="AM11" s="95"/>
      <c r="AN11" s="95"/>
      <c r="AO11" s="95"/>
      <c r="AP11" s="95"/>
      <c r="AQ11" s="95"/>
      <c r="AR11" s="92"/>
      <c r="AS11" s="92"/>
      <c r="AT11" s="95" t="str">
        <f>'[1]Innenbauteile &amp; Aussenbauteile'!G60</f>
        <v>G4.2</v>
      </c>
      <c r="AU11" s="95" t="str">
        <f>'[1]Innenbauteile &amp; Aussenbauteile'!G70</f>
        <v>G4.2</v>
      </c>
      <c r="AV11" s="95"/>
      <c r="AW11" s="95"/>
      <c r="AX11" s="95"/>
      <c r="AY11" s="95"/>
      <c r="AZ11" s="95"/>
      <c r="BA11" s="95"/>
      <c r="BB11" s="95"/>
      <c r="BC11" s="95" t="str">
        <f>'[1]Innenbauteile &amp; Aussenbauteile'!G130</f>
        <v>E2.6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5">
      <c r="B12" s="95">
        <v>0</v>
      </c>
      <c r="C12" s="92">
        <v>0</v>
      </c>
      <c r="D12" s="95">
        <v>0</v>
      </c>
      <c r="E12" s="92"/>
      <c r="F12" s="92"/>
      <c r="G12" s="92"/>
      <c r="H12" s="92"/>
      <c r="I12" s="95" t="str">
        <f>'[1]Gebäudehülle u.T.'!G63</f>
        <v>F1.1</v>
      </c>
      <c r="J12" s="95" t="str">
        <f>'[1]Gebäudehülle u.T.'!G74</f>
        <v>F1.1</v>
      </c>
      <c r="K12" s="95"/>
      <c r="L12" s="95"/>
      <c r="M12" s="95"/>
      <c r="N12" s="95"/>
      <c r="O12" s="95"/>
      <c r="P12" s="95"/>
      <c r="Q12" s="95"/>
      <c r="R12" s="95"/>
      <c r="S12" s="92"/>
      <c r="T12" s="95" t="str">
        <f>'[1]Gebäudehülle über Terrain'!G83</f>
        <v>E2.1</v>
      </c>
      <c r="U12" s="95"/>
      <c r="V12" s="95"/>
      <c r="W12" s="95"/>
      <c r="X12" s="95"/>
      <c r="Y12" s="95"/>
      <c r="Z12" s="95"/>
      <c r="AA12" s="95"/>
      <c r="AB12" s="95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2:63" x14ac:dyDescent="0.25">
      <c r="B13" s="95">
        <v>0</v>
      </c>
      <c r="C13" s="92">
        <v>0</v>
      </c>
      <c r="D13" s="95">
        <v>0</v>
      </c>
      <c r="E13" s="92"/>
      <c r="F13" s="92"/>
      <c r="G13" s="92"/>
      <c r="H13" s="92"/>
      <c r="I13" s="95" t="str">
        <f>'[1]Gebäudehülle u.T.'!G64</f>
        <v>F1.2</v>
      </c>
      <c r="J13" s="95" t="str">
        <f>'[1]Gebäudehülle u.T.'!G75</f>
        <v>F1.1</v>
      </c>
      <c r="K13" s="95"/>
      <c r="L13" s="95"/>
      <c r="M13" s="95"/>
      <c r="N13" s="95"/>
      <c r="O13" s="95"/>
      <c r="P13" s="95"/>
      <c r="Q13" s="95"/>
      <c r="R13" s="95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2:63" x14ac:dyDescent="0.25">
      <c r="B14" s="95">
        <v>0</v>
      </c>
      <c r="C14" s="92">
        <v>0</v>
      </c>
      <c r="D14" s="95">
        <v>0</v>
      </c>
      <c r="E14" s="92"/>
      <c r="F14" s="92"/>
      <c r="G14" s="92"/>
      <c r="H14" s="12"/>
      <c r="I14" s="12"/>
      <c r="J14" s="95" t="str">
        <f>'[1]Gebäudehülle u.T.'!G76</f>
        <v>F1.2</v>
      </c>
      <c r="K14" s="95"/>
      <c r="L14" s="95"/>
      <c r="M14" s="95"/>
      <c r="N14" s="95"/>
      <c r="O14" s="95"/>
      <c r="P14" s="95"/>
      <c r="Q14" s="95"/>
      <c r="R14" s="9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2:63" x14ac:dyDescent="0.2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2:63" x14ac:dyDescent="0.2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2:55" x14ac:dyDescent="0.25">
      <c r="B17" s="96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2:55" x14ac:dyDescent="0.25">
      <c r="D18" s="152"/>
      <c r="E18" s="152"/>
      <c r="F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</row>
    <row r="19" spans="2:55" x14ac:dyDescent="0.25">
      <c r="O19" s="32"/>
    </row>
    <row r="20" spans="2:55" x14ac:dyDescent="0.25">
      <c r="B20" t="str">
        <f>MID(B5,1,2)</f>
        <v>C1</v>
      </c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4">
    <tabColor theme="4" tint="-0.249977111117893"/>
  </sheetPr>
  <dimension ref="B1:BC21"/>
  <sheetViews>
    <sheetView topLeftCell="Y1" zoomScaleNormal="100" workbookViewId="0">
      <selection activeCell="AU7" sqref="AU7"/>
    </sheetView>
  </sheetViews>
  <sheetFormatPr defaultColWidth="10.85546875" defaultRowHeight="15" x14ac:dyDescent="0.25"/>
  <cols>
    <col min="2" max="2" width="35.42578125" bestFit="1" customWidth="1"/>
    <col min="3" max="4" width="35.42578125" customWidth="1"/>
    <col min="5" max="5" width="14.140625" bestFit="1" customWidth="1"/>
  </cols>
  <sheetData>
    <row r="1" spans="2:55" x14ac:dyDescent="0.25">
      <c r="B1" t="s">
        <v>183</v>
      </c>
      <c r="E1" t="s">
        <v>182</v>
      </c>
    </row>
    <row r="2" spans="2:55" x14ac:dyDescent="0.25">
      <c r="C2" s="36"/>
      <c r="D2" s="36"/>
    </row>
    <row r="3" spans="2:55" x14ac:dyDescent="0.2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5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5" x14ac:dyDescent="0.25">
      <c r="B5" s="32">
        <f>'[1]Gebäudehülle u.T.'!L4/B17</f>
        <v>9.8499999999999998E-4</v>
      </c>
      <c r="C5" s="32">
        <f>'[1]Gebäudehülle u.T.'!L4/B17</f>
        <v>9.8499999999999998E-4</v>
      </c>
      <c r="D5" s="32">
        <f>'[1]Gebäudehülle u.T.'!L4/B17</f>
        <v>9.8499999999999998E-4</v>
      </c>
      <c r="E5" s="32">
        <f>'[1]Gebäudehülle u.T.'!L23/B17</f>
        <v>1.6533333333333333E-3</v>
      </c>
      <c r="F5" s="32">
        <f>'[1]Gebäudehülle u.T.'!L23/B17</f>
        <v>1.6533333333333333E-3</v>
      </c>
      <c r="G5" s="32">
        <f>'[1]Gebäudehülle u.T.'!L35/B17</f>
        <v>1.6533333333333333E-3</v>
      </c>
      <c r="H5" s="32">
        <f>'[1]Gebäudehülle u.T.'!L47/B17</f>
        <v>1.6533333333333333E-3</v>
      </c>
      <c r="I5" s="32">
        <f>'[1]Gebäudehülle u.T.'!L56/B17</f>
        <v>1.6533333333333333E-3</v>
      </c>
      <c r="J5" s="32">
        <f>'[1]Gebäudehülle u.T.'!L67/B17</f>
        <v>1.6533333333333333E-3</v>
      </c>
      <c r="K5" s="32">
        <f>'[1]Gebäudehülle über Terrain'!L4/B17</f>
        <v>1.6533333333333333E-3</v>
      </c>
      <c r="L5" s="32">
        <f>'[1]Gebäudehülle über Terrain'!L12/B17</f>
        <v>4.3E-3</v>
      </c>
      <c r="M5" s="32">
        <f>'[1]Gebäudehülle über Terrain'!L19/B17</f>
        <v>1.6833333333333333E-3</v>
      </c>
      <c r="N5" s="32">
        <f>'[1]Gebäudehülle über Terrain'!L27/B17</f>
        <v>1.6533333333333333E-3</v>
      </c>
      <c r="O5" s="32">
        <f>'[1]Gebäudehülle über Terrain'!L32/B17</f>
        <v>2.8666666666666662E-3</v>
      </c>
      <c r="P5" s="32">
        <f>'[1]Gebäudehülle über Terrain'!L40/B17</f>
        <v>1.6833333333333332E-2</v>
      </c>
      <c r="Q5" s="32">
        <f>'[1]Gebäudehülle über Terrain'!L50/B15</f>
        <v>8.9666666666666679E-3</v>
      </c>
      <c r="R5" s="32">
        <f>'[1]Gebäudehülle über Terrain'!L55/B15</f>
        <v>1.3533333333333335E-2</v>
      </c>
      <c r="S5" s="32">
        <f>'[1]Gebäudehülle über Terrain'!L64/B15</f>
        <v>1.3533333333333335E-2</v>
      </c>
      <c r="T5" s="32">
        <f>'[1]Gebäudehülle über Terrain'!L76/B16</f>
        <v>3.5749999999999996E-3</v>
      </c>
      <c r="U5" s="32">
        <f>'[1]Gebäudehülle über Terrain'!L86/B16</f>
        <v>2.7250000000000003E-2</v>
      </c>
      <c r="V5" s="32">
        <f>'[1]Gebäudehülle über Terrain'!L95/B16</f>
        <v>8.3999999999999993E-4</v>
      </c>
      <c r="W5" s="32">
        <f>'[1]Gebäudehülle über Terrain'!L105/B16</f>
        <v>0.15598591549295776</v>
      </c>
      <c r="X5" s="32">
        <f>'[1]Gebäudehülle über Terrain'!L113/B16</f>
        <v>2.8999999999999998E-2</v>
      </c>
      <c r="Y5" s="32">
        <f>'[1]Gebäudehülle über Terrain'!L123/B16</f>
        <v>9.3749999999999997E-3</v>
      </c>
      <c r="Z5" s="32">
        <f>'[1]Gebäudehülle über Terrain'!L130/B16</f>
        <v>4.4249999999999998</v>
      </c>
      <c r="AA5" s="33">
        <f>'[1]Baumaterialien Matériaux'!$S$101/B15</f>
        <v>7.2333333333333334</v>
      </c>
      <c r="AB5" s="32">
        <f>'[1]Gebäudehülle über Terrain'!L144/B17</f>
        <v>1.6533333333333333E-3</v>
      </c>
      <c r="AC5" s="32">
        <f>'[1]Gebäudehülle über Terrain'!L152/B17</f>
        <v>1.6533333333333333E-3</v>
      </c>
      <c r="AD5" s="32">
        <f>'[1]Gebäudehülle über Terrain'!L160/B17</f>
        <v>1.6533333333333333E-3</v>
      </c>
      <c r="AE5" s="32">
        <f>'[1]Gebäudehülle über Terrain'!L166/B17</f>
        <v>8.7166666666666677E-3</v>
      </c>
      <c r="AF5" s="32">
        <f>'[1]Gebäudehülle über Terrain'!L174/B17</f>
        <v>2.3833333333333332E-3</v>
      </c>
      <c r="AG5" s="32">
        <f>'[1]Gebäudehülle über Terrain'!L185/B15</f>
        <v>0.25466666666666665</v>
      </c>
      <c r="AH5" s="32">
        <f>'[1]Gebäudehülle über Terrain'!L194/B15</f>
        <v>0.25066666666666665</v>
      </c>
      <c r="AI5" s="32">
        <f>'[1]Gebäudehülle über Terrain'!L203/B15</f>
        <v>3.7666666666666661E-2</v>
      </c>
      <c r="AJ5">
        <f>'[1]Baumaterialien Matériaux'!$S$260/B15</f>
        <v>2.3533333333333333E-2</v>
      </c>
      <c r="AK5">
        <f>'[1]Baumaterialien Matériaux'!$S$155/B16</f>
        <v>2.5250000000000003E-3</v>
      </c>
      <c r="AL5">
        <f>'[1]Baumaterialien Matériaux'!$S$155/B16</f>
        <v>2.5250000000000003E-3</v>
      </c>
      <c r="AM5">
        <f>'[1]Baumaterialien Matériaux'!$S$155/B16</f>
        <v>2.5250000000000003E-3</v>
      </c>
      <c r="AN5" s="32">
        <f>'[1]Innenbauteile &amp; Aussenbauteile'!L4/B17</f>
        <v>1.6533333333333333E-3</v>
      </c>
      <c r="AO5" s="32">
        <f>'[1]Innenbauteile &amp; Aussenbauteile'!L12/B17</f>
        <v>4.3E-3</v>
      </c>
      <c r="AP5" s="32">
        <f>'[1]Innenbauteile &amp; Aussenbauteile'!L19/B17</f>
        <v>2.3000000000000004E-3</v>
      </c>
      <c r="AQ5" s="32">
        <f>'[1]Innenbauteile &amp; Aussenbauteile'!L29/B15</f>
        <v>9.7666666666666666E-3</v>
      </c>
      <c r="AR5" s="32">
        <f>'[1]Innenbauteile &amp; Aussenbauteile'!L36/B15</f>
        <v>1.7900000000000003E-2</v>
      </c>
      <c r="AS5" s="32">
        <f>'[1]Innenbauteile &amp; Aussenbauteile'!L46/B17</f>
        <v>1.6533333333333333E-3</v>
      </c>
      <c r="AT5" s="32">
        <f>'[1]Innenbauteile &amp; Aussenbauteile'!L54/B17</f>
        <v>2.3833333333333332E-3</v>
      </c>
      <c r="AU5" s="32">
        <f>'[1]Innenbauteile &amp; Aussenbauteile'!L64/B17</f>
        <v>1.6533333333333333E-3</v>
      </c>
      <c r="AV5" s="32">
        <f>'[1]Innenbauteile &amp; Aussenbauteile'!L73/B15</f>
        <v>3.7666666666666661E-2</v>
      </c>
      <c r="AW5" s="32">
        <f>'[1]Innenbauteile &amp; Aussenbauteile'!L77/B15</f>
        <v>1.7900000000000003E-2</v>
      </c>
      <c r="AX5" s="32">
        <f>'[1]Innenbauteile &amp; Aussenbauteile'!L83/B15</f>
        <v>0.11699999999999999</v>
      </c>
      <c r="AY5" s="32">
        <f>'[1]Innenbauteile &amp; Aussenbauteile'!L93/B15</f>
        <v>7.3103448275862085E-2</v>
      </c>
      <c r="AZ5" s="32">
        <f>'[1]Innenbauteile &amp; Aussenbauteile'!L97/B15</f>
        <v>4.1038251366120222E-2</v>
      </c>
      <c r="BA5" s="32">
        <f>'[1]Innenbauteile &amp; Aussenbauteile'!L104/B15</f>
        <v>4.1038251366120222E-2</v>
      </c>
      <c r="BB5" s="32">
        <f>'[1]Innenbauteile &amp; Aussenbauteile'!L111/B15</f>
        <v>2.5925925925925925E-2</v>
      </c>
      <c r="BC5" s="32">
        <f>'[1]Innenbauteile &amp; Aussenbauteile'!L124/B16</f>
        <v>2.48E-3</v>
      </c>
    </row>
    <row r="6" spans="2:55" x14ac:dyDescent="0.25">
      <c r="B6" s="32">
        <f>'[1]Gebäudehülle u.T.'!L5/B17</f>
        <v>1.6533333333333333E-3</v>
      </c>
      <c r="C6" s="32">
        <f>'[1]Gebäudehülle u.T.'!L5/B17</f>
        <v>1.6533333333333333E-3</v>
      </c>
      <c r="D6" s="32">
        <f>'[1]Gebäudehülle u.T.'!L5/B17</f>
        <v>1.6533333333333333E-3</v>
      </c>
      <c r="E6" s="32">
        <f>'[1]Gebäudehülle u.T.'!L24/B17</f>
        <v>1.1366666666666667E-2</v>
      </c>
      <c r="F6" s="32">
        <f>'[1]Gebäudehülle u.T.'!L24/B17</f>
        <v>1.1366666666666667E-2</v>
      </c>
      <c r="G6" s="32">
        <f>'[1]Gebäudehülle u.T.'!L36/B17</f>
        <v>1.1366666666666667E-2</v>
      </c>
      <c r="H6" s="32">
        <f>'[1]Gebäudehülle u.T.'!L48/B17</f>
        <v>1.1366666666666667E-2</v>
      </c>
      <c r="I6" s="32">
        <f>'[1]Gebäudehülle u.T.'!L57/B17</f>
        <v>1.1366666666666667E-2</v>
      </c>
      <c r="J6" s="32">
        <f>'[1]Gebäudehülle u.T.'!L68/B17</f>
        <v>1.1366666666666667E-2</v>
      </c>
      <c r="K6" s="32">
        <f>'[1]Gebäudehülle über Terrain'!L5/B17</f>
        <v>1.1366666666666667E-2</v>
      </c>
      <c r="L6" s="32">
        <f>'[1]Gebäudehülle über Terrain'!L13/B17</f>
        <v>4.483333333333334E-3</v>
      </c>
      <c r="M6" s="32">
        <f>'[1]Gebäudehülle über Terrain'!L20/B15</f>
        <v>3.3666666666666667E-3</v>
      </c>
      <c r="N6" s="32">
        <f>'[1]Gebäudehülle über Terrain'!L28/B17</f>
        <v>1.1366666666666667E-2</v>
      </c>
      <c r="O6" s="32">
        <f>'[1]Gebäudehülle über Terrain'!L33/B17</f>
        <v>1.1366666666666667E-2</v>
      </c>
      <c r="P6" s="32">
        <f>'[1]Gebäudehülle über Terrain'!L41/B17</f>
        <v>4.3E-3</v>
      </c>
      <c r="Q6" s="32">
        <f>'[1]Gebäudehülle über Terrain'!L51/B15</f>
        <v>8.2333333333333338E-3</v>
      </c>
      <c r="R6" s="32">
        <f>'[1]Gebäudehülle über Terrain'!L56/B15</f>
        <v>3.7666666666666661E-2</v>
      </c>
      <c r="S6" s="32">
        <f>'[1]Gebäudehülle über Terrain'!L65/B15</f>
        <v>0.25466666666666665</v>
      </c>
      <c r="T6" s="32">
        <f>'[1]Gebäudehülle über Terrain'!L77/B16</f>
        <v>0.11333333333333336</v>
      </c>
      <c r="U6" s="32">
        <f>'[1]Gebäudehülle über Terrain'!L87/B16</f>
        <v>0.14274999999999999</v>
      </c>
      <c r="V6" s="32">
        <f>'[1]Gebäudehülle über Terrain'!L96/B16</f>
        <v>0.14274999999999999</v>
      </c>
      <c r="W6" s="32">
        <f>'[1]Gebäudehülle über Terrain'!L106/B16</f>
        <v>0.14274999999999999</v>
      </c>
      <c r="X6" s="32">
        <f>'[1]Gebäudehülle über Terrain'!L114/B16</f>
        <v>0.14274999999999999</v>
      </c>
      <c r="Y6" s="32">
        <f>'[1]Gebäudehülle über Terrain'!L124/B16</f>
        <v>9.4E-2</v>
      </c>
      <c r="Z6" s="32">
        <f>'[1]Gebäudehülle über Terrain'!L131/B16</f>
        <v>1.4350000000000001</v>
      </c>
      <c r="AA6">
        <f>'[1]Baumaterialien Matériaux'!$S$109/B15</f>
        <v>2.2266666666666666</v>
      </c>
      <c r="AB6" s="32">
        <f>'[1]Gebäudehülle über Terrain'!L145/B17</f>
        <v>1.1366666666666667E-2</v>
      </c>
      <c r="AC6" s="32">
        <f>'[1]Gebäudehülle über Terrain'!L153/B17</f>
        <v>1.1366666666666667E-2</v>
      </c>
      <c r="AD6" s="32">
        <f>'[1]Gebäudehülle über Terrain'!L161/B17</f>
        <v>1.1366666666666667E-2</v>
      </c>
      <c r="AE6" s="32">
        <f>'[1]Gebäudehülle über Terrain'!L167/B17</f>
        <v>2.3833333333333332E-3</v>
      </c>
      <c r="AF6" s="32">
        <f>'[1]Gebäudehülle über Terrain'!L175/B17</f>
        <v>2.4333333333333332E-2</v>
      </c>
      <c r="AG6" s="32">
        <f>'[1]Gebäudehülle über Terrain'!L186/B15</f>
        <v>0.11800000000000001</v>
      </c>
      <c r="AH6" s="32">
        <f>'[1]Gebäudehülle über Terrain'!L195/B15</f>
        <v>0.11800000000000001</v>
      </c>
      <c r="AI6" s="32">
        <f>'[1]Gebäudehülle über Terrain'!L204/B15</f>
        <v>0.11800000000000001</v>
      </c>
      <c r="AJ6" s="34">
        <f>'[1]Baumaterialien Matériaux'!$S$173/B15</f>
        <v>0.10833333333333334</v>
      </c>
      <c r="AK6" s="34">
        <f>'[1]Baumaterialien Matériaux'!$S$188/B16</f>
        <v>0.13825000000000001</v>
      </c>
      <c r="AL6" s="34">
        <f>'[1]Baumaterialien Matériaux'!$S$188/B16</f>
        <v>0.13825000000000001</v>
      </c>
      <c r="AM6" s="34">
        <f>'[1]Baumaterialien Matériaux'!$S$188/B16</f>
        <v>0.13825000000000001</v>
      </c>
      <c r="AN6" s="32">
        <f>'[1]Innenbauteile &amp; Aussenbauteile'!L5/B17</f>
        <v>1.1366666666666667E-2</v>
      </c>
      <c r="AO6" s="32">
        <f>'[1]Innenbauteile &amp; Aussenbauteile'!L13/B17</f>
        <v>4.483333333333334E-3</v>
      </c>
      <c r="AP6" s="32">
        <f>'[1]Innenbauteile &amp; Aussenbauteile'!L20/B17</f>
        <v>4.483333333333334E-3</v>
      </c>
      <c r="AQ6" s="32">
        <f>'[1]Innenbauteile &amp; Aussenbauteile'!L30/B15</f>
        <v>2.4466666666666668E-2</v>
      </c>
      <c r="AR6" s="32">
        <f>'[1]Innenbauteile &amp; Aussenbauteile'!L37/B15</f>
        <v>2.4466666666666668E-2</v>
      </c>
      <c r="AS6" s="32">
        <f>'[1]Innenbauteile &amp; Aussenbauteile'!L47/B17</f>
        <v>1.1366666666666667E-2</v>
      </c>
      <c r="AT6" s="32">
        <f>'[1]Innenbauteile &amp; Aussenbauteile'!L55/B17</f>
        <v>9.9166666666666667E-2</v>
      </c>
      <c r="AU6" s="32">
        <f>'[1]Innenbauteile &amp; Aussenbauteile'!L65/B17</f>
        <v>1.1366666666666667E-2</v>
      </c>
      <c r="AV6" s="32">
        <f>'[1]Innenbauteile &amp; Aussenbauteile'!L74/B15</f>
        <v>0.18433333333333335</v>
      </c>
      <c r="AW6" s="32">
        <f>'[1]Innenbauteile &amp; Aussenbauteile'!L78/B15</f>
        <v>2.4466666666666668E-2</v>
      </c>
      <c r="AX6" s="32">
        <f>'[1]Innenbauteile &amp; Aussenbauteile'!L84/B15</f>
        <v>1.5</v>
      </c>
      <c r="AY6" s="32">
        <f>'[1]Innenbauteile &amp; Aussenbauteile'!L94/B15</f>
        <v>0.19833333333333333</v>
      </c>
      <c r="AZ6" s="32">
        <f>'[1]Innenbauteile &amp; Aussenbauteile'!L98/B15</f>
        <v>0.19833333333333333</v>
      </c>
      <c r="BA6" s="32">
        <f>'[1]Innenbauteile &amp; Aussenbauteile'!L105/B15</f>
        <v>0.19833333333333333</v>
      </c>
      <c r="BB6" s="32">
        <f>'[1]Innenbauteile &amp; Aussenbauteile'!L112/B15</f>
        <v>1.3533333333333335E-2</v>
      </c>
      <c r="BC6" s="32">
        <f>'[1]Innenbauteile &amp; Aussenbauteile'!L125/B16</f>
        <v>1.7050000000000003E-2</v>
      </c>
    </row>
    <row r="7" spans="2:55" x14ac:dyDescent="0.25">
      <c r="B7" s="32">
        <f>'[1]Gebäudehülle u.T.'!L6/B17</f>
        <v>1.1366666666666667E-2</v>
      </c>
      <c r="C7" s="32">
        <f>'[1]Gebäudehülle u.T.'!L6/B17</f>
        <v>1.1366666666666667E-2</v>
      </c>
      <c r="D7" s="32">
        <f>'[1]Gebäudehülle u.T.'!L6/B17</f>
        <v>1.1366666666666667E-2</v>
      </c>
      <c r="E7" s="32">
        <f>'[1]Gebäudehülle u.T.'!L25/B17</f>
        <v>8.7166666666666677E-3</v>
      </c>
      <c r="F7" s="32">
        <f>'[1]Gebäudehülle u.T.'!L25/B17</f>
        <v>8.7166666666666677E-3</v>
      </c>
      <c r="G7" s="32">
        <f>'[1]Gebäudehülle u.T.'!L37/B17</f>
        <v>8.7166666666666677E-3</v>
      </c>
      <c r="H7" s="32">
        <f>'[1]Gebäudehülle u.T.'!L49/B17</f>
        <v>8.7166666666666677E-3</v>
      </c>
      <c r="I7" s="32">
        <f>'[1]Gebäudehülle u.T.'!L58/B17</f>
        <v>8.7166666666666677E-3</v>
      </c>
      <c r="J7" s="32">
        <f>'[1]Gebäudehülle u.T.'!L69/B17</f>
        <v>8.7166666666666677E-3</v>
      </c>
      <c r="K7" s="32">
        <f>'[1]Gebäudehülle über Terrain'!L6/B17</f>
        <v>8.7166666666666677E-3</v>
      </c>
      <c r="L7" s="32">
        <f>'[1]Gebäudehülle über Terrain'!L14/B15</f>
        <v>8.2333333333333338E-3</v>
      </c>
      <c r="M7" s="32">
        <f>'[1]Gebäudehülle über Terrain'!L21/B15</f>
        <v>9.7666666666666666E-3</v>
      </c>
      <c r="N7" s="32">
        <f>'[1]Gebäudehülle über Terrain'!L29/B17</f>
        <v>8.7166666666666677E-3</v>
      </c>
      <c r="O7" s="32">
        <f>'[1]Gebäudehülle über Terrain'!L34/B17</f>
        <v>8.7166666666666677E-3</v>
      </c>
      <c r="P7" s="32">
        <f>'[1]Gebäudehülle über Terrain'!L42/B17</f>
        <v>6.7666666666666674E-3</v>
      </c>
      <c r="Q7" s="32">
        <f>'[1]Gebäudehülle über Terrain'!L52/B15</f>
        <v>0.15111111111111114</v>
      </c>
      <c r="R7" s="32">
        <f>'[1]Gebäudehülle über Terrain'!L57/B15</f>
        <v>0.32</v>
      </c>
      <c r="S7" s="32">
        <f>'[1]Gebäudehülle über Terrain'!L66/B15</f>
        <v>0.32</v>
      </c>
      <c r="T7" s="32">
        <f>'[1]Gebäudehülle über Terrain'!L78/B16</f>
        <v>9.4E-2</v>
      </c>
      <c r="U7" s="32">
        <f>'[1]Gebäudehülle über Terrain'!L88/B16</f>
        <v>9.4E-2</v>
      </c>
      <c r="V7" s="32">
        <f>'[1]Gebäudehülle über Terrain'!L97/B16</f>
        <v>0.24</v>
      </c>
      <c r="W7" s="32">
        <f>'[1]Gebäudehülle über Terrain'!L107/B16</f>
        <v>0.24</v>
      </c>
      <c r="X7" s="32">
        <f>'[1]Gebäudehülle über Terrain'!L115/B16</f>
        <v>0.24</v>
      </c>
      <c r="Y7" s="32">
        <f>'[1]Gebäudehülle über Terrain'!L125/B16</f>
        <v>0.24</v>
      </c>
      <c r="Z7" s="32">
        <f>'[1]Gebäudehülle über Terrain'!L132/B16</f>
        <v>1.625</v>
      </c>
      <c r="AA7" s="33">
        <f>'[1]Baumaterialien Matériaux'!$S$117/B15</f>
        <v>1.9133333333333333</v>
      </c>
      <c r="AB7" s="32">
        <f>'[1]Gebäudehülle über Terrain'!L146/B17</f>
        <v>8.7166666666666677E-3</v>
      </c>
      <c r="AC7" s="32">
        <f>'[1]Gebäudehülle über Terrain'!L154/B17</f>
        <v>8.7166666666666677E-3</v>
      </c>
      <c r="AD7" s="32">
        <f>'[1]Gebäudehülle über Terrain'!L162/B17</f>
        <v>5.8499999999999996E-2</v>
      </c>
      <c r="AE7" s="32">
        <f>'[1]Gebäudehülle über Terrain'!L168/B15</f>
        <v>3.3666666666666667E-3</v>
      </c>
      <c r="AF7" s="32">
        <f>'[1]Gebäudehülle über Terrain'!L176/B17</f>
        <v>9.9166666666666667E-2</v>
      </c>
      <c r="AG7" s="32">
        <f>'[1]Gebäudehülle über Terrain'!L187/B15</f>
        <v>9.4133333333333333E-2</v>
      </c>
      <c r="AH7" s="32">
        <f>'[1]Gebäudehülle über Terrain'!L196/B15</f>
        <v>9.4133333333333333E-2</v>
      </c>
      <c r="AI7" s="32">
        <f>'[1]Gebäudehülle über Terrain'!L205/B15</f>
        <v>9.4133333333333333E-2</v>
      </c>
      <c r="AJ7" s="34">
        <f>'[1]Baumaterialien Matériaux'!$S$188/B15</f>
        <v>0.18433333333333335</v>
      </c>
      <c r="AK7">
        <f>'[1]Baumaterialien Matériaux'!$S$73/B16</f>
        <v>9.3749999999999997E-3</v>
      </c>
      <c r="AL7">
        <f>'[1]Baumaterialien Matériaux'!$S$73/B16</f>
        <v>9.3749999999999997E-3</v>
      </c>
      <c r="AM7">
        <f>'[1]Baumaterialien Matériaux'!$S$73/B16</f>
        <v>9.3749999999999997E-3</v>
      </c>
      <c r="AN7" s="32">
        <f>'[1]Innenbauteile &amp; Aussenbauteile'!L6/B17</f>
        <v>8.7166666666666677E-3</v>
      </c>
      <c r="AO7" s="32">
        <f>'[1]Innenbauteile &amp; Aussenbauteile'!L14/B15</f>
        <v>8.2333333333333338E-3</v>
      </c>
      <c r="AP7" s="32">
        <f>'[1]Innenbauteile &amp; Aussenbauteile'!L21/B15</f>
        <v>8.2333333333333338E-3</v>
      </c>
      <c r="AQ7" s="32">
        <f>'[1]Innenbauteile &amp; Aussenbauteile'!L31/B15</f>
        <v>3.7666666666666661E-2</v>
      </c>
      <c r="AR7" s="32">
        <f>'[1]Innenbauteile &amp; Aussenbauteile'!L38/B15</f>
        <v>3.7666666666666661E-2</v>
      </c>
      <c r="AS7" s="32">
        <f>'[1]Innenbauteile &amp; Aussenbauteile'!L48/B17</f>
        <v>8.7166666666666677E-3</v>
      </c>
      <c r="AT7" s="32">
        <f>'[1]Innenbauteile &amp; Aussenbauteile'!L56/B17</f>
        <v>2.2333333333333333E-4</v>
      </c>
      <c r="AU7" s="32">
        <f>'[1]Innenbauteile &amp; Aussenbauteile'!L66/B17</f>
        <v>1.6833333333333333E-3</v>
      </c>
      <c r="AW7" s="32">
        <f>'[1]Innenbauteile &amp; Aussenbauteile'!L79/B15</f>
        <v>5.1666666666666666E-3</v>
      </c>
      <c r="AX7" s="32">
        <f>'[1]Innenbauteile &amp; Aussenbauteile'!L85/B15</f>
        <v>0.18433333333333335</v>
      </c>
      <c r="BA7" s="32">
        <f>'[1]Innenbauteile &amp; Aussenbauteile'!L106/B15</f>
        <v>4.3E-3</v>
      </c>
      <c r="BB7" s="32">
        <f>'[1]Innenbauteile &amp; Aussenbauteile'!L113/B15</f>
        <v>4.3E-3</v>
      </c>
      <c r="BC7" s="32">
        <f>'[1]Innenbauteile &amp; Aussenbauteile'!L126/B16</f>
        <v>1.3075E-2</v>
      </c>
    </row>
    <row r="8" spans="2:55" x14ac:dyDescent="0.25">
      <c r="C8" s="32">
        <f>'[1]Gebäudehülle u.T.'!$L$12/B17</f>
        <v>0.24166666666666667</v>
      </c>
      <c r="D8" s="32">
        <f>'[1]Gebäudehülle u.T.'!$L$16/B17</f>
        <v>1.95E-2</v>
      </c>
      <c r="E8" s="32">
        <f>'[1]Gebäudehülle u.T.'!L26/B17</f>
        <v>4.7066666666666666E-2</v>
      </c>
      <c r="F8" s="32">
        <f>'[1]Gebäudehülle u.T.'!L26/B17</f>
        <v>4.7066666666666666E-2</v>
      </c>
      <c r="G8" s="32">
        <f>'[1]Gebäudehülle u.T.'!L38/B17</f>
        <v>4.7066666666666666E-2</v>
      </c>
      <c r="H8" s="32">
        <f>'[1]Gebäudehülle u.T.'!L50/B17</f>
        <v>4.7066666666666666E-2</v>
      </c>
      <c r="I8" s="32">
        <f>'[1]Gebäudehülle u.T.'!L59/B17</f>
        <v>4.7066666666666666E-2</v>
      </c>
      <c r="J8" s="32">
        <f>'[1]Gebäudehülle u.T.'!L70/B17</f>
        <v>4.7066666666666666E-2</v>
      </c>
      <c r="K8" s="32">
        <f>'[1]Gebäudehülle über Terrain'!L7/B15</f>
        <v>8.2333333333333338E-3</v>
      </c>
      <c r="L8" s="32">
        <f>'[1]Gebäudehülle über Terrain'!L15/B15</f>
        <v>4.8999999999999998E-3</v>
      </c>
      <c r="M8" s="32">
        <f>'[1]Gebäudehülle über Terrain'!L22/B15</f>
        <v>5.1666666666666666E-3</v>
      </c>
      <c r="P8" s="32">
        <f>'[1]Gebäudehülle über Terrain'!L43/B15</f>
        <v>8.2333333333333338E-3</v>
      </c>
      <c r="R8" s="32">
        <f>'[1]Gebäudehülle über Terrain'!L58/B15</f>
        <v>1.4233333333333332E-2</v>
      </c>
      <c r="S8" s="32">
        <f>'[1]Gebäudehülle über Terrain'!L67/B15</f>
        <v>1.4233333333333332E-2</v>
      </c>
      <c r="T8" s="32">
        <f>'[1]Gebäudehülle über Terrain'!L79/B16</f>
        <v>0.24</v>
      </c>
      <c r="U8" s="32">
        <f>'[1]Gebäudehülle über Terrain'!L89/B16</f>
        <v>0.1105</v>
      </c>
      <c r="V8" s="32">
        <f>'[1]Gebäudehülle über Terrain'!L98/B16</f>
        <v>2.8249999999999997E-2</v>
      </c>
      <c r="W8" s="32">
        <f>'[1]Gebäudehülle über Terrain'!L108/B16</f>
        <v>2.8249999999999997E-2</v>
      </c>
      <c r="X8" s="32">
        <f>'[1]Gebäudehülle über Terrain'!L116/B16</f>
        <v>2.8249999999999997E-2</v>
      </c>
      <c r="Y8" s="32">
        <f>'[1]Gebäudehülle über Terrain'!L126/B16</f>
        <v>2.8249999999999997E-2</v>
      </c>
      <c r="AB8" s="32">
        <f>'[1]Gebäudehülle über Terrain'!L147/B15</f>
        <v>8.2333333333333338E-3</v>
      </c>
      <c r="AC8" s="32">
        <f>'[1]Gebäudehülle über Terrain'!L155/B15</f>
        <v>8.2333333333333338E-3</v>
      </c>
      <c r="AD8" s="32">
        <f>'[1]Gebäudehülle über Terrain'!L163/B17</f>
        <v>1.2233333333333334E-2</v>
      </c>
      <c r="AE8" s="32">
        <f>'[1]Gebäudehülle über Terrain'!L169/B15</f>
        <v>9.7666666666666666E-3</v>
      </c>
      <c r="AF8" s="32">
        <f>'[1]Gebäudehülle über Terrain'!L177/B15</f>
        <v>3.3666666666666667E-3</v>
      </c>
      <c r="AG8" s="32">
        <f>'[1]Gebäudehülle über Terrain'!L188/B15</f>
        <v>0.10833333333333334</v>
      </c>
      <c r="AH8" s="32">
        <f>'[1]Gebäudehülle über Terrain'!L197/B15</f>
        <v>0.10833333333333334</v>
      </c>
      <c r="AI8" s="32">
        <f>'[1]Gebäudehülle über Terrain'!L206/B15</f>
        <v>0.10833333333333334</v>
      </c>
      <c r="AJ8">
        <f>'[1]Baumaterialien Matériaux'!$S$69/B15</f>
        <v>3.8999999999999999E-4</v>
      </c>
      <c r="AK8" s="34">
        <f>'[1]Baumaterialien Matériaux'!$S$133/B16</f>
        <v>8.7749999999999995E-2</v>
      </c>
      <c r="AL8" s="34">
        <f>'[1]Baumaterialien Matériaux'!$S$133/B16</f>
        <v>8.7749999999999995E-2</v>
      </c>
      <c r="AM8" s="34">
        <f>'[1]Baumaterialien Matériaux'!$S$133/B16</f>
        <v>8.7749999999999995E-2</v>
      </c>
      <c r="AN8" s="32">
        <f>'[1]Innenbauteile &amp; Aussenbauteile'!L7/B15</f>
        <v>8.2333333333333338E-3</v>
      </c>
      <c r="AO8" s="32">
        <f>'[1]Innenbauteile &amp; Aussenbauteile'!L15/B15</f>
        <v>4.8999999999999998E-3</v>
      </c>
      <c r="AP8" s="32">
        <f>'[1]Innenbauteile &amp; Aussenbauteile'!L22/B15</f>
        <v>4.8999999999999998E-3</v>
      </c>
      <c r="AQ8" s="32">
        <f>'[1]Innenbauteile &amp; Aussenbauteile'!L32/B15</f>
        <v>5.1666666666666666E-3</v>
      </c>
      <c r="AR8" s="32">
        <f>'[1]Innenbauteile &amp; Aussenbauteile'!L39/B15</f>
        <v>5.1666666666666666E-3</v>
      </c>
      <c r="AS8" s="32">
        <f>'[1]Innenbauteile &amp; Aussenbauteile'!L49/B15</f>
        <v>8.2333333333333338E-3</v>
      </c>
      <c r="AT8" s="32">
        <f>'[1]Innenbauteile &amp; Aussenbauteile'!L57/B15</f>
        <v>3.3666666666666667E-3</v>
      </c>
      <c r="AU8" s="32">
        <f>'[1]Innenbauteile &amp; Aussenbauteile'!L67/B15</f>
        <v>3.3666666666666667E-3</v>
      </c>
      <c r="AW8" s="32">
        <f>'[1]Innenbauteile &amp; Aussenbauteile'!L80/B15</f>
        <v>0.15111111111111114</v>
      </c>
      <c r="AX8" s="32">
        <f>'[1]Innenbauteile &amp; Aussenbauteile'!L86/B15</f>
        <v>2.4466666666666668E-2</v>
      </c>
      <c r="BA8" s="32">
        <f>'[1]Innenbauteile &amp; Aussenbauteile'!L107/B15</f>
        <v>0.17766666666666667</v>
      </c>
      <c r="BB8" s="32">
        <f>'[1]Innenbauteile &amp; Aussenbauteile'!L114/B15</f>
        <v>0.17766666666666667</v>
      </c>
      <c r="BC8" s="32">
        <f>'[1]Innenbauteile &amp; Aussenbauteile'!L127/B16</f>
        <v>9.4E-2</v>
      </c>
    </row>
    <row r="9" spans="2:55" x14ac:dyDescent="0.25">
      <c r="E9" s="32">
        <f>'[1]Gebäudehülle u.T.'!L27/B17</f>
        <v>9.0166666666666673E-2</v>
      </c>
      <c r="F9" s="32">
        <f>'[1]Gebäudehülle u.T.'!L27/B17</f>
        <v>9.0166666666666673E-2</v>
      </c>
      <c r="G9" s="32">
        <f>'[1]Gebäudehülle u.T.'!L39/B17</f>
        <v>9.0166666666666673E-2</v>
      </c>
      <c r="H9" s="32">
        <f>'[1]Gebäudehülle u.T.'!L51/B17</f>
        <v>5.1000000000000004E-2</v>
      </c>
      <c r="I9" s="32">
        <f>'[1]Gebäudehülle u.T.'!L60/B17</f>
        <v>5.1166666666666666E-2</v>
      </c>
      <c r="J9" s="32">
        <f>'[1]Gebäudehülle u.T.'!L71/B17</f>
        <v>5.1166666666666666E-2</v>
      </c>
      <c r="K9" s="32">
        <f>'[1]Gebäudehülle über Terrain'!L8/B15</f>
        <v>4.8999999999999998E-3</v>
      </c>
      <c r="L9" s="32">
        <f>'[1]Gebäudehülle über Terrain'!L16/B15</f>
        <v>0.15111111111111114</v>
      </c>
      <c r="M9" s="32">
        <f>'[1]Gebäudehülle über Terrain'!L23/B15</f>
        <v>0.15111111111111114</v>
      </c>
      <c r="P9" s="32">
        <f>'[1]Gebäudehülle über Terrain'!L44/B15</f>
        <v>4.8999999999999998E-3</v>
      </c>
      <c r="R9" s="32">
        <f>'[1]Gebäudehülle über Terrain'!L59/B15</f>
        <v>0.32</v>
      </c>
      <c r="S9" s="32">
        <f>'[1]Gebäudehülle über Terrain'!L68/B15</f>
        <v>0.32</v>
      </c>
      <c r="T9" s="32">
        <f>'[1]Gebäudehülle über Terrain'!L80/B16</f>
        <v>8.7749999999999995E-2</v>
      </c>
      <c r="U9" s="32">
        <f>'[1]Gebäudehülle über Terrain'!L90/B16</f>
        <v>0.24</v>
      </c>
      <c r="V9" s="32">
        <f>'[1]Gebäudehülle über Terrain'!L99/B16</f>
        <v>0.13825000000000001</v>
      </c>
      <c r="W9" s="32">
        <f>'[1]Gebäudehülle über Terrain'!L109/B16</f>
        <v>0.13825000000000001</v>
      </c>
      <c r="X9" s="32">
        <f>'[1]Gebäudehülle über Terrain'!L117/B16</f>
        <v>0.13825000000000001</v>
      </c>
      <c r="Y9" s="32">
        <f>'[1]Gebäudehülle über Terrain'!L127/B16</f>
        <v>0.13825000000000001</v>
      </c>
      <c r="AB9" s="32">
        <f>'[1]Gebäudehülle über Terrain'!L148/B15</f>
        <v>4.8999999999999998E-3</v>
      </c>
      <c r="AC9" s="32">
        <f>'[1]Gebäudehülle über Terrain'!L156/B15</f>
        <v>4.8999999999999998E-3</v>
      </c>
      <c r="AE9" s="32">
        <f>'[1]Gebäudehülle über Terrain'!L170/B15</f>
        <v>5.1666666666666666E-3</v>
      </c>
      <c r="AF9" s="32">
        <f>'[1]Gebäudehülle über Terrain'!L178/B15</f>
        <v>9.7666666666666666E-3</v>
      </c>
      <c r="AG9" s="32">
        <f>'[1]Gebäudehülle über Terrain'!L189/B15</f>
        <v>0.18433333333333335</v>
      </c>
      <c r="AH9" s="32">
        <f>'[1]Gebäudehülle über Terrain'!L198/B15</f>
        <v>0.18433333333333335</v>
      </c>
      <c r="AI9" s="32">
        <f>'[1]Gebäudehülle über Terrain'!L207/B15</f>
        <v>0.18433333333333335</v>
      </c>
      <c r="AJ9">
        <f>'[1]Baumaterialien Matériaux'!$S$70/B15</f>
        <v>4.6666666666666666E-4</v>
      </c>
      <c r="AK9" s="34">
        <f>'[1]Baumaterialien Matériaux'!$S$207/B16</f>
        <v>2.8249999999999997E-2</v>
      </c>
      <c r="AL9" s="34">
        <f>'[1]Baumaterialien Matériaux'!$S$197/B16</f>
        <v>2.8249999999999997E-2</v>
      </c>
      <c r="AN9" s="32">
        <f>'[1]Innenbauteile &amp; Aussenbauteile'!L8/B15</f>
        <v>4.8999999999999998E-3</v>
      </c>
      <c r="AO9" s="32">
        <f>'[1]Innenbauteile &amp; Aussenbauteile'!L16/B15</f>
        <v>0.15111111111111114</v>
      </c>
      <c r="AP9" s="32">
        <f>'[1]Innenbauteile &amp; Aussenbauteile'!L23/B15</f>
        <v>0.15111111111111114</v>
      </c>
      <c r="AQ9" s="32">
        <f>'[1]Innenbauteile &amp; Aussenbauteile'!L33/B15</f>
        <v>0.15111111111111114</v>
      </c>
      <c r="AR9" s="32">
        <f>'[1]Innenbauteile &amp; Aussenbauteile'!L40/B15</f>
        <v>0.15111111111111114</v>
      </c>
      <c r="AS9" s="32">
        <f>'[1]Innenbauteile &amp; Aussenbauteile'!L50/B15</f>
        <v>4.8999999999999998E-3</v>
      </c>
      <c r="AT9" s="32">
        <f>'[1]Innenbauteile &amp; Aussenbauteile'!L58/B15</f>
        <v>9.7666666666666666E-3</v>
      </c>
      <c r="AU9" s="32">
        <f>'[1]Innenbauteile &amp; Aussenbauteile'!L68/B15</f>
        <v>9.7666666666666666E-3</v>
      </c>
      <c r="BA9" s="32">
        <f>'[1]Innenbauteile &amp; Aussenbauteile'!L108/B15</f>
        <v>0.25466666666666665</v>
      </c>
      <c r="BB9" s="32">
        <f>'[1]Innenbauteile &amp; Aussenbauteile'!L115/B15</f>
        <v>0.25466666666666665</v>
      </c>
      <c r="BC9" s="32">
        <f>'[1]Innenbauteile &amp; Aussenbauteile'!L128/B16</f>
        <v>0.36249999999999999</v>
      </c>
    </row>
    <row r="10" spans="2:55" x14ac:dyDescent="0.25">
      <c r="F10" s="32">
        <f>'[1]Gebäudehülle u.T.'!L31/B17</f>
        <v>0.24166666666666667</v>
      </c>
      <c r="G10" s="32">
        <f>'[1]Gebäudehülle u.T.'!L40/B17</f>
        <v>1.95E-2</v>
      </c>
      <c r="H10" s="32">
        <f>'[1]Gebäudehülle u.T.'!L52/B17</f>
        <v>9.2166666666666675E-2</v>
      </c>
      <c r="I10" s="32">
        <f>'[1]Gebäudehülle u.T.'!L61/B17</f>
        <v>0.24166666666666667</v>
      </c>
      <c r="J10" s="32">
        <f>'[1]Gebäudehülle u.T.'!L72/B17</f>
        <v>1.95E-2</v>
      </c>
      <c r="K10" s="32">
        <f>'[1]Gebäudehülle über Terrain'!L9/B15</f>
        <v>0.15111111111111114</v>
      </c>
      <c r="P10" s="32">
        <f>'[1]Gebäudehülle über Terrain'!L45/B15</f>
        <v>0.15111111111111114</v>
      </c>
      <c r="R10" s="32">
        <f>'[1]Gebäudehülle über Terrain'!L60/B15</f>
        <v>8.2333333333333338E-3</v>
      </c>
      <c r="S10" s="32">
        <f>'[1]Gebäudehülle über Terrain'!L69/B15</f>
        <v>8.2333333333333338E-3</v>
      </c>
      <c r="T10" s="32">
        <f>'[1]Gebäudehülle über Terrain'!L81/B16</f>
        <v>0.24</v>
      </c>
      <c r="U10" s="32">
        <f>'[1]Gebäudehülle über Terrain'!L91/B16</f>
        <v>2.8249999999999997E-2</v>
      </c>
      <c r="AB10" s="32">
        <f>'[1]Gebäudehülle über Terrain'!L149/B15</f>
        <v>0.15111111111111114</v>
      </c>
      <c r="AC10" s="32">
        <f>'[1]Gebäudehülle über Terrain'!L157/B15</f>
        <v>0.15111111111111114</v>
      </c>
      <c r="AE10" s="32">
        <f>'[1]Gebäudehülle über Terrain'!L171/B15</f>
        <v>0.15111111111111114</v>
      </c>
      <c r="AF10" s="32">
        <f>'[1]Gebäudehülle über Terrain'!L179/B15</f>
        <v>5.1666666666666666E-3</v>
      </c>
      <c r="AG10" s="32">
        <f>'[1]Gebäudehülle über Terrain'!L190/B15</f>
        <v>3.8999999999999999E-4</v>
      </c>
      <c r="AH10" s="32">
        <f>'[1]Gebäudehülle über Terrain'!L199/B15</f>
        <v>3.8999999999999999E-4</v>
      </c>
      <c r="AI10" s="32">
        <f>'[1]Gebäudehülle über Terrain'!L208/B15</f>
        <v>3.8999999999999999E-4</v>
      </c>
      <c r="AK10" s="34">
        <f>'[1]Baumaterialien Matériaux'!$S$187/B16</f>
        <v>0.13325000000000001</v>
      </c>
      <c r="AL10" s="34">
        <f>'[1]Baumaterialien Matériaux'!$S$187/B16</f>
        <v>0.13325000000000001</v>
      </c>
      <c r="AN10" s="32">
        <f>'[1]Innenbauteile &amp; Aussenbauteile'!L9/B15</f>
        <v>0.15111111111111114</v>
      </c>
      <c r="AS10" s="32">
        <f>'[1]Innenbauteile &amp; Aussenbauteile'!L51/B15</f>
        <v>0.15111111111111114</v>
      </c>
      <c r="AT10" s="32">
        <f>'[1]Innenbauteile &amp; Aussenbauteile'!L59/B15</f>
        <v>5.1666666666666666E-3</v>
      </c>
      <c r="AU10" s="32">
        <f>'[1]Innenbauteile &amp; Aussenbauteile'!L69/B15</f>
        <v>5.1666666666666666E-3</v>
      </c>
      <c r="BC10" s="32">
        <f>'[1]Innenbauteile &amp; Aussenbauteile'!L129/B16</f>
        <v>7.3096885813148799E-3</v>
      </c>
    </row>
    <row r="11" spans="2:55" x14ac:dyDescent="0.25">
      <c r="F11" s="32">
        <f>'[1]Gebäudehülle u.T.'!L32/B17</f>
        <v>5.1000000000000004E-2</v>
      </c>
      <c r="G11" s="32">
        <f>'[1]Gebäudehülle u.T.'!L41/B17</f>
        <v>5.1000000000000004E-2</v>
      </c>
      <c r="H11" s="32">
        <f>'[1]Gebäudehülle u.T.'!L53/B17</f>
        <v>1.95E-4</v>
      </c>
      <c r="I11" s="32">
        <f>'[1]Gebäudehülle u.T.'!L62/B17</f>
        <v>4.9666666666666665E-2</v>
      </c>
      <c r="J11" s="32">
        <f>'[1]Gebäudehülle u.T.'!L73/B17</f>
        <v>5.1000000000000004E-2</v>
      </c>
      <c r="R11" s="32">
        <f>'[1]Gebäudehülle über Terrain'!L61/B15</f>
        <v>0.15111111111111114</v>
      </c>
      <c r="S11" s="32">
        <f>'[1]Gebäudehülle über Terrain'!L70/B15</f>
        <v>0.15111111111111114</v>
      </c>
      <c r="T11" s="32">
        <f>'[1]Gebäudehülle über Terrain'!L82/B16</f>
        <v>2.8249999999999997E-2</v>
      </c>
      <c r="U11" s="32">
        <f>'[1]Gebäudehülle über Terrain'!L92/B16</f>
        <v>0.13825000000000001</v>
      </c>
      <c r="AF11" s="32">
        <f>'[1]Gebäudehülle über Terrain'!L180/B15</f>
        <v>0.15111111111111114</v>
      </c>
      <c r="AG11" s="32">
        <f>'[1]Gebäudehülle über Terrain'!L191/B15</f>
        <v>4.6666666666666666E-4</v>
      </c>
      <c r="AH11" s="32">
        <f>'[1]Gebäudehülle über Terrain'!L200/B15</f>
        <v>4.6666666666666666E-4</v>
      </c>
      <c r="AI11" s="32">
        <f>'[1]Gebäudehülle über Terrain'!L209/B15</f>
        <v>4.6666666666666666E-4</v>
      </c>
      <c r="AT11" s="32">
        <f>'[1]Innenbauteile &amp; Aussenbauteile'!L60/B15</f>
        <v>0.15111111111111114</v>
      </c>
      <c r="AU11" s="32">
        <f>'[1]Innenbauteile &amp; Aussenbauteile'!L70/B15</f>
        <v>0.15111111111111114</v>
      </c>
      <c r="BC11" s="32">
        <f>'[1]Innenbauteile &amp; Aussenbauteile'!L130/B16</f>
        <v>8.7749999999999995E-2</v>
      </c>
    </row>
    <row r="12" spans="2:55" x14ac:dyDescent="0.25">
      <c r="I12" s="32">
        <f>'[1]Gebäudehülle u.T.'!L63/B17</f>
        <v>9.2166666666666675E-2</v>
      </c>
      <c r="J12" s="32">
        <f>'[1]Gebäudehülle u.T.'!L74/B17</f>
        <v>4.9666666666666665E-2</v>
      </c>
      <c r="T12" s="32">
        <f>'[1]Gebäudehülle über Terrain'!L83/B16</f>
        <v>0.13825000000000001</v>
      </c>
    </row>
    <row r="13" spans="2:55" x14ac:dyDescent="0.25">
      <c r="I13" s="32">
        <f>'[1]Gebäudehülle u.T.'!L64/B17</f>
        <v>1.95E-4</v>
      </c>
      <c r="J13" s="32">
        <f>'[1]Gebäudehülle u.T.'!L75/B17</f>
        <v>9.2166666666666675E-2</v>
      </c>
    </row>
    <row r="14" spans="2:55" x14ac:dyDescent="0.25">
      <c r="B14" s="35" t="s">
        <v>371</v>
      </c>
      <c r="J14" s="32">
        <f>'[1]Gebäudehülle u.T.'!L76/B17</f>
        <v>1.95E-4</v>
      </c>
    </row>
    <row r="15" spans="2:55" x14ac:dyDescent="0.25">
      <c r="B15">
        <v>30</v>
      </c>
    </row>
    <row r="16" spans="2:55" x14ac:dyDescent="0.25">
      <c r="B16">
        <v>40</v>
      </c>
    </row>
    <row r="17" spans="2:13" x14ac:dyDescent="0.25">
      <c r="B17">
        <v>60</v>
      </c>
    </row>
    <row r="20" spans="2:13" x14ac:dyDescent="0.25">
      <c r="B20" s="45"/>
    </row>
    <row r="21" spans="2:13" x14ac:dyDescent="0.25">
      <c r="D21" s="152"/>
      <c r="E21" s="152"/>
      <c r="F21" s="152"/>
      <c r="H21" s="152"/>
      <c r="I21" s="152"/>
      <c r="J21" s="152"/>
      <c r="K21" s="152"/>
      <c r="L21" s="152"/>
      <c r="M21" s="152"/>
    </row>
  </sheetData>
  <mergeCells count="2">
    <mergeCell ref="D21:F21"/>
    <mergeCell ref="H21:M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5">
    <tabColor theme="4" tint="-0.249977111117893"/>
  </sheetPr>
  <dimension ref="B1:BG20"/>
  <sheetViews>
    <sheetView topLeftCell="AG1" workbookViewId="0">
      <selection activeCell="BC5" sqref="BC5"/>
    </sheetView>
  </sheetViews>
  <sheetFormatPr defaultColWidth="10.85546875" defaultRowHeight="15" x14ac:dyDescent="0.25"/>
  <cols>
    <col min="6" max="6" width="35.42578125" bestFit="1" customWidth="1"/>
    <col min="7" max="7" width="14.140625" bestFit="1" customWidth="1"/>
  </cols>
  <sheetData>
    <row r="1" spans="2:59" x14ac:dyDescent="0.25">
      <c r="F1" t="s">
        <v>183</v>
      </c>
      <c r="G1" t="s">
        <v>226</v>
      </c>
    </row>
    <row r="3" spans="2:59" x14ac:dyDescent="0.2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9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9" x14ac:dyDescent="0.25">
      <c r="B5" s="32">
        <f>'[1]Gebäudehülle u.T.'!H4</f>
        <v>2150</v>
      </c>
      <c r="C5" s="32">
        <f>'[1]Gebäudehülle u.T.'!H4</f>
        <v>2150</v>
      </c>
      <c r="D5" s="32">
        <f>'[1]Gebäudehülle u.T.'!H4</f>
        <v>2150</v>
      </c>
      <c r="E5" s="32">
        <f>'[1]Gebäudehülle u.T.'!H23</f>
        <v>2300</v>
      </c>
      <c r="F5" s="32">
        <f>'[1]Gebäudehülle u.T.'!H23</f>
        <v>2300</v>
      </c>
      <c r="G5" s="32">
        <f>'[1]Gebäudehülle u.T.'!H35</f>
        <v>2300</v>
      </c>
      <c r="H5" s="32">
        <f>'[1]Gebäudehülle u.T.'!H47</f>
        <v>2300</v>
      </c>
      <c r="I5" s="32">
        <f>'[1]Gebäudehülle u.T.'!H56</f>
        <v>2300</v>
      </c>
      <c r="J5" s="32">
        <f>'[1]Gebäudehülle u.T.'!H67</f>
        <v>2300</v>
      </c>
      <c r="K5" s="32">
        <f>'[1]Gebäudehülle über Terrain'!H4</f>
        <v>2300</v>
      </c>
      <c r="L5" s="32">
        <f>'[1]Gebäudehülle über Terrain'!H12</f>
        <v>900</v>
      </c>
      <c r="M5" s="32">
        <f>'[1]Gebäudehülle über Terrain'!H19</f>
        <v>485</v>
      </c>
      <c r="N5" s="32">
        <f>'[1]Gebäudehülle über Terrain'!H27</f>
        <v>2300</v>
      </c>
      <c r="O5" s="32">
        <f>'[1]Gebäudehülle über Terrain'!H32</f>
        <v>2500</v>
      </c>
      <c r="P5" s="32">
        <f>'[1]Gebäudehülle über Terrain'!H40</f>
        <v>102.5</v>
      </c>
      <c r="Q5" s="32">
        <f>'[1]Gebäudehülle über Terrain'!H50</f>
        <v>1550</v>
      </c>
      <c r="R5" s="32">
        <f>'[1]Gebäudehülle über Terrain'!H55</f>
        <v>1400</v>
      </c>
      <c r="S5" s="32">
        <f>'[1]Gebäudehülle über Terrain'!H64</f>
        <v>1400</v>
      </c>
      <c r="T5" s="32">
        <f>'[1]Gebäudehülle über Terrain'!H76</f>
        <v>465</v>
      </c>
      <c r="U5" s="32">
        <f>'[1]Gebäudehülle über Terrain'!H86</f>
        <v>1800</v>
      </c>
      <c r="V5" s="32">
        <f>'[1]Gebäudehülle über Terrain'!H95</f>
        <v>2500</v>
      </c>
      <c r="W5" s="32">
        <f>'[1]Gebäudehülle über Terrain'!H105</f>
        <v>1774.9999999999998</v>
      </c>
      <c r="X5" s="32">
        <f>'[1]Gebäudehülle über Terrain'!H113</f>
        <v>2500</v>
      </c>
      <c r="Y5" s="32">
        <f>'[1]Gebäudehülle über Terrain'!H123</f>
        <v>1700</v>
      </c>
      <c r="Z5" s="32">
        <f>'[1]Gebäudehülle über Terrain'!H130</f>
        <v>10</v>
      </c>
      <c r="AA5" s="32">
        <f>'[1]Gebäudehülle über Terrain'!F137</f>
        <v>0.22</v>
      </c>
      <c r="AB5" s="32">
        <f>'[1]Gebäudehülle über Terrain'!H144</f>
        <v>2300</v>
      </c>
      <c r="AC5" s="32">
        <f>'[1]Gebäudehülle über Terrain'!H152</f>
        <v>2300</v>
      </c>
      <c r="AD5" s="32">
        <f>'[1]Gebäudehülle über Terrain'!H160</f>
        <v>2300</v>
      </c>
      <c r="AE5" s="32">
        <f>'[1]Gebäudehülle über Terrain'!H166</f>
        <v>470</v>
      </c>
      <c r="AF5" s="32">
        <f>'[1]Gebäudehülle über Terrain'!H174</f>
        <v>465</v>
      </c>
      <c r="AG5" s="32">
        <f>'[1]Gebäudehülle über Terrain'!H185</f>
        <v>25</v>
      </c>
      <c r="AH5" s="32">
        <f>'[1]Gebäudehülle über Terrain'!H194</f>
        <v>30</v>
      </c>
      <c r="AI5" s="32">
        <f>'[1]Gebäudehülle über Terrain'!H203</f>
        <v>160</v>
      </c>
      <c r="AJ5" s="32">
        <f>'[1]Gebäudehülle über Terrain'!H215</f>
        <v>125</v>
      </c>
      <c r="AK5" s="32">
        <f>'[1]Gebäudehülle über Terrain'!H223</f>
        <v>485</v>
      </c>
      <c r="AL5" s="32">
        <f>'[1]Gebäudehülle über Terrain'!H231</f>
        <v>485</v>
      </c>
      <c r="AM5" s="32">
        <f>'[1]Gebäudehülle über Terrain'!H242</f>
        <v>485</v>
      </c>
      <c r="AN5" s="32">
        <f>'[1]Innenbauteile &amp; Aussenbauteile'!H4</f>
        <v>2300</v>
      </c>
      <c r="AO5" s="32">
        <f>'[1]Innenbauteile &amp; Aussenbauteile'!H12</f>
        <v>900</v>
      </c>
      <c r="AP5" s="32">
        <f>'[1]Innenbauteile &amp; Aussenbauteile'!H19</f>
        <v>1400</v>
      </c>
      <c r="AQ5" s="32">
        <f>'[1]Innenbauteile &amp; Aussenbauteile'!H29</f>
        <v>850</v>
      </c>
      <c r="AR5" s="32">
        <f>'[1]Innenbauteile &amp; Aussenbauteile'!H36</f>
        <v>1200</v>
      </c>
      <c r="AS5" s="32">
        <f>'[1]Innenbauteile &amp; Aussenbauteile'!H46</f>
        <v>2300</v>
      </c>
      <c r="AT5" s="32">
        <f>'[1]Innenbauteile &amp; Aussenbauteile'!H54</f>
        <v>465</v>
      </c>
      <c r="AU5" s="32">
        <f>'[1]Innenbauteile &amp; Aussenbauteile'!H64</f>
        <v>2300</v>
      </c>
      <c r="AV5" s="32">
        <f>'[1]Innenbauteile &amp; Aussenbauteile'!H73</f>
        <v>50</v>
      </c>
      <c r="AW5" s="32">
        <f>'[1]Innenbauteile &amp; Aussenbauteile'!H77</f>
        <v>1200</v>
      </c>
      <c r="AX5" s="32">
        <f>'[1]Innenbauteile &amp; Aussenbauteile'!H83</f>
        <v>7850</v>
      </c>
      <c r="AY5" s="32">
        <f>'[1]Innenbauteile &amp; Aussenbauteile'!H93</f>
        <v>1160</v>
      </c>
      <c r="AZ5" s="32">
        <f>'[1]Innenbauteile &amp; Aussenbauteile'!H97</f>
        <v>554.5454545454545</v>
      </c>
      <c r="BA5" s="32">
        <f>'[1]Innenbauteile &amp; Aussenbauteile'!H104</f>
        <v>554.5454545454545</v>
      </c>
      <c r="BB5" s="32">
        <f>'[1]Innenbauteile &amp; Aussenbauteile'!H111</f>
        <v>1999.9999999999998</v>
      </c>
      <c r="BC5" s="32">
        <f>'[1]Innenbauteile &amp; Aussenbauteile'!H124</f>
        <v>2300</v>
      </c>
      <c r="BD5" s="32"/>
      <c r="BE5" s="32"/>
      <c r="BF5" s="32"/>
      <c r="BG5" s="32"/>
    </row>
    <row r="6" spans="2:59" x14ac:dyDescent="0.25">
      <c r="B6" s="32">
        <f>'[1]Gebäudehülle u.T.'!H5</f>
        <v>2300</v>
      </c>
      <c r="C6" s="32">
        <f>'[1]Gebäudehülle u.T.'!H5</f>
        <v>2300</v>
      </c>
      <c r="D6" s="32">
        <f>'[1]Gebäudehülle u.T.'!H5</f>
        <v>2300</v>
      </c>
      <c r="E6" s="32">
        <f>'[1]Gebäudehülle u.T.'!H24</f>
        <v>7850</v>
      </c>
      <c r="F6" s="32">
        <f>'[1]Gebäudehülle u.T.'!H24</f>
        <v>7850</v>
      </c>
      <c r="G6" s="32">
        <f>'[1]Gebäudehülle u.T.'!H36</f>
        <v>7850</v>
      </c>
      <c r="H6" s="32">
        <f>'[1]Gebäudehülle u.T.'!H48</f>
        <v>7850</v>
      </c>
      <c r="I6" s="32">
        <f>'[1]Gebäudehülle u.T.'!H57</f>
        <v>7850</v>
      </c>
      <c r="J6" s="32">
        <f>'[1]Gebäudehülle u.T.'!H68</f>
        <v>7850</v>
      </c>
      <c r="K6" s="32">
        <f>'[1]Gebäudehülle über Terrain'!H5</f>
        <v>7850</v>
      </c>
      <c r="L6" s="32">
        <f>'[1]Gebäudehülle über Terrain'!H13</f>
        <v>1550</v>
      </c>
      <c r="M6" s="32">
        <f>'[1]Gebäudehülle über Terrain'!H20</f>
        <v>485</v>
      </c>
      <c r="N6" s="32">
        <f>'[1]Gebäudehülle über Terrain'!H28</f>
        <v>7850</v>
      </c>
      <c r="O6" s="32">
        <f>'[1]Gebäudehülle über Terrain'!H33</f>
        <v>7850</v>
      </c>
      <c r="P6" s="32">
        <f>'[1]Gebäudehülle über Terrain'!H41</f>
        <v>900</v>
      </c>
      <c r="Q6" s="32">
        <f>'[1]Gebäudehülle über Terrain'!H51</f>
        <v>1550</v>
      </c>
      <c r="R6" s="32">
        <f>'[1]Gebäudehülle über Terrain'!H56</f>
        <v>80</v>
      </c>
      <c r="S6" s="32">
        <f>'[1]Gebäudehülle über Terrain'!H65</f>
        <v>16</v>
      </c>
      <c r="T6" s="32">
        <f>'[1]Gebäudehülle über Terrain'!H77</f>
        <v>150</v>
      </c>
      <c r="U6" s="32">
        <f>'[1]Gebäudehülle über Terrain'!H87</f>
        <v>2690</v>
      </c>
      <c r="V6" s="32">
        <f>'[1]Gebäudehülle über Terrain'!H96</f>
        <v>2690</v>
      </c>
      <c r="W6" s="32">
        <f>'[1]Gebäudehülle über Terrain'!H106</f>
        <v>2690</v>
      </c>
      <c r="X6" s="32">
        <f>'[1]Gebäudehülle über Terrain'!H114</f>
        <v>2690</v>
      </c>
      <c r="Y6" s="32">
        <f>'[1]Gebäudehülle über Terrain'!H124</f>
        <v>7900</v>
      </c>
      <c r="Z6" s="32">
        <f>'[1]Gebäudehülle über Terrain'!H131</f>
        <v>10</v>
      </c>
      <c r="AA6" s="32">
        <f>'[1]Gebäudehülle über Terrain'!F138</f>
        <v>0.78</v>
      </c>
      <c r="AB6" s="32">
        <f>'[1]Gebäudehülle über Terrain'!H145</f>
        <v>7850</v>
      </c>
      <c r="AC6" s="32">
        <f>'[1]Gebäudehülle über Terrain'!H153</f>
        <v>7850</v>
      </c>
      <c r="AD6" s="32">
        <f>'[1]Gebäudehülle über Terrain'!H161</f>
        <v>7850</v>
      </c>
      <c r="AE6" s="32">
        <f>'[1]Gebäudehülle über Terrain'!H167</f>
        <v>465</v>
      </c>
      <c r="AF6" s="32">
        <f>'[1]Gebäudehülle über Terrain'!H175</f>
        <v>500</v>
      </c>
      <c r="AG6" s="32">
        <f>'[1]Gebäudehülle über Terrain'!H186</f>
        <v>1100</v>
      </c>
      <c r="AH6" s="32">
        <f>'[1]Gebäudehülle über Terrain'!H195</f>
        <v>1100</v>
      </c>
      <c r="AI6" s="32">
        <f>'[1]Gebäudehülle über Terrain'!H204</f>
        <v>1100</v>
      </c>
      <c r="AJ6" s="32">
        <f>'[1]Gebäudehülle über Terrain'!H216</f>
        <v>1100</v>
      </c>
      <c r="AK6" s="32">
        <f>'[1]Gebäudehülle über Terrain'!H224</f>
        <v>920</v>
      </c>
      <c r="AL6" s="32">
        <f>'[1]Gebäudehülle über Terrain'!H232</f>
        <v>920</v>
      </c>
      <c r="AM6" s="32">
        <f>'[1]Gebäudehülle über Terrain'!H243</f>
        <v>920</v>
      </c>
      <c r="AN6" s="32">
        <f>'[1]Innenbauteile &amp; Aussenbauteile'!H5</f>
        <v>7850</v>
      </c>
      <c r="AO6" s="32">
        <f>'[1]Innenbauteile &amp; Aussenbauteile'!H13</f>
        <v>1550</v>
      </c>
      <c r="AP6" s="32">
        <f>'[1]Innenbauteile &amp; Aussenbauteile'!H20</f>
        <v>1550</v>
      </c>
      <c r="AQ6" s="32">
        <f>'[1]Innenbauteile &amp; Aussenbauteile'!H30</f>
        <v>7850</v>
      </c>
      <c r="AR6" s="32">
        <f>'[1]Innenbauteile &amp; Aussenbauteile'!H37</f>
        <v>7850</v>
      </c>
      <c r="AS6" s="32">
        <f>'[1]Innenbauteile &amp; Aussenbauteile'!H47</f>
        <v>7850</v>
      </c>
      <c r="AT6" s="32">
        <f>'[1]Innenbauteile &amp; Aussenbauteile'!H55</f>
        <v>1500</v>
      </c>
      <c r="AU6" s="32">
        <f>'[1]Innenbauteile &amp; Aussenbauteile'!H65</f>
        <v>7850</v>
      </c>
      <c r="AV6" s="32">
        <f>'[1]Innenbauteile &amp; Aussenbauteile'!H74</f>
        <v>920</v>
      </c>
      <c r="AW6" s="32">
        <f>'[1]Innenbauteile &amp; Aussenbauteile'!H78</f>
        <v>7850</v>
      </c>
      <c r="AX6" s="32">
        <f>'[1]Innenbauteile &amp; Aussenbauteile'!H84</f>
        <v>1000</v>
      </c>
      <c r="AY6" s="32">
        <f>'[1]Innenbauteile &amp; Aussenbauteile'!H94</f>
        <v>1500</v>
      </c>
      <c r="AZ6" s="32">
        <f>'[1]Innenbauteile &amp; Aussenbauteile'!H98</f>
        <v>1500</v>
      </c>
      <c r="BA6" s="32">
        <f>'[1]Innenbauteile &amp; Aussenbauteile'!H105</f>
        <v>1500</v>
      </c>
      <c r="BB6" s="32">
        <f>'[1]Innenbauteile &amp; Aussenbauteile'!H112</f>
        <v>1400</v>
      </c>
      <c r="BC6" s="32">
        <f>'[1]Innenbauteile &amp; Aussenbauteile'!H125</f>
        <v>7850</v>
      </c>
      <c r="BD6" s="32"/>
      <c r="BE6" s="32"/>
      <c r="BF6" s="32"/>
      <c r="BG6" s="32"/>
    </row>
    <row r="7" spans="2:59" x14ac:dyDescent="0.25">
      <c r="B7" s="32">
        <f>'[1]Gebäudehülle u.T.'!H6</f>
        <v>7850</v>
      </c>
      <c r="C7" s="32">
        <f>'[1]Gebäudehülle u.T.'!H6</f>
        <v>7850</v>
      </c>
      <c r="D7" s="32">
        <f>'[1]Gebäudehülle u.T.'!H6</f>
        <v>7850</v>
      </c>
      <c r="E7" s="32">
        <f>'[1]Gebäudehülle u.T.'!H25</f>
        <v>470</v>
      </c>
      <c r="F7" s="32">
        <f>'[1]Gebäudehülle u.T.'!H25</f>
        <v>470</v>
      </c>
      <c r="G7" s="32">
        <f>'[1]Gebäudehülle u.T.'!H37</f>
        <v>470</v>
      </c>
      <c r="H7" s="32">
        <f>'[1]Gebäudehülle u.T.'!H49</f>
        <v>470</v>
      </c>
      <c r="I7" s="32">
        <f>'[1]Gebäudehülle u.T.'!H58</f>
        <v>470</v>
      </c>
      <c r="J7" s="32">
        <f>'[1]Gebäudehülle u.T.'!H69</f>
        <v>470</v>
      </c>
      <c r="K7" s="32">
        <f>'[1]Gebäudehülle über Terrain'!H6</f>
        <v>470</v>
      </c>
      <c r="L7" s="32">
        <f>'[1]Gebäudehülle über Terrain'!H14</f>
        <v>1550</v>
      </c>
      <c r="M7" s="32">
        <f>'[1]Gebäudehülle über Terrain'!H21</f>
        <v>850</v>
      </c>
      <c r="N7" s="32">
        <f>'[1]Gebäudehülle über Terrain'!H29</f>
        <v>470</v>
      </c>
      <c r="O7" s="32">
        <f>'[1]Gebäudehülle über Terrain'!H34</f>
        <v>470</v>
      </c>
      <c r="P7" s="32">
        <f>'[1]Gebäudehülle über Terrain'!H42</f>
        <v>1400</v>
      </c>
      <c r="Q7" s="32">
        <f>'[1]Gebäudehülle über Terrain'!H52</f>
        <v>150</v>
      </c>
      <c r="R7" s="32">
        <f>'[1]Gebäudehülle über Terrain'!H57</f>
        <v>1450</v>
      </c>
      <c r="S7" s="32">
        <f>'[1]Gebäudehülle über Terrain'!H66</f>
        <v>1450</v>
      </c>
      <c r="T7" s="32">
        <f>'[1]Gebäudehülle über Terrain'!H78</f>
        <v>7900</v>
      </c>
      <c r="U7" s="32">
        <f>'[1]Gebäudehülle über Terrain'!H88</f>
        <v>7900</v>
      </c>
      <c r="V7" s="32">
        <f>'[1]Gebäudehülle über Terrain'!H97</f>
        <v>1450</v>
      </c>
      <c r="W7" s="32">
        <f>'[1]Gebäudehülle über Terrain'!H107</f>
        <v>1450</v>
      </c>
      <c r="X7" s="32">
        <f>'[1]Gebäudehülle über Terrain'!H115</f>
        <v>1450</v>
      </c>
      <c r="Y7" s="32">
        <f>'[1]Gebäudehülle über Terrain'!H125</f>
        <v>1450</v>
      </c>
      <c r="Z7" s="32">
        <f>'[1]Gebäudehülle über Terrain'!H132</f>
        <v>10</v>
      </c>
      <c r="AA7" s="32">
        <f>'[1]Gebäudehülle über Terrain'!F139</f>
        <v>1</v>
      </c>
      <c r="AB7" s="32">
        <f>'[1]Gebäudehülle über Terrain'!H146</f>
        <v>470</v>
      </c>
      <c r="AC7" s="32">
        <f>'[1]Gebäudehülle über Terrain'!H154</f>
        <v>470</v>
      </c>
      <c r="AD7" s="32">
        <f>'[1]Gebäudehülle über Terrain'!H162</f>
        <v>7850</v>
      </c>
      <c r="AE7" s="32">
        <f>'[1]Gebäudehülle über Terrain'!H168</f>
        <v>485</v>
      </c>
      <c r="AF7" s="32">
        <f>'[1]Gebäudehülle über Terrain'!H176</f>
        <v>1500</v>
      </c>
      <c r="AG7" s="32">
        <f>'[1]Gebäudehülle über Terrain'!H187</f>
        <v>125</v>
      </c>
      <c r="AH7" s="32">
        <f>'[1]Gebäudehülle über Terrain'!H196</f>
        <v>125</v>
      </c>
      <c r="AI7" s="32">
        <f>'[1]Gebäudehülle über Terrain'!H205</f>
        <v>125</v>
      </c>
      <c r="AJ7" s="32">
        <f>'[1]Gebäudehülle über Terrain'!H217</f>
        <v>920</v>
      </c>
      <c r="AK7" s="32">
        <f>'[1]Gebäudehülle über Terrain'!H225</f>
        <v>1700</v>
      </c>
      <c r="AL7" s="32">
        <f>'[1]Gebäudehülle über Terrain'!H233</f>
        <v>1700</v>
      </c>
      <c r="AM7" s="32">
        <f>'[1]Gebäudehülle über Terrain'!H244</f>
        <v>1700</v>
      </c>
      <c r="AN7" s="32">
        <f>'[1]Innenbauteile &amp; Aussenbauteile'!H6</f>
        <v>470</v>
      </c>
      <c r="AO7" s="32">
        <f>'[1]Innenbauteile &amp; Aussenbauteile'!H14</f>
        <v>1550</v>
      </c>
      <c r="AP7" s="32">
        <f>'[1]Innenbauteile &amp; Aussenbauteile'!H21</f>
        <v>1550</v>
      </c>
      <c r="AQ7" s="32">
        <f>'[1]Innenbauteile &amp; Aussenbauteile'!H31</f>
        <v>20</v>
      </c>
      <c r="AR7" s="32">
        <f>'[1]Innenbauteile &amp; Aussenbauteile'!H38</f>
        <v>32</v>
      </c>
      <c r="AS7" s="32">
        <f>'[1]Innenbauteile &amp; Aussenbauteile'!H48</f>
        <v>470</v>
      </c>
      <c r="AT7" s="32">
        <f>'[1]Innenbauteile &amp; Aussenbauteile'!H56</f>
        <v>2000</v>
      </c>
      <c r="AU7" s="32">
        <f>'[1]Innenbauteile &amp; Aussenbauteile'!H66</f>
        <v>485</v>
      </c>
      <c r="AV7" s="32"/>
      <c r="AW7" s="32">
        <f>'[1]Innenbauteile &amp; Aussenbauteile'!H79</f>
        <v>925</v>
      </c>
      <c r="AX7" s="32">
        <f>'[1]Innenbauteile &amp; Aussenbauteile'!H85</f>
        <v>920</v>
      </c>
      <c r="AY7" s="32"/>
      <c r="AZ7" s="32"/>
      <c r="BA7" s="32">
        <f>'[1]Innenbauteile &amp; Aussenbauteile'!H106</f>
        <v>1700</v>
      </c>
      <c r="BB7" s="32">
        <f>'[1]Innenbauteile &amp; Aussenbauteile'!H113</f>
        <v>1700</v>
      </c>
      <c r="BC7" s="32">
        <f>'[1]Innenbauteile &amp; Aussenbauteile'!H126</f>
        <v>470</v>
      </c>
      <c r="BD7" s="32"/>
      <c r="BE7" s="32"/>
      <c r="BF7" s="32"/>
      <c r="BG7" s="32"/>
    </row>
    <row r="8" spans="2:59" x14ac:dyDescent="0.25">
      <c r="C8" s="32">
        <f>'[1]Gebäudehülle u.T.'!H12</f>
        <v>33</v>
      </c>
      <c r="D8" s="32">
        <f>'[1]Gebäudehülle u.T.'!H16</f>
        <v>115</v>
      </c>
      <c r="E8" s="32">
        <f>'[1]Gebäudehülle u.T.'!H26</f>
        <v>250</v>
      </c>
      <c r="F8" s="32">
        <f>'[1]Gebäudehülle u.T.'!H26</f>
        <v>250</v>
      </c>
      <c r="G8" s="32">
        <f>'[1]Gebäudehülle u.T.'!H38</f>
        <v>250</v>
      </c>
      <c r="H8" s="32">
        <f>'[1]Gebäudehülle u.T.'!H50</f>
        <v>250</v>
      </c>
      <c r="I8" s="32">
        <f>'[1]Gebäudehülle u.T.'!H59</f>
        <v>250</v>
      </c>
      <c r="J8" s="32">
        <f>'[1]Gebäudehülle u.T.'!H70</f>
        <v>250</v>
      </c>
      <c r="K8" s="32">
        <f>'[1]Gebäudehülle über Terrain'!H7</f>
        <v>1550</v>
      </c>
      <c r="L8" s="32">
        <f>'[1]Gebäudehülle über Terrain'!H15</f>
        <v>1100</v>
      </c>
      <c r="M8" s="32">
        <f>'[1]Gebäudehülle über Terrain'!H22</f>
        <v>925</v>
      </c>
      <c r="N8" s="32"/>
      <c r="O8" s="32"/>
      <c r="P8" s="32">
        <f>'[1]Gebäudehülle über Terrain'!H43</f>
        <v>1550</v>
      </c>
      <c r="Q8" s="32"/>
      <c r="R8" s="32">
        <f>'[1]Gebäudehülle über Terrain'!H58</f>
        <v>1100</v>
      </c>
      <c r="S8" s="32">
        <f>'[1]Gebäudehülle über Terrain'!H67</f>
        <v>1100</v>
      </c>
      <c r="T8" s="32">
        <f>'[1]Gebäudehülle über Terrain'!H79</f>
        <v>1450</v>
      </c>
      <c r="U8" s="32">
        <f>'[1]Gebäudehülle über Terrain'!H89</f>
        <v>1390</v>
      </c>
      <c r="V8" s="32">
        <f>'[1]Gebäudehülle über Terrain'!H98</f>
        <v>48</v>
      </c>
      <c r="W8" s="32">
        <f>'[1]Gebäudehülle über Terrain'!H108</f>
        <v>48</v>
      </c>
      <c r="X8" s="32">
        <f>'[1]Gebäudehülle über Terrain'!H116</f>
        <v>38</v>
      </c>
      <c r="Y8" s="32">
        <f>'[1]Gebäudehülle über Terrain'!H126</f>
        <v>48</v>
      </c>
      <c r="Z8" s="32"/>
      <c r="AA8" s="32"/>
      <c r="AB8" s="32">
        <f>'[1]Gebäudehülle über Terrain'!H147</f>
        <v>1550</v>
      </c>
      <c r="AC8" s="32">
        <f>'[1]Gebäudehülle über Terrain'!H155</f>
        <v>1550</v>
      </c>
      <c r="AD8" s="32">
        <f>'[1]Gebäudehülle über Terrain'!H163</f>
        <v>7850</v>
      </c>
      <c r="AE8" s="32">
        <f>'[1]Gebäudehülle über Terrain'!H169</f>
        <v>850</v>
      </c>
      <c r="AF8" s="32">
        <f>'[1]Gebäudehülle über Terrain'!H177</f>
        <v>485</v>
      </c>
      <c r="AG8" s="32">
        <f>'[1]Gebäudehülle über Terrain'!H188</f>
        <v>1100</v>
      </c>
      <c r="AH8" s="32">
        <f>'[1]Gebäudehülle über Terrain'!H197</f>
        <v>1100</v>
      </c>
      <c r="AI8" s="32">
        <f>'[1]Gebäudehülle über Terrain'!H206</f>
        <v>1100</v>
      </c>
      <c r="AJ8" s="32">
        <f>'[1]Gebäudehülle über Terrain'!H218</f>
        <v>2000</v>
      </c>
      <c r="AK8" s="32">
        <f>'[1]Gebäudehülle über Terrain'!H226</f>
        <v>7850</v>
      </c>
      <c r="AL8" s="32">
        <f>'[1]Gebäudehülle über Terrain'!H234</f>
        <v>7850</v>
      </c>
      <c r="AM8" s="32">
        <f>'[1]Gebäudehülle über Terrain'!H245</f>
        <v>7850</v>
      </c>
      <c r="AN8" s="32">
        <f>'[1]Innenbauteile &amp; Aussenbauteile'!H7</f>
        <v>1550</v>
      </c>
      <c r="AO8" s="32">
        <f>'[1]Innenbauteile &amp; Aussenbauteile'!H15</f>
        <v>1100</v>
      </c>
      <c r="AP8" s="32">
        <f>'[1]Innenbauteile &amp; Aussenbauteile'!H22</f>
        <v>1100</v>
      </c>
      <c r="AQ8" s="32">
        <f>'[1]Innenbauteile &amp; Aussenbauteile'!H32</f>
        <v>925</v>
      </c>
      <c r="AR8" s="32">
        <f>'[1]Innenbauteile &amp; Aussenbauteile'!H39</f>
        <v>925</v>
      </c>
      <c r="AS8" s="32">
        <f>'[1]Innenbauteile &amp; Aussenbauteile'!H49</f>
        <v>1550</v>
      </c>
      <c r="AT8" s="32">
        <f>'[1]Innenbauteile &amp; Aussenbauteile'!H57</f>
        <v>485</v>
      </c>
      <c r="AU8" s="32">
        <f>'[1]Innenbauteile &amp; Aussenbauteile'!H67</f>
        <v>485</v>
      </c>
      <c r="AV8" s="32"/>
      <c r="AW8" s="32">
        <f>'[1]Innenbauteile &amp; Aussenbauteile'!H80</f>
        <v>150</v>
      </c>
      <c r="AX8" s="32">
        <f>'[1]Innenbauteile &amp; Aussenbauteile'!H86</f>
        <v>7850</v>
      </c>
      <c r="AY8" s="32"/>
      <c r="AZ8" s="32"/>
      <c r="BA8" s="32">
        <f>'[1]Innenbauteile &amp; Aussenbauteile'!H107</f>
        <v>920</v>
      </c>
      <c r="BB8" s="32">
        <f>'[1]Innenbauteile &amp; Aussenbauteile'!H114</f>
        <v>920</v>
      </c>
      <c r="BC8" s="32">
        <f>'[1]Innenbauteile &amp; Aussenbauteile'!H127</f>
        <v>7900</v>
      </c>
      <c r="BD8" s="32"/>
      <c r="BE8" s="32"/>
      <c r="BF8" s="32"/>
      <c r="BG8" s="32"/>
    </row>
    <row r="9" spans="2:59" x14ac:dyDescent="0.25">
      <c r="E9" s="32">
        <f>'[1]Gebäudehülle u.T.'!H27</f>
        <v>960</v>
      </c>
      <c r="F9" s="32">
        <f>'[1]Gebäudehülle u.T.'!H27</f>
        <v>960</v>
      </c>
      <c r="G9" s="32">
        <f>'[1]Gebäudehülle u.T.'!H39</f>
        <v>960</v>
      </c>
      <c r="H9" s="32">
        <f>'[1]Gebäudehülle u.T.'!H51</f>
        <v>1180</v>
      </c>
      <c r="I9" s="32">
        <f>'[1]Gebäudehülle u.T.'!H60</f>
        <v>1175</v>
      </c>
      <c r="J9" s="32">
        <f>'[1]Gebäudehülle u.T.'!H71</f>
        <v>1175</v>
      </c>
      <c r="K9" s="32">
        <f>'[1]Gebäudehülle über Terrain'!H8</f>
        <v>1100</v>
      </c>
      <c r="L9" s="32">
        <f>'[1]Gebäudehülle über Terrain'!H16</f>
        <v>150</v>
      </c>
      <c r="M9" s="32">
        <f>'[1]Gebäudehülle über Terrain'!H23</f>
        <v>150</v>
      </c>
      <c r="N9" s="32"/>
      <c r="O9" s="32"/>
      <c r="P9" s="32">
        <f>'[1]Gebäudehülle über Terrain'!H44</f>
        <v>1100</v>
      </c>
      <c r="Q9" s="32"/>
      <c r="R9" s="32">
        <f>'[1]Gebäudehülle über Terrain'!H59</f>
        <v>1450</v>
      </c>
      <c r="S9" s="32">
        <f>'[1]Gebäudehülle über Terrain'!H68</f>
        <v>1360</v>
      </c>
      <c r="T9" s="32">
        <f>'[1]Gebäudehülle über Terrain'!H80</f>
        <v>7850</v>
      </c>
      <c r="U9" s="32">
        <f>'[1]Gebäudehülle über Terrain'!H90</f>
        <v>1360</v>
      </c>
      <c r="V9" s="32">
        <f>'[1]Gebäudehülle über Terrain'!H99</f>
        <v>920</v>
      </c>
      <c r="W9" s="32">
        <f>'[1]Gebäudehülle über Terrain'!H109</f>
        <v>920</v>
      </c>
      <c r="X9" s="32">
        <f>'[1]Gebäudehülle über Terrain'!H117</f>
        <v>920</v>
      </c>
      <c r="Y9" s="32">
        <f>'[1]Gebäudehülle über Terrain'!H127</f>
        <v>920</v>
      </c>
      <c r="Z9" s="32"/>
      <c r="AA9" s="32"/>
      <c r="AB9" s="32">
        <f>'[1]Gebäudehülle über Terrain'!H148</f>
        <v>1100</v>
      </c>
      <c r="AC9" s="32">
        <f>'[1]Gebäudehülle über Terrain'!H156</f>
        <v>1100</v>
      </c>
      <c r="AD9" s="32"/>
      <c r="AE9" s="32">
        <f>'[1]Gebäudehülle über Terrain'!H170</f>
        <v>925</v>
      </c>
      <c r="AF9" s="32">
        <f>'[1]Gebäudehülle über Terrain'!H178</f>
        <v>850</v>
      </c>
      <c r="AG9" s="32">
        <f>'[1]Gebäudehülle über Terrain'!H189</f>
        <v>920</v>
      </c>
      <c r="AH9" s="32">
        <f>'[1]Gebäudehülle über Terrain'!H198</f>
        <v>920</v>
      </c>
      <c r="AI9" s="32">
        <f>'[1]Gebäudehülle über Terrain'!H207</f>
        <v>920</v>
      </c>
      <c r="AJ9" s="32">
        <f>'[1]Gebäudehülle über Terrain'!H219</f>
        <v>2000</v>
      </c>
      <c r="AK9" s="32">
        <f>'[1]Gebäudehülle über Terrain'!H227</f>
        <v>90</v>
      </c>
      <c r="AL9" s="32">
        <f>'[1]Gebäudehülle über Terrain'!H235</f>
        <v>60</v>
      </c>
      <c r="AM9" s="32"/>
      <c r="AN9" s="32">
        <f>'[1]Innenbauteile &amp; Aussenbauteile'!H8</f>
        <v>1100</v>
      </c>
      <c r="AO9" s="32">
        <f>'[1]Innenbauteile &amp; Aussenbauteile'!H16</f>
        <v>150</v>
      </c>
      <c r="AP9" s="32">
        <f>'[1]Innenbauteile &amp; Aussenbauteile'!H23</f>
        <v>150</v>
      </c>
      <c r="AQ9" s="32">
        <f>'[1]Innenbauteile &amp; Aussenbauteile'!H33</f>
        <v>150</v>
      </c>
      <c r="AR9" s="32">
        <f>'[1]Innenbauteile &amp; Aussenbauteile'!H40</f>
        <v>150</v>
      </c>
      <c r="AS9" s="32">
        <f>'[1]Innenbauteile &amp; Aussenbauteile'!H50</f>
        <v>1100</v>
      </c>
      <c r="AT9" s="32">
        <f>'[1]Innenbauteile &amp; Aussenbauteile'!H58</f>
        <v>850</v>
      </c>
      <c r="AU9" s="32">
        <f>'[1]Innenbauteile &amp; Aussenbauteile'!H68</f>
        <v>850</v>
      </c>
      <c r="AV9" s="32"/>
      <c r="AW9" s="32"/>
      <c r="AX9" s="32"/>
      <c r="AY9" s="32"/>
      <c r="BA9" s="32">
        <f>'[1]Innenbauteile &amp; Aussenbauteile'!H108</f>
        <v>13</v>
      </c>
      <c r="BB9" s="32">
        <f>'[1]Innenbauteile &amp; Aussenbauteile'!H115</f>
        <v>13</v>
      </c>
      <c r="BC9" s="32">
        <f>'[1]Innenbauteile &amp; Aussenbauteile'!H128</f>
        <v>35</v>
      </c>
      <c r="BD9" s="32"/>
      <c r="BE9" s="32"/>
      <c r="BF9" s="32"/>
      <c r="BG9" s="32"/>
    </row>
    <row r="10" spans="2:59" x14ac:dyDescent="0.25">
      <c r="F10" s="32">
        <f>'[1]Gebäudehülle u.T.'!H31</f>
        <v>33</v>
      </c>
      <c r="G10" s="32">
        <f>'[1]Gebäudehülle u.T.'!H40</f>
        <v>115</v>
      </c>
      <c r="H10" s="32">
        <f>'[1]Gebäudehülle u.T.'!H52</f>
        <v>920</v>
      </c>
      <c r="I10" s="32">
        <f>'[1]Gebäudehülle u.T.'!H61</f>
        <v>33</v>
      </c>
      <c r="J10" s="32">
        <f>'[1]Gebäudehülle u.T.'!H72</f>
        <v>115</v>
      </c>
      <c r="K10" s="32">
        <f>'[1]Gebäudehülle über Terrain'!H9</f>
        <v>150</v>
      </c>
      <c r="L10" s="32"/>
      <c r="M10" s="32"/>
      <c r="N10" s="32"/>
      <c r="O10" s="32"/>
      <c r="P10" s="32">
        <f>'[1]Gebäudehülle über Terrain'!H45</f>
        <v>150</v>
      </c>
      <c r="Q10" s="32"/>
      <c r="R10" s="32">
        <f>'[1]Gebäudehülle über Terrain'!H60</f>
        <v>1550</v>
      </c>
      <c r="S10" s="32">
        <f>'[1]Gebäudehülle über Terrain'!H69</f>
        <v>1550</v>
      </c>
      <c r="T10" s="32">
        <f>'[1]Gebäudehülle über Terrain'!H81</f>
        <v>1450</v>
      </c>
      <c r="U10" s="32">
        <f>'[1]Gebäudehülle über Terrain'!H91</f>
        <v>38</v>
      </c>
      <c r="V10" s="32"/>
      <c r="W10" s="32"/>
      <c r="X10" s="32"/>
      <c r="Y10" s="32"/>
      <c r="AB10" s="32">
        <f>'[1]Gebäudehülle über Terrain'!H149</f>
        <v>150</v>
      </c>
      <c r="AC10" s="32">
        <f>'[1]Gebäudehülle über Terrain'!H157</f>
        <v>150</v>
      </c>
      <c r="AD10" s="32"/>
      <c r="AE10" s="32">
        <f>'[1]Gebäudehülle über Terrain'!H171</f>
        <v>150</v>
      </c>
      <c r="AF10" s="32">
        <f>'[1]Gebäudehülle über Terrain'!H179</f>
        <v>925</v>
      </c>
      <c r="AG10" s="32">
        <f>'[1]Gebäudehülle über Terrain'!H190</f>
        <v>2000</v>
      </c>
      <c r="AH10" s="32">
        <f>'[1]Gebäudehülle über Terrain'!H199</f>
        <v>2000</v>
      </c>
      <c r="AI10" s="32">
        <f>'[1]Gebäudehülle über Terrain'!H208</f>
        <v>2000</v>
      </c>
      <c r="AJ10" s="32"/>
      <c r="AK10" s="32">
        <f>'[1]Gebäudehülle über Terrain'!H228</f>
        <v>920</v>
      </c>
      <c r="AL10" s="32">
        <f>'[1]Gebäudehülle über Terrain'!H236</f>
        <v>920</v>
      </c>
      <c r="AM10" s="34"/>
      <c r="AN10" s="32">
        <f>'[1]Innenbauteile &amp; Aussenbauteile'!H9</f>
        <v>150</v>
      </c>
      <c r="AO10" s="32"/>
      <c r="AP10" s="32"/>
      <c r="AQ10" s="32"/>
      <c r="AR10" s="32"/>
      <c r="AS10" s="32">
        <f>'[1]Innenbauteile &amp; Aussenbauteile'!H51</f>
        <v>150</v>
      </c>
      <c r="AT10" s="32">
        <f>'[1]Innenbauteile &amp; Aussenbauteile'!H59</f>
        <v>925</v>
      </c>
      <c r="AU10" s="32">
        <f>'[1]Innenbauteile &amp; Aussenbauteile'!H69</f>
        <v>925</v>
      </c>
      <c r="AV10" s="32"/>
      <c r="AW10" s="32"/>
      <c r="AX10" s="32"/>
      <c r="AY10" s="32"/>
      <c r="BC10" s="32">
        <f>'[1]Innenbauteile &amp; Aussenbauteile'!H129</f>
        <v>2101.8181818181815</v>
      </c>
      <c r="BD10" s="32"/>
      <c r="BE10" s="32"/>
      <c r="BF10" s="32"/>
      <c r="BG10" s="32"/>
    </row>
    <row r="11" spans="2:59" x14ac:dyDescent="0.25">
      <c r="F11" s="32">
        <f>'[1]Gebäudehülle u.T.'!H32</f>
        <v>1000</v>
      </c>
      <c r="G11" s="32">
        <f>'[1]Gebäudehülle u.T.'!H41</f>
        <v>1000</v>
      </c>
      <c r="H11" s="32">
        <f>'[1]Gebäudehülle u.T.'!H53</f>
        <v>2000</v>
      </c>
      <c r="I11" s="32">
        <f>'[1]Gebäudehülle u.T.'!H62</f>
        <v>1200</v>
      </c>
      <c r="J11" s="32">
        <f>'[1]Gebäudehülle u.T.'!H73</f>
        <v>1000</v>
      </c>
      <c r="K11" s="32"/>
      <c r="L11" s="32"/>
      <c r="M11" s="32"/>
      <c r="N11" s="32"/>
      <c r="R11" s="32">
        <f>'[1]Gebäudehülle über Terrain'!H61</f>
        <v>150</v>
      </c>
      <c r="S11" s="32">
        <f>'[1]Gebäudehülle über Terrain'!H70</f>
        <v>150</v>
      </c>
      <c r="T11" s="32">
        <f>'[1]Gebäudehülle über Terrain'!H82</f>
        <v>38</v>
      </c>
      <c r="U11" s="32">
        <f>'[1]Gebäudehülle über Terrain'!H92</f>
        <v>920</v>
      </c>
      <c r="V11" s="32"/>
      <c r="W11" s="32"/>
      <c r="X11" s="32"/>
      <c r="Y11" s="32"/>
      <c r="AF11" s="32">
        <f>'[1]Gebäudehülle über Terrain'!H180</f>
        <v>150</v>
      </c>
      <c r="AG11" s="32">
        <f>'[1]Gebäudehülle über Terrain'!H191</f>
        <v>2000</v>
      </c>
      <c r="AH11" s="32">
        <f>'[1]Gebäudehülle über Terrain'!H200</f>
        <v>2000</v>
      </c>
      <c r="AI11" s="32">
        <f>'[1]Gebäudehülle über Terrain'!H209</f>
        <v>2000</v>
      </c>
      <c r="AJ11" s="32"/>
      <c r="AK11" s="32"/>
      <c r="AL11" s="32"/>
      <c r="AM11" s="32"/>
      <c r="AT11" s="32">
        <f>'[1]Innenbauteile &amp; Aussenbauteile'!H60</f>
        <v>150</v>
      </c>
      <c r="AU11" s="32">
        <f>'[1]Innenbauteile &amp; Aussenbauteile'!H70</f>
        <v>150</v>
      </c>
      <c r="AV11" s="32"/>
      <c r="AW11" s="32"/>
      <c r="AX11" s="32"/>
      <c r="AY11" s="32"/>
      <c r="BC11" s="32">
        <f>'[1]Innenbauteile &amp; Aussenbauteile'!H130</f>
        <v>7850</v>
      </c>
      <c r="BD11" s="32"/>
      <c r="BE11" s="32"/>
      <c r="BF11" s="32"/>
      <c r="BG11" s="32"/>
    </row>
    <row r="12" spans="2:59" x14ac:dyDescent="0.25">
      <c r="I12" s="32">
        <f>'[1]Gebäudehülle u.T.'!H63</f>
        <v>920</v>
      </c>
      <c r="J12" s="32">
        <f>'[1]Gebäudehülle u.T.'!H74</f>
        <v>1200</v>
      </c>
      <c r="K12" s="32"/>
      <c r="L12" s="32"/>
      <c r="M12" s="32"/>
      <c r="N12" s="32"/>
      <c r="T12" s="32">
        <f>'[1]Gebäudehülle über Terrain'!H83</f>
        <v>920</v>
      </c>
      <c r="U12" s="32"/>
      <c r="V12" s="32"/>
      <c r="W12" s="32"/>
      <c r="X12" s="32"/>
    </row>
    <row r="13" spans="2:59" x14ac:dyDescent="0.25">
      <c r="I13" s="32">
        <f>'[1]Gebäudehülle u.T.'!H64</f>
        <v>2000</v>
      </c>
      <c r="J13" s="32">
        <f>'[1]Gebäudehülle u.T.'!H75</f>
        <v>920</v>
      </c>
      <c r="K13" s="32"/>
      <c r="L13" s="32"/>
      <c r="M13" s="32"/>
      <c r="N13" s="32"/>
    </row>
    <row r="14" spans="2:59" x14ac:dyDescent="0.25">
      <c r="F14" s="35"/>
      <c r="I14" s="32"/>
      <c r="J14" s="32">
        <f>'[1]Gebäudehülle u.T.'!H76</f>
        <v>2000</v>
      </c>
      <c r="K14" s="32"/>
      <c r="L14" s="32"/>
      <c r="M14" s="32"/>
      <c r="N14" s="32"/>
    </row>
    <row r="16" spans="2:59" x14ac:dyDescent="0.25">
      <c r="I16" s="52" t="s">
        <v>288</v>
      </c>
      <c r="J16" s="52" t="s">
        <v>289</v>
      </c>
    </row>
    <row r="17" spans="5:18" x14ac:dyDescent="0.25">
      <c r="I17" s="52">
        <f>(30+35)/2</f>
        <v>32.5</v>
      </c>
      <c r="J17" s="52">
        <f>(100+165)/2</f>
        <v>132.5</v>
      </c>
    </row>
    <row r="20" spans="5:18" x14ac:dyDescent="0.25">
      <c r="E20" s="152"/>
      <c r="F20" s="152"/>
      <c r="G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</row>
  </sheetData>
  <mergeCells count="2">
    <mergeCell ref="E20:G20"/>
    <mergeCell ref="I20:R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6">
    <tabColor theme="4" tint="-0.249977111117893"/>
  </sheetPr>
  <dimension ref="B1:BI19"/>
  <sheetViews>
    <sheetView topLeftCell="V1" workbookViewId="0">
      <selection activeCell="AJ18" sqref="AJ18"/>
    </sheetView>
  </sheetViews>
  <sheetFormatPr defaultColWidth="10.85546875" defaultRowHeight="15" x14ac:dyDescent="0.25"/>
  <cols>
    <col min="5" max="5" width="35.42578125" bestFit="1" customWidth="1"/>
    <col min="6" max="7" width="35.42578125" customWidth="1"/>
    <col min="8" max="8" width="14.140625" bestFit="1" customWidth="1"/>
  </cols>
  <sheetData>
    <row r="1" spans="2:61" x14ac:dyDescent="0.25">
      <c r="E1" t="s">
        <v>183</v>
      </c>
      <c r="H1" t="s">
        <v>225</v>
      </c>
    </row>
    <row r="2" spans="2:61" x14ac:dyDescent="0.25">
      <c r="F2" s="36"/>
      <c r="G2" s="36"/>
    </row>
    <row r="3" spans="2:61" x14ac:dyDescent="0.25">
      <c r="D3" s="36"/>
      <c r="E3" s="36"/>
      <c r="F3" s="36"/>
      <c r="G3" s="36"/>
      <c r="H3" s="36"/>
      <c r="I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2:61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1" x14ac:dyDescent="0.25">
      <c r="B5" s="32">
        <f>'[1]Gebäudehülle u.T.'!I4</f>
        <v>7.0000000000000009</v>
      </c>
      <c r="C5" s="32">
        <f>'[1]Gebäudehülle u.T.'!I4</f>
        <v>7.0000000000000009</v>
      </c>
      <c r="D5" s="32">
        <f>'[1]Gebäudehülle u.T.'!I4</f>
        <v>7.0000000000000009</v>
      </c>
      <c r="E5" s="32">
        <f>'[1]Gebäudehülle u.T.'!I23</f>
        <v>24.689490445859871</v>
      </c>
      <c r="F5" s="32">
        <f>'[1]Gebäudehülle u.T.'!I23</f>
        <v>24.689490445859871</v>
      </c>
      <c r="G5" s="32">
        <f>'[1]Gebäudehülle u.T.'!I35</f>
        <v>24.71337579617834</v>
      </c>
      <c r="H5" s="32">
        <f>'[1]Gebäudehülle u.T.'!I47</f>
        <v>29.57006369426751</v>
      </c>
      <c r="I5" s="32">
        <f>'[1]Gebäudehülle u.T.'!I56</f>
        <v>29.57006369426751</v>
      </c>
      <c r="J5" s="32">
        <f>'[1]Gebäudehülle u.T.'!I67</f>
        <v>29.57006369426751</v>
      </c>
      <c r="K5" s="32">
        <f>'[1]Gebäudehülle über Terrain'!I4</f>
        <v>19.751592356687901</v>
      </c>
      <c r="L5" s="32">
        <f>'[1]Gebäudehülle über Terrain'!I12</f>
        <v>17.5</v>
      </c>
      <c r="M5" s="32">
        <f>'[1]Gebäudehülle über Terrain'!I19</f>
        <v>10</v>
      </c>
      <c r="N5" s="32">
        <f>'[1]Gebäudehülle über Terrain'!I27</f>
        <v>1.2823779193205949</v>
      </c>
      <c r="O5" s="32">
        <f>'[1]Gebäudehülle über Terrain'!I32</f>
        <v>1.2908704883227178</v>
      </c>
      <c r="P5" s="32">
        <f>'[1]Gebäudehülle über Terrain'!I40</f>
        <v>37.287804878048782</v>
      </c>
      <c r="Q5" s="32">
        <f>'[1]Gebäudehülle über Terrain'!I50</f>
        <v>1</v>
      </c>
      <c r="R5" s="32">
        <f>'[1]Gebäudehülle über Terrain'!I55</f>
        <v>0.3928571428571429</v>
      </c>
      <c r="S5" s="32">
        <f>'[1]Gebäudehülle über Terrain'!I64</f>
        <v>0.3928571428571429</v>
      </c>
      <c r="T5" s="32">
        <f>'[1]Gebäudehülle über Terrain'!I76</f>
        <v>2.85</v>
      </c>
      <c r="U5" s="32">
        <f>'[1]Gebäudehülle über Terrain'!I86</f>
        <v>0.87222222222222212</v>
      </c>
      <c r="V5" s="32">
        <f>'[1]Gebäudehülle über Terrain'!I95</f>
        <v>3</v>
      </c>
      <c r="W5" s="32">
        <f>'[1]Gebäudehülle über Terrain'!I105</f>
        <v>0.4</v>
      </c>
      <c r="X5" s="32">
        <f>'[1]Gebäudehülle über Terrain'!I113</f>
        <v>1</v>
      </c>
      <c r="Y5" s="32">
        <f>'[1]Gebäudehülle über Terrain'!I123</f>
        <v>11.5</v>
      </c>
      <c r="Z5" s="75">
        <v>10</v>
      </c>
      <c r="AA5" s="32" t="s">
        <v>224</v>
      </c>
      <c r="AB5" s="32">
        <f>'[1]Gebäudehülle über Terrain'!I144</f>
        <v>24.71337579617834</v>
      </c>
      <c r="AC5" s="32">
        <f>'[1]Gebäudehülle über Terrain'!I152</f>
        <v>39.248407643312106</v>
      </c>
      <c r="AD5" s="32">
        <f>'[1]Gebäudehülle über Terrain'!I160</f>
        <v>24.745222929936304</v>
      </c>
      <c r="AE5" s="32">
        <f>'[1]Gebäudehülle über Terrain'!I166</f>
        <v>2</v>
      </c>
      <c r="AF5" s="32">
        <f>'[1]Gebäudehülle über Terrain'!I174</f>
        <v>5.6000000000000005</v>
      </c>
      <c r="AG5" s="32">
        <f>'[1]Gebäudehülle über Terrain'!I185</f>
        <v>22</v>
      </c>
      <c r="AH5" s="32">
        <f>'[1]Gebäudehülle über Terrain'!I194</f>
        <v>16</v>
      </c>
      <c r="AI5" s="32">
        <f>'[1]Gebäudehülle über Terrain'!I203</f>
        <v>28.000000000000004</v>
      </c>
      <c r="AJ5" s="60">
        <f>'[1]Gebäudehülle über Terrain'!I215</f>
        <v>0.2</v>
      </c>
      <c r="AK5" s="32">
        <f>'[1]Gebäudehülle über Terrain'!I223</f>
        <v>0.33037997054491902</v>
      </c>
      <c r="AL5" s="32">
        <f>'[1]Gebäudehülle über Terrain'!I231</f>
        <v>0.33037997054491902</v>
      </c>
      <c r="AM5" s="32">
        <f>'[1]Gebäudehülle über Terrain'!I242</f>
        <v>0.33037997054491902</v>
      </c>
      <c r="AN5" s="32">
        <f>'[1]Innenbauteile &amp; Aussenbauteile'!I4</f>
        <v>19.751592356687901</v>
      </c>
      <c r="AO5" s="32">
        <f>'[1]Innenbauteile &amp; Aussenbauteile'!I12</f>
        <v>15</v>
      </c>
      <c r="AP5" s="32">
        <f>'[1]Innenbauteile &amp; Aussenbauteile'!I19</f>
        <v>15</v>
      </c>
      <c r="AQ5" s="32">
        <f>'[1]Innenbauteile &amp; Aussenbauteile'!I29</f>
        <v>5</v>
      </c>
      <c r="AR5" s="32">
        <f>'[1]Innenbauteile &amp; Aussenbauteile'!I36</f>
        <v>4.5</v>
      </c>
      <c r="AS5" s="32">
        <f>'[1]Innenbauteile &amp; Aussenbauteile'!I46</f>
        <v>24.649681528662423</v>
      </c>
      <c r="AT5" s="32">
        <f>'[1]Innenbauteile &amp; Aussenbauteile'!I54</f>
        <v>8.9599999999999991</v>
      </c>
      <c r="AU5" s="32">
        <f>'[1]Innenbauteile &amp; Aussenbauteile'!I64</f>
        <v>8.9656050955414006</v>
      </c>
      <c r="AV5" s="32">
        <f>'[1]Innenbauteile &amp; Aussenbauteile'!I73</f>
        <v>12</v>
      </c>
      <c r="AW5" s="32">
        <f>'[1]Innenbauteile &amp; Aussenbauteile'!I77</f>
        <v>1.5625</v>
      </c>
      <c r="AX5" s="32">
        <f>'[1]Innenbauteile &amp; Aussenbauteile'!I83</f>
        <v>0.06</v>
      </c>
      <c r="AY5" s="32">
        <f>'[1]Innenbauteile &amp; Aussenbauteile'!I93</f>
        <v>0.25</v>
      </c>
      <c r="AZ5" s="32">
        <f>'[1]Innenbauteile &amp; Aussenbauteile'!I97</f>
        <v>1.1000000000000001</v>
      </c>
      <c r="BA5" s="32">
        <f>'[1]Innenbauteile &amp; Aussenbauteile'!I104</f>
        <v>1.1000000000000001</v>
      </c>
      <c r="BB5" s="32">
        <v>0.9</v>
      </c>
      <c r="BC5" s="32">
        <f>'[1]Innenbauteile &amp; Aussenbauteile'!I124</f>
        <v>20.375</v>
      </c>
      <c r="BF5" s="32"/>
      <c r="BG5" s="32"/>
      <c r="BH5" s="32"/>
      <c r="BI5" s="32"/>
    </row>
    <row r="6" spans="2:61" x14ac:dyDescent="0.25">
      <c r="B6" s="32">
        <f>'[1]Gebäudehülle u.T.'!I5</f>
        <v>29.598726114649683</v>
      </c>
      <c r="C6" s="32">
        <f>'[1]Gebäudehülle u.T.'!I5</f>
        <v>29.598726114649683</v>
      </c>
      <c r="D6" s="32">
        <f>'[1]Gebäudehülle u.T.'!I5</f>
        <v>29.598726114649683</v>
      </c>
      <c r="E6" s="32">
        <f>'[1]Gebäudehülle u.T.'!I24</f>
        <v>0.31050955414012743</v>
      </c>
      <c r="F6" s="32">
        <f>'[1]Gebäudehülle u.T.'!I24</f>
        <v>0.31050955414012743</v>
      </c>
      <c r="G6" s="32">
        <f>'[1]Gebäudehülle u.T.'!I36</f>
        <v>0.28662420382165604</v>
      </c>
      <c r="H6" s="32">
        <f>'[1]Gebäudehülle u.T.'!I48</f>
        <v>0.42993630573248409</v>
      </c>
      <c r="I6" s="32">
        <f>'[1]Gebäudehülle u.T.'!I57</f>
        <v>0.42993630573248409</v>
      </c>
      <c r="J6" s="32">
        <f>'[1]Gebäudehülle u.T.'!I68</f>
        <v>0.42993630573248409</v>
      </c>
      <c r="K6" s="32">
        <f>'[1]Gebäudehülle über Terrain'!I5</f>
        <v>0.24840764331210191</v>
      </c>
      <c r="L6" s="32">
        <f>'[1]Gebäudehülle über Terrain'!I13</f>
        <v>3.3290322580645162</v>
      </c>
      <c r="M6" s="32">
        <f>'[1]Gebäudehülle über Terrain'!I20</f>
        <v>0.4</v>
      </c>
      <c r="N6" s="32">
        <f>'[1]Gebäudehülle über Terrain'!I28</f>
        <v>5.0955414012738856E-2</v>
      </c>
      <c r="O6" s="32">
        <f>'[1]Gebäudehülle über Terrain'!I33</f>
        <v>9.5541401273885357E-2</v>
      </c>
      <c r="P6" s="32">
        <f>'[1]Gebäudehülle über Terrain'!I41</f>
        <v>28.464444444444435</v>
      </c>
      <c r="Q6" s="32">
        <f>'[1]Gebäudehülle über Terrain'!I51</f>
        <v>0.15</v>
      </c>
      <c r="R6" s="32">
        <f>'[1]Gebäudehülle über Terrain'!I56</f>
        <v>22.000000000000004</v>
      </c>
      <c r="S6" s="32">
        <f>'[1]Gebäudehülle über Terrain'!I65</f>
        <v>20</v>
      </c>
      <c r="T6" s="32">
        <f>'[1]Gebäudehülle über Terrain'!I77</f>
        <v>0.2</v>
      </c>
      <c r="U6" s="32">
        <f>'[1]Gebäudehülle über Terrain'!I87</f>
        <v>8.2070346010866463E-2</v>
      </c>
      <c r="V6" s="32">
        <f>'[1]Gebäudehülle über Terrain'!I96</f>
        <v>0.16517451466336225</v>
      </c>
      <c r="W6" s="32">
        <f>'[1]Gebäudehülle über Terrain'!I106</f>
        <v>0.12484510532837656</v>
      </c>
      <c r="X6" s="32">
        <f>'[1]Gebäudehülle über Terrain'!I114</f>
        <v>0.16517451466336225</v>
      </c>
      <c r="Y6" s="32">
        <f>'[1]Gebäudehülle über Terrain'!I124</f>
        <v>2.5316455696202535E-2</v>
      </c>
      <c r="Z6" s="32">
        <f>'[1]Gebäudehülle über Terrain'!I131</f>
        <v>10</v>
      </c>
      <c r="AA6" s="32" t="s">
        <v>224</v>
      </c>
      <c r="AB6" s="32">
        <f>'[1]Gebäudehülle über Terrain'!I145</f>
        <v>0.28662420382165604</v>
      </c>
      <c r="AC6" s="32">
        <f>'[1]Gebäudehülle über Terrain'!I153</f>
        <v>0.75159235668789814</v>
      </c>
      <c r="AD6" s="32">
        <f>'[1]Gebäudehülle über Terrain'!I161</f>
        <v>0.25477707006369427</v>
      </c>
      <c r="AE6" s="32">
        <f>'[1]Gebäudehülle über Terrain'!I167</f>
        <v>23</v>
      </c>
      <c r="AF6" s="32">
        <f>'[1]Gebäudehülle über Terrain'!I175</f>
        <v>2.4</v>
      </c>
      <c r="AG6" s="32">
        <f>'[1]Gebäudehülle über Terrain'!I186</f>
        <v>0.65454545454545454</v>
      </c>
      <c r="AH6" s="32">
        <f>'[1]Gebäudehülle über Terrain'!I195</f>
        <v>0.65454545454545454</v>
      </c>
      <c r="AI6" s="32">
        <f>'[1]Gebäudehülle über Terrain'!I204</f>
        <v>0.65454545454545454</v>
      </c>
      <c r="AJ6" s="60">
        <f>'[1]Gebäudehülle über Terrain'!I216</f>
        <v>0.94545454545454555</v>
      </c>
      <c r="AK6" s="32">
        <f>'[1]Gebäudehülle über Terrain'!I224</f>
        <v>1.5217391304347827E-2</v>
      </c>
      <c r="AL6" s="32">
        <f>'[1]Gebäudehülle über Terrain'!I232</f>
        <v>1.5217391304347827E-2</v>
      </c>
      <c r="AM6" s="32">
        <f>'[1]Gebäudehülle über Terrain'!I243</f>
        <v>1.5217391304347827E-2</v>
      </c>
      <c r="AN6" s="32">
        <f>'[1]Innenbauteile &amp; Aussenbauteile'!I5</f>
        <v>0.24840764331210191</v>
      </c>
      <c r="AO6" s="32">
        <f>'[1]Innenbauteile &amp; Aussenbauteile'!I13</f>
        <v>2.8097419354838711</v>
      </c>
      <c r="AP6" s="32">
        <f>'[1]Innenbauteile &amp; Aussenbauteile'!I20</f>
        <v>2.3935483870967742</v>
      </c>
      <c r="AQ6" s="32">
        <f>'[1]Innenbauteile &amp; Aussenbauteile'!I30</f>
        <v>3.3630573248407646E-2</v>
      </c>
      <c r="AR6" s="32">
        <f>'[1]Innenbauteile &amp; Aussenbauteile'!I37</f>
        <v>1.6799999999999999E-2</v>
      </c>
      <c r="AS6" s="32">
        <f>'[1]Innenbauteile &amp; Aussenbauteile'!I47</f>
        <v>0.35031847133757965</v>
      </c>
      <c r="AT6" s="32">
        <f>'[1]Innenbauteile &amp; Aussenbauteile'!I55</f>
        <v>1.3333333333333334E-2</v>
      </c>
      <c r="AU6" s="32">
        <f>'[1]Innenbauteile &amp; Aussenbauteile'!I65</f>
        <v>3.4394904458598725E-2</v>
      </c>
      <c r="AV6" s="32">
        <f>'[1]Innenbauteile &amp; Aussenbauteile'!I74</f>
        <v>1.6304347826086956E-2</v>
      </c>
      <c r="AW6" s="32">
        <f>'[1]Innenbauteile &amp; Aussenbauteile'!I78</f>
        <v>2.802547770700637E-2</v>
      </c>
      <c r="AX6" s="32">
        <f>'[1]Innenbauteile &amp; Aussenbauteile'!I84</f>
        <v>0.01</v>
      </c>
      <c r="AY6" s="32">
        <f>'[1]Innenbauteile &amp; Aussenbauteile'!I94</f>
        <v>2.6666666666666668E-2</v>
      </c>
      <c r="AZ6" s="32">
        <f>'[1]Innenbauteile &amp; Aussenbauteile'!I98</f>
        <v>6.6666666666666666E-2</v>
      </c>
      <c r="BA6" s="32">
        <f>'[1]Innenbauteile &amp; Aussenbauteile'!I105</f>
        <v>6.6666666666666666E-2</v>
      </c>
      <c r="BB6" s="32">
        <f>'[1]Innenbauteile &amp; Aussenbauteile'!I112</f>
        <v>0.9285714285714286</v>
      </c>
      <c r="BC6" s="32">
        <f>'[1]Innenbauteile &amp; Aussenbauteile'!I125</f>
        <v>0.223328025477707</v>
      </c>
      <c r="BF6" s="32"/>
      <c r="BG6" s="32"/>
      <c r="BH6" s="32"/>
      <c r="BI6" s="32"/>
    </row>
    <row r="7" spans="2:61" x14ac:dyDescent="0.25">
      <c r="B7" s="32">
        <f>'[1]Gebäudehülle u.T.'!I6</f>
        <v>0.40127388535031849</v>
      </c>
      <c r="C7" s="32">
        <f>'[1]Gebäudehülle u.T.'!I6</f>
        <v>0.40127388535031849</v>
      </c>
      <c r="D7" s="32">
        <f>'[1]Gebäudehülle u.T.'!I6</f>
        <v>0.40127388535031849</v>
      </c>
      <c r="E7" s="32">
        <f>'[1]Gebäudehülle u.T.'!I25</f>
        <v>1.0000000000000002</v>
      </c>
      <c r="F7" s="32">
        <f>'[1]Gebäudehülle u.T.'!I25</f>
        <v>1.0000000000000002</v>
      </c>
      <c r="G7" s="32">
        <f>'[1]Gebäudehülle u.T.'!I37</f>
        <v>1.0000000000000002</v>
      </c>
      <c r="H7" s="32">
        <f>'[1]Gebäudehülle u.T.'!I49</f>
        <v>1.0000000000000002</v>
      </c>
      <c r="I7" s="32">
        <f>'[1]Gebäudehülle u.T.'!I58</f>
        <v>1.0000000000000002</v>
      </c>
      <c r="J7" s="32">
        <f>'[1]Gebäudehülle u.T.'!I69</f>
        <v>1.0000000000000002</v>
      </c>
      <c r="K7" s="32">
        <f>'[1]Gebäudehülle über Terrain'!I6</f>
        <v>1.0000000000000002</v>
      </c>
      <c r="L7" s="32">
        <f>'[1]Gebäudehülle über Terrain'!I14</f>
        <v>1.1612903225806452</v>
      </c>
      <c r="M7" s="32">
        <f>'[1]Gebäudehülle über Terrain'!I21</f>
        <v>1.25</v>
      </c>
      <c r="N7" s="32">
        <f>'[1]Gebäudehülle über Terrain'!I29</f>
        <v>0.1333333333333333</v>
      </c>
      <c r="O7" s="32">
        <f>'[1]Gebäudehülle über Terrain'!I34</f>
        <v>0.1333333333333333</v>
      </c>
      <c r="P7" s="32">
        <f>'[1]Gebäudehülle über Terrain'!I42</f>
        <v>0.255</v>
      </c>
      <c r="Q7" s="32">
        <f>'[1]Gebäudehülle über Terrain'!I52</f>
        <v>0.2</v>
      </c>
      <c r="R7" s="32">
        <f>'[1]Gebäudehülle über Terrain'!I57</f>
        <v>8.2758620689655175E-3</v>
      </c>
      <c r="S7" s="32">
        <f>'[1]Gebäudehülle über Terrain'!I66</f>
        <v>8.2758620689655175E-3</v>
      </c>
      <c r="T7" s="32">
        <f>'[1]Gebäudehülle über Terrain'!I78</f>
        <v>4.6917721518987335E-3</v>
      </c>
      <c r="U7" s="58">
        <f>'[1]Gebäudehülle über Terrain'!I88</f>
        <v>6.20253164556962E-4</v>
      </c>
      <c r="V7" s="32">
        <f>'[1]Gebäudehülle über Terrain'!I97</f>
        <v>8.2758620689655175E-3</v>
      </c>
      <c r="W7" s="32">
        <f>'[1]Gebäudehülle über Terrain'!I107</f>
        <v>8.2758620689655175E-3</v>
      </c>
      <c r="X7" s="32">
        <f>'[1]Gebäudehülle über Terrain'!I115</f>
        <v>8.2758620689655175E-3</v>
      </c>
      <c r="Y7" s="32">
        <f>'[1]Gebäudehülle über Terrain'!I125</f>
        <v>8.2758620689655175E-3</v>
      </c>
      <c r="Z7" s="32">
        <f>'[1]Gebäudehülle über Terrain'!I132</f>
        <v>10</v>
      </c>
      <c r="AA7" s="32" t="s">
        <v>224</v>
      </c>
      <c r="AB7" s="32">
        <f>'[1]Gebäudehülle über Terrain'!I146</f>
        <v>1.0000000000000002</v>
      </c>
      <c r="AC7" s="32">
        <f>'[1]Gebäudehülle über Terrain'!I154</f>
        <v>1.0000000000000002</v>
      </c>
      <c r="AD7" s="32">
        <f>'[1]Gebäudehülle über Terrain'!I162</f>
        <v>0.16560509554140126</v>
      </c>
      <c r="AE7" s="32">
        <f>'[1]Gebäudehülle über Terrain'!I168</f>
        <v>0.4</v>
      </c>
      <c r="AF7" s="32">
        <f>'[1]Gebäudehülle über Terrain'!I176</f>
        <v>1.8666666666666668E-2</v>
      </c>
      <c r="AG7" s="32">
        <f>'[1]Gebäudehülle über Terrain'!I187</f>
        <v>0.2</v>
      </c>
      <c r="AH7" s="32">
        <f>'[1]Gebäudehülle über Terrain'!I196</f>
        <v>0.2</v>
      </c>
      <c r="AI7" s="32">
        <f>'[1]Gebäudehülle über Terrain'!I205</f>
        <v>0.2</v>
      </c>
      <c r="AJ7" s="60">
        <f>'[1]Gebäudehülle über Terrain'!I217</f>
        <v>1.5217391304347827E-2</v>
      </c>
      <c r="AK7" s="32">
        <f>'[1]Gebäudehülle über Terrain'!I225</f>
        <v>2.9411764705882351</v>
      </c>
      <c r="AL7" s="32">
        <f>'[1]Gebäudehülle über Terrain'!I233</f>
        <v>2.9411764705882351</v>
      </c>
      <c r="AM7" s="32">
        <f>'[1]Gebäudehülle über Terrain'!I244</f>
        <v>2.9411764705882351</v>
      </c>
      <c r="AN7" s="32">
        <f>'[1]Innenbauteile &amp; Aussenbauteile'!I6</f>
        <v>1.0000000000000002</v>
      </c>
      <c r="AO7" s="32">
        <f>'[1]Innenbauteile &amp; Aussenbauteile'!I14</f>
        <v>2.3225806451612905</v>
      </c>
      <c r="AP7" s="32">
        <f>'[1]Innenbauteile &amp; Aussenbauteile'!I21</f>
        <v>2.3225806451612905</v>
      </c>
      <c r="AQ7" s="32">
        <f>'[1]Innenbauteile &amp; Aussenbauteile'!I31</f>
        <v>5</v>
      </c>
      <c r="AR7" s="32">
        <f>'[1]Innenbauteile &amp; Aussenbauteile'!I38</f>
        <v>6.25</v>
      </c>
      <c r="AS7" s="32">
        <f>'[1]Innenbauteile &amp; Aussenbauteile'!I48</f>
        <v>1.0000000000000002</v>
      </c>
      <c r="AT7" s="32">
        <f>'[1]Innenbauteile &amp; Aussenbauteile'!I56</f>
        <v>4</v>
      </c>
      <c r="AU7" s="32">
        <f>'[1]Innenbauteile &amp; Aussenbauteile'!I66</f>
        <v>13</v>
      </c>
      <c r="AV7" s="32"/>
      <c r="AW7" s="32">
        <f>'[1]Innenbauteile &amp; Aussenbauteile'!I79</f>
        <v>0.60540540540540544</v>
      </c>
      <c r="AX7" s="32">
        <f>'[1]Innenbauteile &amp; Aussenbauteile'!I85</f>
        <v>8.152173913043478E-3</v>
      </c>
      <c r="AY7" s="32"/>
      <c r="AZ7" s="32"/>
      <c r="BA7" s="32">
        <f>'[1]Innenbauteile &amp; Aussenbauteile'!I106</f>
        <v>7.617647058823529</v>
      </c>
      <c r="BB7" s="32">
        <f>'[1]Innenbauteile &amp; Aussenbauteile'!I113</f>
        <v>7.617647058823529</v>
      </c>
      <c r="BC7" s="32">
        <f>'[1]Innenbauteile &amp; Aussenbauteile'!I126</f>
        <v>1.0000000000000002</v>
      </c>
      <c r="BF7" s="32"/>
      <c r="BG7" s="32"/>
      <c r="BH7" s="32"/>
      <c r="BI7" s="32"/>
    </row>
    <row r="8" spans="2:61" x14ac:dyDescent="0.25">
      <c r="C8" s="32">
        <f>'[1]Gebäudehülle u.T.'!I12</f>
        <v>20</v>
      </c>
      <c r="D8" s="32">
        <f>'[1]Gebäudehülle u.T.'!I16</f>
        <v>25</v>
      </c>
      <c r="E8" s="32">
        <f>'[1]Gebäudehülle u.T.'!I26</f>
        <v>0.1</v>
      </c>
      <c r="F8" s="32">
        <f>'[1]Gebäudehülle u.T.'!I26</f>
        <v>0.1</v>
      </c>
      <c r="G8" s="32">
        <f>'[1]Gebäudehülle u.T.'!I38</f>
        <v>0.1</v>
      </c>
      <c r="H8" s="32">
        <f>'[1]Gebäudehülle u.T.'!I50</f>
        <v>0.1</v>
      </c>
      <c r="I8" s="32">
        <f>'[1]Gebäudehülle u.T.'!I59</f>
        <v>0.1</v>
      </c>
      <c r="J8" s="32">
        <f>'[1]Gebäudehülle u.T.'!I70</f>
        <v>0.1</v>
      </c>
      <c r="K8" s="32">
        <f>'[1]Gebäudehülle über Terrain'!I7</f>
        <v>1.1612903225806452</v>
      </c>
      <c r="L8" s="32">
        <f>'[1]Gebäudehülle über Terrain'!I15</f>
        <v>0.31818181818181818</v>
      </c>
      <c r="M8" s="32">
        <f>'[1]Gebäudehülle über Terrain'!I22</f>
        <v>0.60540540540540544</v>
      </c>
      <c r="N8" s="32"/>
      <c r="O8" s="32"/>
      <c r="P8" s="32">
        <f>'[1]Gebäudehülle über Terrain'!I43</f>
        <v>1.1612903225806452</v>
      </c>
      <c r="Q8" s="32"/>
      <c r="R8" s="32">
        <f>'[1]Gebäudehülle über Terrain'!I58</f>
        <v>1.0909090909090911</v>
      </c>
      <c r="S8" s="32">
        <f>'[1]Gebäudehülle über Terrain'!I67</f>
        <v>1.0909090909090911</v>
      </c>
      <c r="T8" s="32">
        <f>'[1]Gebäudehülle über Terrain'!I79</f>
        <v>5.8206896551724141E-3</v>
      </c>
      <c r="U8" s="58">
        <f>'[1]Gebäudehülle über Terrain'!I89</f>
        <v>8.6330935251798565E-4</v>
      </c>
      <c r="V8" s="32">
        <f>'[1]Gebäudehülle über Terrain'!I98</f>
        <v>22</v>
      </c>
      <c r="W8" s="32">
        <f>'[1]Gebäudehülle über Terrain'!I108</f>
        <v>22</v>
      </c>
      <c r="X8" s="32">
        <f>'[1]Gebäudehülle über Terrain'!I116</f>
        <v>20</v>
      </c>
      <c r="Y8" s="32">
        <f>'[1]Gebäudehülle über Terrain'!I126</f>
        <v>22</v>
      </c>
      <c r="Z8" s="32"/>
      <c r="AA8" s="32"/>
      <c r="AB8" s="32">
        <f>'[1]Gebäudehülle über Terrain'!I147</f>
        <v>1.1612903225806452</v>
      </c>
      <c r="AC8" s="32">
        <f>'[1]Gebäudehülle über Terrain'!I155</f>
        <v>1.1612903225806452</v>
      </c>
      <c r="AD8" s="32">
        <f>'[1]Gebäudehülle über Terrain'!I163</f>
        <v>0.12738853503184713</v>
      </c>
      <c r="AE8" s="32">
        <f>'[1]Gebäudehülle über Terrain'!I169</f>
        <v>1.25</v>
      </c>
      <c r="AF8" s="32">
        <f>'[1]Gebäudehülle über Terrain'!I177</f>
        <v>0.4</v>
      </c>
      <c r="AG8" s="32">
        <f>'[1]Gebäudehülle über Terrain'!I188</f>
        <v>0.47272727272727277</v>
      </c>
      <c r="AH8" s="32">
        <f>'[1]Gebäudehülle über Terrain'!I197</f>
        <v>0.47272727272727277</v>
      </c>
      <c r="AI8" s="32">
        <f>'[1]Gebäudehülle über Terrain'!I206</f>
        <v>0.47272727272727277</v>
      </c>
      <c r="AJ8" s="60">
        <f>'[1]Gebäudehülle über Terrain'!I218</f>
        <v>2.25</v>
      </c>
      <c r="AK8" s="32">
        <f>'[1]Gebäudehülle über Terrain'!I226</f>
        <v>2.7925590000000009E-3</v>
      </c>
      <c r="AL8" s="32">
        <f>'[1]Gebäudehülle über Terrain'!I234</f>
        <v>2.7925590000000009E-3</v>
      </c>
      <c r="AM8" s="32">
        <f>'[1]Gebäudehülle über Terrain'!I245</f>
        <v>2.7925590000000009E-3</v>
      </c>
      <c r="AN8" s="32">
        <f>'[1]Innenbauteile &amp; Aussenbauteile'!I7</f>
        <v>2.3225806451612905</v>
      </c>
      <c r="AO8" s="32">
        <f>'[1]Innenbauteile &amp; Aussenbauteile'!I15</f>
        <v>0.63636363636363635</v>
      </c>
      <c r="AP8" s="32">
        <f>'[1]Innenbauteile &amp; Aussenbauteile'!I22</f>
        <v>0.63636363636363635</v>
      </c>
      <c r="AQ8" s="32">
        <f>'[1]Innenbauteile &amp; Aussenbauteile'!I32</f>
        <v>1.2108108108108109</v>
      </c>
      <c r="AR8" s="32">
        <f>'[1]Innenbauteile &amp; Aussenbauteile'!I39</f>
        <v>1.2108108108108109</v>
      </c>
      <c r="AS8" s="32">
        <f>'[1]Innenbauteile &amp; Aussenbauteile'!I49</f>
        <v>1.1612903225806452</v>
      </c>
      <c r="AT8" s="32">
        <f>'[1]Innenbauteile &amp; Aussenbauteile'!I57</f>
        <v>0.4</v>
      </c>
      <c r="AU8" s="32">
        <f>'[1]Innenbauteile &amp; Aussenbauteile'!I67</f>
        <v>0.4</v>
      </c>
      <c r="AV8" s="32"/>
      <c r="AW8" s="32">
        <f>'[1]Innenbauteile &amp; Aussenbauteile'!I80</f>
        <v>0.2</v>
      </c>
      <c r="AX8" s="32">
        <f>'[1]Innenbauteile &amp; Aussenbauteile'!I86</f>
        <v>2.802547770700637E-2</v>
      </c>
      <c r="AY8" s="32"/>
      <c r="AZ8" s="32"/>
      <c r="BA8" s="32">
        <f>'[1]Innenbauteile &amp; Aussenbauteile'!I107</f>
        <v>1.6304347826086956E-2</v>
      </c>
      <c r="BB8" s="32">
        <f>'[1]Innenbauteile &amp; Aussenbauteile'!I114</f>
        <v>1.6304347826086956E-2</v>
      </c>
      <c r="BC8" s="32">
        <f>'[1]Innenbauteile &amp; Aussenbauteile'!I127</f>
        <v>5.949367088607594E-2</v>
      </c>
      <c r="BF8" s="32"/>
      <c r="BG8" s="32"/>
      <c r="BH8" s="32"/>
      <c r="BI8" s="32"/>
    </row>
    <row r="9" spans="2:61" x14ac:dyDescent="0.25">
      <c r="E9" s="32">
        <f>'[1]Gebäudehülle u.T.'!I27</f>
        <v>0.26041666666666663</v>
      </c>
      <c r="F9" s="32">
        <f>'[1]Gebäudehülle u.T.'!I27</f>
        <v>0.26041666666666663</v>
      </c>
      <c r="G9" s="32">
        <f>'[1]Gebäudehülle u.T.'!I39</f>
        <v>0.26041666666666663</v>
      </c>
      <c r="H9" s="32">
        <f>'[1]Gebäudehülle u.T.'!I51</f>
        <v>0.5</v>
      </c>
      <c r="I9" s="32">
        <f>'[1]Gebäudehülle u.T.'!I60</f>
        <v>0.4</v>
      </c>
      <c r="J9" s="32">
        <f>'[1]Gebäudehülle u.T.'!I71</f>
        <v>0.4</v>
      </c>
      <c r="K9" s="32">
        <f>'[1]Gebäudehülle über Terrain'!I8</f>
        <v>0.31818181818181818</v>
      </c>
      <c r="L9" s="32">
        <f>'[1]Gebäudehülle über Terrain'!I16</f>
        <v>0.2</v>
      </c>
      <c r="M9" s="32">
        <f>'[1]Gebäudehülle über Terrain'!I23</f>
        <v>0.2</v>
      </c>
      <c r="N9" s="32"/>
      <c r="O9" s="32"/>
      <c r="P9" s="32">
        <f>'[1]Gebäudehülle über Terrain'!I44</f>
        <v>0.31818181818181818</v>
      </c>
      <c r="Q9" s="32"/>
      <c r="R9" s="32">
        <f>'[1]Gebäudehülle über Terrain'!I59</f>
        <v>1.1034482758620689E-2</v>
      </c>
      <c r="S9" s="32">
        <f>'[1]Gebäudehülle über Terrain'!I68</f>
        <v>1.1764705882352941E-2</v>
      </c>
      <c r="T9" s="32">
        <f>'[1]Gebäudehülle über Terrain'!I80</f>
        <v>6.8789808917197465E-3</v>
      </c>
      <c r="U9" s="58">
        <f>'[1]Gebäudehülle über Terrain'!I90</f>
        <v>8.8235294117647058E-3</v>
      </c>
      <c r="V9" s="32">
        <f>'[1]Gebäudehülle über Terrain'!I99</f>
        <v>2.391304347826087E-2</v>
      </c>
      <c r="W9" s="32">
        <f>'[1]Gebäudehülle über Terrain'!I109</f>
        <v>2.391304347826087E-2</v>
      </c>
      <c r="X9" s="32">
        <f>'[1]Gebäudehülle über Terrain'!I117</f>
        <v>2.391304347826087E-2</v>
      </c>
      <c r="Y9" s="32">
        <f>'[1]Gebäudehülle über Terrain'!I127</f>
        <v>2.391304347826087E-2</v>
      </c>
      <c r="Z9" s="32"/>
      <c r="AA9" s="32"/>
      <c r="AB9" s="32">
        <f>'[1]Gebäudehülle über Terrain'!I148</f>
        <v>0.31818181818181818</v>
      </c>
      <c r="AC9" s="32">
        <f>'[1]Gebäudehülle über Terrain'!I156</f>
        <v>0.31818181818181818</v>
      </c>
      <c r="AD9" s="32"/>
      <c r="AE9" s="32">
        <f>'[1]Gebäudehülle über Terrain'!I170</f>
        <v>0.60540540540540544</v>
      </c>
      <c r="AF9" s="32">
        <f>'[1]Gebäudehülle über Terrain'!I178</f>
        <v>1.25</v>
      </c>
      <c r="AG9" s="32">
        <f>'[1]Gebäudehülle über Terrain'!I189</f>
        <v>1.5217391304347827E-2</v>
      </c>
      <c r="AH9" s="32">
        <f>'[1]Gebäudehülle über Terrain'!I198</f>
        <v>1.5217391304347827E-2</v>
      </c>
      <c r="AI9" s="32">
        <f>'[1]Gebäudehülle über Terrain'!I207</f>
        <v>1.5217391304347827E-2</v>
      </c>
      <c r="AJ9" s="60">
        <f>'[1]Gebäudehülle über Terrain'!I219</f>
        <v>3.5000000000000004</v>
      </c>
      <c r="AK9" s="32">
        <f>'[1]Gebäudehülle über Terrain'!I227</f>
        <v>22</v>
      </c>
      <c r="AL9" s="32">
        <f>'[1]Gebäudehülle über Terrain'!I235</f>
        <v>22</v>
      </c>
      <c r="AM9" s="32"/>
      <c r="AN9" s="32">
        <f>'[1]Innenbauteile &amp; Aussenbauteile'!I8</f>
        <v>0.63636363636363635</v>
      </c>
      <c r="AO9" s="32">
        <f>'[1]Innenbauteile &amp; Aussenbauteile'!I16</f>
        <v>0.2</v>
      </c>
      <c r="AP9" s="32">
        <f>'[1]Innenbauteile &amp; Aussenbauteile'!I23</f>
        <v>0.2</v>
      </c>
      <c r="AQ9" s="32">
        <f>'[1]Innenbauteile &amp; Aussenbauteile'!I33</f>
        <v>0.2</v>
      </c>
      <c r="AR9" s="32">
        <f>'[1]Innenbauteile &amp; Aussenbauteile'!I40</f>
        <v>0.2</v>
      </c>
      <c r="AS9" s="32">
        <f>'[1]Innenbauteile &amp; Aussenbauteile'!I50</f>
        <v>0.31818181818181818</v>
      </c>
      <c r="AT9" s="32">
        <f>'[1]Innenbauteile &amp; Aussenbauteile'!I58</f>
        <v>1.25</v>
      </c>
      <c r="AU9" s="32">
        <f>'[1]Innenbauteile &amp; Aussenbauteile'!I68</f>
        <v>1.25</v>
      </c>
      <c r="AV9" s="32"/>
      <c r="AW9" s="32"/>
      <c r="AX9" s="32"/>
      <c r="BA9" s="32">
        <f>'[1]Innenbauteile &amp; Aussenbauteile'!I108</f>
        <v>2</v>
      </c>
      <c r="BB9" s="32">
        <f>'[1]Innenbauteile &amp; Aussenbauteile'!I115</f>
        <v>2</v>
      </c>
      <c r="BC9" s="32">
        <f>'[1]Innenbauteile &amp; Aussenbauteile'!I128</f>
        <v>0.85714285714285721</v>
      </c>
      <c r="BF9" s="32"/>
      <c r="BG9" s="32"/>
      <c r="BH9" s="32"/>
      <c r="BI9" s="32"/>
    </row>
    <row r="10" spans="2:61" x14ac:dyDescent="0.25">
      <c r="F10" s="32">
        <f>'[1]Gebäudehülle u.T.'!I31</f>
        <v>20</v>
      </c>
      <c r="G10" s="32">
        <f>'[1]Gebäudehülle u.T.'!I40</f>
        <v>25</v>
      </c>
      <c r="H10" s="32">
        <f>'[1]Gebäudehülle u.T.'!I52</f>
        <v>4.3478260869565216E-2</v>
      </c>
      <c r="I10" s="32">
        <f>'[1]Gebäudehülle u.T.'!I61</f>
        <v>20</v>
      </c>
      <c r="J10" s="32">
        <f>'[1]Gebäudehülle u.T.'!I72</f>
        <v>25</v>
      </c>
      <c r="K10" s="32">
        <f>'[1]Gebäudehülle über Terrain'!I9</f>
        <v>0.2</v>
      </c>
      <c r="L10" s="32"/>
      <c r="P10" s="32">
        <f>'[1]Gebäudehülle über Terrain'!I45</f>
        <v>0.2</v>
      </c>
      <c r="Q10" s="32"/>
      <c r="R10" s="32">
        <f>'[1]Gebäudehülle über Terrain'!I60</f>
        <v>0.15</v>
      </c>
      <c r="S10" s="32">
        <f>'[1]Gebäudehülle über Terrain'!I69</f>
        <v>0.15</v>
      </c>
      <c r="T10" s="32">
        <f>'[1]Gebäudehülle über Terrain'!I81</f>
        <v>8.2758620689655175E-3</v>
      </c>
      <c r="U10" s="32">
        <f>'[1]Gebäudehülle über Terrain'!I91</f>
        <v>20</v>
      </c>
      <c r="V10" s="32"/>
      <c r="W10" s="32"/>
      <c r="X10" s="32"/>
      <c r="AB10" s="32">
        <f>'[1]Gebäudehülle über Terrain'!I149</f>
        <v>0.2</v>
      </c>
      <c r="AC10" s="32">
        <f>'[1]Gebäudehülle über Terrain'!I157</f>
        <v>0.2</v>
      </c>
      <c r="AD10" s="32"/>
      <c r="AE10" s="32">
        <f>'[1]Gebäudehülle über Terrain'!I171</f>
        <v>0.2</v>
      </c>
      <c r="AF10" s="32">
        <f>'[1]Gebäudehülle über Terrain'!I179</f>
        <v>0.60540540540540544</v>
      </c>
      <c r="AG10" s="32">
        <f>'[1]Gebäudehülle über Terrain'!I190</f>
        <v>2.25</v>
      </c>
      <c r="AH10" s="32">
        <f>'[1]Gebäudehülle über Terrain'!I199</f>
        <v>2.25</v>
      </c>
      <c r="AI10" s="32">
        <f>'[1]Gebäudehülle über Terrain'!I208</f>
        <v>2.25</v>
      </c>
      <c r="AJ10" s="32"/>
      <c r="AK10" s="32">
        <f>'[1]Gebäudehülle über Terrain'!I228</f>
        <v>1.9565217391304346E-2</v>
      </c>
      <c r="AL10" s="32">
        <f>'[1]Gebäudehülle über Terrain'!I236</f>
        <v>1.9565217391304346E-2</v>
      </c>
      <c r="AM10" s="34"/>
      <c r="AN10" s="32">
        <f>'[1]Innenbauteile &amp; Aussenbauteile'!I9</f>
        <v>0.2</v>
      </c>
      <c r="AO10" s="32"/>
      <c r="AP10" s="32"/>
      <c r="AS10" s="32">
        <f>'[1]Innenbauteile &amp; Aussenbauteile'!I51</f>
        <v>0.2</v>
      </c>
      <c r="AT10" s="32">
        <f>'[1]Innenbauteile &amp; Aussenbauteile'!I59</f>
        <v>0.60540540540540544</v>
      </c>
      <c r="AU10" s="32">
        <f>'[1]Innenbauteile &amp; Aussenbauteile'!I69</f>
        <v>0.60540540540540544</v>
      </c>
      <c r="AV10" s="32"/>
      <c r="AW10" s="32"/>
      <c r="AX10" s="32"/>
      <c r="BC10" s="32">
        <f>'[1]Innenbauteile &amp; Aussenbauteile'!I129</f>
        <v>2.75</v>
      </c>
      <c r="BF10" s="32"/>
      <c r="BG10" s="32"/>
      <c r="BH10" s="32"/>
      <c r="BI10" s="32"/>
    </row>
    <row r="11" spans="2:61" x14ac:dyDescent="0.25">
      <c r="F11" s="32">
        <f>'[1]Gebäudehülle u.T.'!I32</f>
        <v>0.3</v>
      </c>
      <c r="G11" s="32">
        <f>'[1]Gebäudehülle u.T.'!I41</f>
        <v>0.3</v>
      </c>
      <c r="H11" s="32">
        <f>'[1]Gebäudehülle u.T.'!I53</f>
        <v>3</v>
      </c>
      <c r="I11" s="32">
        <f>'[1]Gebäudehülle u.T.'!I62</f>
        <v>0.6</v>
      </c>
      <c r="J11" s="32">
        <f>'[1]Gebäudehülle u.T.'!I73</f>
        <v>1.3</v>
      </c>
      <c r="K11" s="32"/>
      <c r="L11" s="32"/>
      <c r="M11" s="32"/>
      <c r="R11" s="32">
        <f>'[1]Gebäudehülle über Terrain'!I61</f>
        <v>0.2</v>
      </c>
      <c r="S11" s="32">
        <f>'[1]Gebäudehülle über Terrain'!I70</f>
        <v>0.2</v>
      </c>
      <c r="T11" s="32">
        <f>'[1]Gebäudehülle über Terrain'!I82</f>
        <v>20</v>
      </c>
      <c r="U11" s="32">
        <f>'[1]Gebäudehülle über Terrain'!I92</f>
        <v>2.391304347826087E-2</v>
      </c>
      <c r="V11" s="32"/>
      <c r="W11" s="32"/>
      <c r="X11" s="32"/>
      <c r="AF11" s="32">
        <f>'[1]Gebäudehülle über Terrain'!I180</f>
        <v>0.2</v>
      </c>
      <c r="AG11" s="32">
        <f>'[1]Gebäudehülle über Terrain'!I191</f>
        <v>3.5000000000000004</v>
      </c>
      <c r="AH11" s="32">
        <f>'[1]Gebäudehülle über Terrain'!I200</f>
        <v>3.5000000000000004</v>
      </c>
      <c r="AI11" s="32">
        <f>'[1]Gebäudehülle über Terrain'!I209</f>
        <v>3.5000000000000004</v>
      </c>
      <c r="AJ11" s="32"/>
      <c r="AK11" s="32"/>
      <c r="AL11" s="32"/>
      <c r="AT11" s="32">
        <f>'[1]Innenbauteile &amp; Aussenbauteile'!I60</f>
        <v>0.2</v>
      </c>
      <c r="AU11" s="32">
        <f>'[1]Innenbauteile &amp; Aussenbauteile'!I70</f>
        <v>0.2</v>
      </c>
      <c r="AV11" s="32"/>
      <c r="AW11" s="32"/>
      <c r="AX11" s="32"/>
      <c r="BC11" s="32">
        <f>'[1]Innenbauteile &amp; Aussenbauteile'!I130</f>
        <v>0.16576433121019107</v>
      </c>
      <c r="BF11" s="32"/>
      <c r="BG11" s="32"/>
      <c r="BH11" s="32"/>
      <c r="BI11" s="32"/>
    </row>
    <row r="12" spans="2:61" x14ac:dyDescent="0.25">
      <c r="I12" s="32">
        <f>'[1]Gebäudehülle u.T.'!I63</f>
        <v>4.3478260869565216E-2</v>
      </c>
      <c r="J12" s="32">
        <f>'[1]Gebäudehülle u.T.'!I74</f>
        <v>0.6</v>
      </c>
      <c r="K12" s="32"/>
      <c r="L12" s="32"/>
      <c r="M12" s="32"/>
      <c r="T12" s="32">
        <f>'[1]Gebäudehülle über Terrain'!I83</f>
        <v>2.391304347826087E-2</v>
      </c>
      <c r="U12" s="32"/>
      <c r="V12" s="32"/>
      <c r="W12" s="32"/>
      <c r="AL12" s="32"/>
    </row>
    <row r="13" spans="2:61" x14ac:dyDescent="0.25">
      <c r="I13" s="32">
        <f>'[1]Gebäudehülle u.T.'!I64</f>
        <v>3</v>
      </c>
      <c r="J13" s="32">
        <f>'[1]Gebäudehülle u.T.'!I75</f>
        <v>4.3478260869565216E-2</v>
      </c>
      <c r="K13" s="32"/>
      <c r="L13" s="32"/>
      <c r="M13" s="32"/>
    </row>
    <row r="14" spans="2:61" x14ac:dyDescent="0.25">
      <c r="C14" s="35"/>
      <c r="D14" s="35"/>
      <c r="E14" s="35"/>
      <c r="J14" s="32">
        <f>'[1]Gebäudehülle u.T.'!I76</f>
        <v>3</v>
      </c>
      <c r="K14" s="32"/>
      <c r="L14" s="32"/>
      <c r="M14" s="32"/>
    </row>
    <row r="19" spans="7:20" x14ac:dyDescent="0.25">
      <c r="G19" s="152"/>
      <c r="H19" s="152"/>
      <c r="I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</row>
  </sheetData>
  <mergeCells count="2">
    <mergeCell ref="G19:I19"/>
    <mergeCell ref="K19:T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2" tint="-0.499984740745262"/>
  </sheetPr>
  <dimension ref="B1:AS44"/>
  <sheetViews>
    <sheetView topLeftCell="A34" zoomScale="85" zoomScaleNormal="85" workbookViewId="0">
      <selection activeCell="F40" sqref="F40:G78"/>
    </sheetView>
  </sheetViews>
  <sheetFormatPr defaultColWidth="10.85546875" defaultRowHeight="15" x14ac:dyDescent="0.25"/>
  <cols>
    <col min="2" max="2" width="39.42578125" bestFit="1" customWidth="1"/>
    <col min="3" max="3" width="9" bestFit="1" customWidth="1"/>
    <col min="4" max="4" width="3.42578125" bestFit="1" customWidth="1"/>
    <col min="5" max="5" width="11.85546875" customWidth="1"/>
    <col min="6" max="6" width="46.42578125" bestFit="1" customWidth="1"/>
    <col min="7" max="7" width="39.28515625" bestFit="1" customWidth="1"/>
    <col min="8" max="8" width="12.85546875" customWidth="1"/>
    <col min="9" max="11" width="5.42578125" customWidth="1"/>
    <col min="12" max="12" width="19.42578125" bestFit="1" customWidth="1"/>
    <col min="13" max="13" width="24.42578125" bestFit="1" customWidth="1"/>
    <col min="14" max="14" width="13" bestFit="1" customWidth="1"/>
    <col min="15" max="15" width="22.42578125" bestFit="1" customWidth="1"/>
    <col min="16" max="16" width="7.7109375" bestFit="1" customWidth="1"/>
    <col min="17" max="17" width="7" bestFit="1" customWidth="1"/>
    <col min="18" max="18" width="5.85546875" bestFit="1" customWidth="1"/>
    <col min="19" max="19" width="7" bestFit="1" customWidth="1"/>
    <col min="20" max="21" width="6.7109375" bestFit="1" customWidth="1"/>
    <col min="22" max="22" width="7" bestFit="1" customWidth="1"/>
    <col min="23" max="26" width="7" customWidth="1"/>
    <col min="27" max="27" width="8" bestFit="1" customWidth="1"/>
    <col min="28" max="28" width="8" customWidth="1"/>
    <col min="29" max="29" width="7" bestFit="1" customWidth="1"/>
    <col min="30" max="31" width="7" customWidth="1"/>
    <col min="32" max="32" width="7" bestFit="1" customWidth="1"/>
    <col min="33" max="33" width="7" customWidth="1"/>
    <col min="34" max="34" width="7" bestFit="1" customWidth="1"/>
    <col min="35" max="36" width="7" customWidth="1"/>
    <col min="37" max="37" width="7" bestFit="1" customWidth="1"/>
    <col min="38" max="38" width="8.42578125" bestFit="1" customWidth="1"/>
    <col min="39" max="39" width="19.42578125" bestFit="1" customWidth="1"/>
    <col min="40" max="40" width="38.140625" bestFit="1" customWidth="1"/>
    <col min="41" max="41" width="13" bestFit="1" customWidth="1"/>
    <col min="42" max="42" width="19.42578125" bestFit="1" customWidth="1"/>
    <col min="43" max="43" width="7.85546875" bestFit="1" customWidth="1"/>
    <col min="44" max="44" width="9.85546875" bestFit="1" customWidth="1"/>
    <col min="45" max="45" width="15.140625" bestFit="1" customWidth="1"/>
  </cols>
  <sheetData>
    <row r="1" spans="2:45" ht="15" customHeight="1" x14ac:dyDescent="0.25"/>
    <row r="2" spans="2:45" ht="20.25" x14ac:dyDescent="0.3">
      <c r="B2" s="41" t="s">
        <v>290</v>
      </c>
      <c r="C2" s="37"/>
      <c r="D2" s="37"/>
    </row>
    <row r="3" spans="2:45" ht="15.75" x14ac:dyDescent="0.25">
      <c r="B3" s="38" t="s">
        <v>360</v>
      </c>
      <c r="C3" s="37"/>
      <c r="D3" s="37"/>
      <c r="AS3" s="37"/>
    </row>
    <row r="4" spans="2:45" ht="20.25" x14ac:dyDescent="0.3">
      <c r="B4" s="37" t="s">
        <v>315</v>
      </c>
      <c r="C4" s="43">
        <v>13</v>
      </c>
      <c r="D4" s="37" t="s">
        <v>310</v>
      </c>
      <c r="F4" s="43" t="s">
        <v>240</v>
      </c>
      <c r="G4" s="91" t="s">
        <v>2</v>
      </c>
      <c r="H4" s="83" t="str">
        <f>VLOOKUP(G4,Database!H4:K6,4,FALSE)</f>
        <v>10c</v>
      </c>
      <c r="I4" s="143" t="s">
        <v>373</v>
      </c>
      <c r="J4" s="143" t="s">
        <v>376</v>
      </c>
      <c r="K4" s="143" t="s">
        <v>377</v>
      </c>
      <c r="M4" s="72" t="s">
        <v>344</v>
      </c>
      <c r="N4" s="73" t="s">
        <v>244</v>
      </c>
      <c r="O4" s="73" t="s">
        <v>378</v>
      </c>
      <c r="P4" s="113" t="s">
        <v>396</v>
      </c>
      <c r="Q4" s="113" t="s">
        <v>395</v>
      </c>
      <c r="R4" s="113" t="s">
        <v>397</v>
      </c>
      <c r="S4" s="113" t="s">
        <v>398</v>
      </c>
      <c r="T4" s="116" t="s">
        <v>400</v>
      </c>
      <c r="U4" s="116" t="s">
        <v>401</v>
      </c>
      <c r="V4" s="113" t="s">
        <v>423</v>
      </c>
      <c r="W4" s="118" t="s">
        <v>425</v>
      </c>
      <c r="X4" s="118" t="s">
        <v>426</v>
      </c>
      <c r="Y4" s="118" t="s">
        <v>427</v>
      </c>
      <c r="Z4" s="118" t="s">
        <v>428</v>
      </c>
      <c r="AA4" s="113" t="s">
        <v>429</v>
      </c>
      <c r="AB4" s="118" t="s">
        <v>430</v>
      </c>
      <c r="AC4" s="113" t="s">
        <v>431</v>
      </c>
      <c r="AD4" s="126" t="s">
        <v>432</v>
      </c>
      <c r="AE4" s="126" t="s">
        <v>433</v>
      </c>
      <c r="AF4" s="113" t="s">
        <v>434</v>
      </c>
      <c r="AG4" s="126" t="s">
        <v>435</v>
      </c>
      <c r="AH4" s="113" t="s">
        <v>438</v>
      </c>
      <c r="AI4" s="126" t="s">
        <v>439</v>
      </c>
      <c r="AJ4" s="126" t="s">
        <v>440</v>
      </c>
      <c r="AK4" s="113" t="s">
        <v>441</v>
      </c>
      <c r="AL4" s="142" t="s">
        <v>399</v>
      </c>
      <c r="AN4" s="72" t="s">
        <v>345</v>
      </c>
      <c r="AO4" s="73" t="s">
        <v>244</v>
      </c>
      <c r="AP4" s="73" t="s">
        <v>308</v>
      </c>
      <c r="AQ4" s="73" t="s">
        <v>306</v>
      </c>
      <c r="AR4" s="73" t="s">
        <v>305</v>
      </c>
    </row>
    <row r="5" spans="2:45" ht="15.75" x14ac:dyDescent="0.25">
      <c r="B5" s="37" t="s">
        <v>316</v>
      </c>
      <c r="C5" s="43">
        <v>25</v>
      </c>
      <c r="D5" s="37" t="s">
        <v>310</v>
      </c>
      <c r="F5" s="43" t="s">
        <v>326</v>
      </c>
      <c r="G5" s="55" t="s">
        <v>235</v>
      </c>
      <c r="H5" s="82"/>
      <c r="I5" s="144"/>
      <c r="J5" s="144"/>
      <c r="K5" s="144"/>
      <c r="M5" s="74" t="s">
        <v>184</v>
      </c>
      <c r="N5" s="53">
        <f>Bodenplatte!J4</f>
        <v>1048.7208523089171</v>
      </c>
      <c r="O5" s="87">
        <f>N5/$C$7</f>
        <v>1.1890259096472984</v>
      </c>
      <c r="P5" s="112">
        <f>Bodenplatte!L8</f>
        <v>1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  <c r="AJ5" s="112">
        <v>0</v>
      </c>
      <c r="AK5" s="112">
        <v>0</v>
      </c>
      <c r="AL5" s="142"/>
      <c r="AM5" s="115">
        <f t="shared" ref="AM5:AM15" si="0">SUM(P5:AK5)</f>
        <v>1</v>
      </c>
      <c r="AN5" s="74" t="s">
        <v>184</v>
      </c>
      <c r="AO5" s="53">
        <f>Bodenplatte!J11</f>
        <v>1048.7208523089171</v>
      </c>
      <c r="AP5" s="87">
        <f>AO5/$C$7</f>
        <v>1.1890259096472984</v>
      </c>
      <c r="AQ5" s="63">
        <f>Bodenplatte!L20</f>
        <v>1</v>
      </c>
      <c r="AR5" s="63">
        <f>Bodenplatte!M20</f>
        <v>0</v>
      </c>
    </row>
    <row r="6" spans="2:45" ht="15.75" x14ac:dyDescent="0.25">
      <c r="B6" s="37" t="s">
        <v>309</v>
      </c>
      <c r="C6" s="43">
        <f>(C8+C16+(C4*2+C5*2)*(C9*C11+C10*C12))/((C8+C16)/2*(C9*C11+C10*C12))</f>
        <v>0.39443696953851848</v>
      </c>
      <c r="D6" s="37" t="s">
        <v>224</v>
      </c>
      <c r="F6" s="43" t="s">
        <v>325</v>
      </c>
      <c r="G6" s="91" t="s">
        <v>17</v>
      </c>
      <c r="H6" s="82" t="str">
        <f>VLOOKUP(G6,Database!D4:E5,2,FALSE)</f>
        <v>7b</v>
      </c>
      <c r="I6" s="144"/>
      <c r="J6" s="144"/>
      <c r="K6" s="144"/>
      <c r="M6" s="74" t="s">
        <v>185</v>
      </c>
      <c r="N6" s="53">
        <f>'Aussenwand unter &amp; über Terrain'!J4</f>
        <v>0</v>
      </c>
      <c r="O6" s="87">
        <f t="shared" ref="O6:O12" si="1">N6/$C$7</f>
        <v>0</v>
      </c>
      <c r="P6" s="112">
        <v>0</v>
      </c>
      <c r="Q6" s="112">
        <f>'Aussenwand unter &amp; über Terrain'!L11</f>
        <v>0</v>
      </c>
      <c r="R6" s="112">
        <v>0</v>
      </c>
      <c r="S6" s="112">
        <v>0</v>
      </c>
      <c r="T6" s="112">
        <f>'Aussenwand unter &amp; über Terrain'!M11</f>
        <v>0</v>
      </c>
      <c r="U6" s="112">
        <f>'Aussenwand unter &amp; über Terrain'!N11</f>
        <v>0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42"/>
      <c r="AM6" s="115">
        <f t="shared" si="0"/>
        <v>0</v>
      </c>
      <c r="AN6" s="74" t="s">
        <v>185</v>
      </c>
      <c r="AO6" s="53">
        <f>'Aussenwand unter &amp; über Terrain'!J14</f>
        <v>0</v>
      </c>
      <c r="AP6" s="87">
        <f t="shared" ref="AP6:AP15" si="2">AO6/$C$7</f>
        <v>0</v>
      </c>
      <c r="AQ6" s="63">
        <f>'Aussenwand unter &amp; über Terrain'!L21</f>
        <v>0</v>
      </c>
      <c r="AR6" s="63">
        <f>'Aussenwand unter &amp; über Terrain'!N21</f>
        <v>0</v>
      </c>
    </row>
    <row r="7" spans="2:45" ht="18.75" x14ac:dyDescent="0.25">
      <c r="B7" s="37" t="s">
        <v>390</v>
      </c>
      <c r="C7" s="43">
        <f>IF(G6="Beheizt",1207,882)</f>
        <v>882</v>
      </c>
      <c r="D7" s="85" t="s">
        <v>372</v>
      </c>
      <c r="F7" s="43" t="s">
        <v>323</v>
      </c>
      <c r="G7" s="91" t="s">
        <v>239</v>
      </c>
      <c r="H7" s="82" t="str">
        <f>'Decke unter &amp; über Terrain'!AJ4</f>
        <v>11c</v>
      </c>
      <c r="I7" s="144"/>
      <c r="J7" s="144"/>
      <c r="K7" s="144"/>
      <c r="M7" s="74" t="s">
        <v>186</v>
      </c>
      <c r="N7" s="53">
        <f>'Dach unter &amp; über Terrain'!AE4</f>
        <v>0</v>
      </c>
      <c r="O7" s="87">
        <f t="shared" si="1"/>
        <v>0</v>
      </c>
      <c r="P7" s="112">
        <v>0</v>
      </c>
      <c r="Q7" s="112">
        <v>0</v>
      </c>
      <c r="R7" s="112">
        <v>0</v>
      </c>
      <c r="S7" s="112">
        <f>'Dach unter &amp; über Terrain'!AG14</f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f>'Dach unter &amp; über Terrain'!AH14</f>
        <v>0</v>
      </c>
      <c r="AD7" s="112">
        <f>'Dach unter &amp; über Terrain'!AI14</f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  <c r="AJ7" s="112">
        <v>0</v>
      </c>
      <c r="AK7" s="112">
        <v>0</v>
      </c>
      <c r="AL7" s="142"/>
      <c r="AM7" s="115">
        <f t="shared" si="0"/>
        <v>0</v>
      </c>
      <c r="AN7" s="74" t="s">
        <v>186</v>
      </c>
      <c r="AO7" s="53">
        <f>'Dach unter &amp; über Terrain'!AE17</f>
        <v>725.90549639065819</v>
      </c>
      <c r="AP7" s="87">
        <f t="shared" si="2"/>
        <v>0.8230221047513131</v>
      </c>
      <c r="AQ7" s="63" t="str">
        <f>'Dach unter &amp; über Terrain'!AG27</f>
        <v>Deckenkonstruktion C4</v>
      </c>
      <c r="AR7" s="63" t="e">
        <f>'Dach unter &amp; über Terrain'!#REF!</f>
        <v>#REF!</v>
      </c>
    </row>
    <row r="8" spans="2:45" ht="18.75" x14ac:dyDescent="0.25">
      <c r="B8" s="37" t="s">
        <v>388</v>
      </c>
      <c r="C8" s="43">
        <v>325</v>
      </c>
      <c r="D8" s="85" t="s">
        <v>372</v>
      </c>
      <c r="F8" s="43" t="s">
        <v>329</v>
      </c>
      <c r="G8" s="91" t="s">
        <v>239</v>
      </c>
      <c r="H8" s="82">
        <f>IF(G5="Ohne UG",0,IF(G4=Database!$H$6,"11c",VLOOKUP(G8,Database!D6:E8,2,FALSE)))</f>
        <v>0</v>
      </c>
      <c r="I8" s="144"/>
      <c r="J8" s="144"/>
      <c r="K8" s="144"/>
      <c r="M8" s="74" t="s">
        <v>253</v>
      </c>
      <c r="N8" s="53">
        <f>'Decke unter &amp; über Terrain'!AB4</f>
        <v>0</v>
      </c>
      <c r="O8" s="87">
        <f t="shared" si="1"/>
        <v>0</v>
      </c>
      <c r="P8" s="112">
        <v>0</v>
      </c>
      <c r="Q8" s="112">
        <v>0</v>
      </c>
      <c r="R8" s="112">
        <v>0</v>
      </c>
      <c r="S8" s="112">
        <f>'Decke unter &amp; über Terrain'!AD22</f>
        <v>0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f>'Decke unter &amp; über Terrain'!AG22</f>
        <v>0</v>
      </c>
      <c r="AG8" s="112">
        <f>'Decke unter &amp; über Terrain'!AH22</f>
        <v>0</v>
      </c>
      <c r="AH8" s="112">
        <v>0</v>
      </c>
      <c r="AI8" s="112">
        <v>0</v>
      </c>
      <c r="AJ8" s="112">
        <f>'Decke unter &amp; über Terrain'!AE22</f>
        <v>0</v>
      </c>
      <c r="AK8" s="112">
        <f>'Decke unter &amp; über Terrain'!AF22</f>
        <v>0</v>
      </c>
      <c r="AL8" s="142"/>
      <c r="AM8" s="115">
        <f t="shared" si="0"/>
        <v>0</v>
      </c>
      <c r="AN8" s="74" t="s">
        <v>253</v>
      </c>
      <c r="AO8" s="53">
        <f>'Decke unter &amp; über Terrain'!AB25</f>
        <v>0</v>
      </c>
      <c r="AP8" s="87">
        <f t="shared" si="2"/>
        <v>0</v>
      </c>
      <c r="AQ8" s="63">
        <f>'Decke unter &amp; über Terrain'!AD49</f>
        <v>0</v>
      </c>
      <c r="AR8" s="63">
        <f>'Decke unter &amp; über Terrain'!AI49</f>
        <v>0</v>
      </c>
    </row>
    <row r="9" spans="2:45" ht="15.75" x14ac:dyDescent="0.25">
      <c r="B9" s="37" t="s">
        <v>311</v>
      </c>
      <c r="C9" s="46">
        <v>1</v>
      </c>
      <c r="D9" s="37" t="s">
        <v>224</v>
      </c>
      <c r="F9" s="43" t="s">
        <v>334</v>
      </c>
      <c r="G9" s="91" t="s">
        <v>249</v>
      </c>
      <c r="H9" s="82" t="str">
        <f>VLOOKUP(G9,Database!D11:E13,2,FALSE)</f>
        <v>12d</v>
      </c>
      <c r="I9" s="144"/>
      <c r="J9" s="144"/>
      <c r="K9" s="144"/>
      <c r="M9" s="74" t="s">
        <v>187</v>
      </c>
      <c r="N9" s="53">
        <f>'Aussenwand unter &amp; über Terrain'!X4</f>
        <v>2883.2525358697803</v>
      </c>
      <c r="O9" s="87">
        <f t="shared" si="1"/>
        <v>3.268993804841021</v>
      </c>
      <c r="P9" s="112">
        <v>0</v>
      </c>
      <c r="Q9" s="112">
        <f>'Aussenwand unter &amp; über Terrain'!Z19</f>
        <v>0</v>
      </c>
      <c r="R9" s="112">
        <f>'Aussenwand unter &amp; über Terrain'!AA19</f>
        <v>2.3181686628953754E-2</v>
      </c>
      <c r="S9" s="112">
        <v>0</v>
      </c>
      <c r="T9" s="112">
        <v>0</v>
      </c>
      <c r="U9" s="112">
        <v>0</v>
      </c>
      <c r="V9" s="112">
        <f>'Aussenwand unter &amp; über Terrain'!AD19</f>
        <v>0</v>
      </c>
      <c r="W9" s="112">
        <f>'Aussenwand unter &amp; über Terrain'!AE19</f>
        <v>0</v>
      </c>
      <c r="X9" s="112">
        <f>'Aussenwand unter &amp; über Terrain'!AF19</f>
        <v>0</v>
      </c>
      <c r="Y9" s="112">
        <f>'Aussenwand unter &amp; über Terrain'!AG19</f>
        <v>0.57705663284818276</v>
      </c>
      <c r="Z9" s="112">
        <v>0</v>
      </c>
      <c r="AA9" s="112">
        <f>'Aussenwand unter &amp; über Terrain'!AH19</f>
        <v>0</v>
      </c>
      <c r="AB9" s="112">
        <f>'Aussenwand unter &amp; über Terrain'!AJ19</f>
        <v>0.399049332545862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112">
        <f>'Aussenwand unter &amp; über Terrain'!AB19</f>
        <v>0</v>
      </c>
      <c r="AI9" s="112">
        <f>'Aussenwand unter &amp; über Terrain'!AC19</f>
        <v>0</v>
      </c>
      <c r="AJ9" s="112">
        <v>0</v>
      </c>
      <c r="AK9" s="112">
        <v>0</v>
      </c>
      <c r="AL9" s="142"/>
      <c r="AM9" s="115">
        <f t="shared" si="0"/>
        <v>0.99928765202299852</v>
      </c>
      <c r="AN9" s="74" t="s">
        <v>187</v>
      </c>
      <c r="AO9" s="53">
        <f>'Aussenwand unter &amp; über Terrain'!X22</f>
        <v>2883.2525358697803</v>
      </c>
      <c r="AP9" s="87">
        <f t="shared" si="2"/>
        <v>3.268993804841021</v>
      </c>
      <c r="AQ9" s="63">
        <f>'Aussenwand unter &amp; über Terrain'!Z37</f>
        <v>0</v>
      </c>
      <c r="AR9" s="63">
        <f>'Aussenwand unter &amp; über Terrain'!AD37</f>
        <v>0</v>
      </c>
    </row>
    <row r="10" spans="2:45" ht="15.75" x14ac:dyDescent="0.25">
      <c r="B10" s="37" t="s">
        <v>312</v>
      </c>
      <c r="C10" s="46">
        <v>3</v>
      </c>
      <c r="D10" s="37" t="s">
        <v>224</v>
      </c>
      <c r="F10" s="43" t="s">
        <v>335</v>
      </c>
      <c r="G10" s="91" t="s">
        <v>249</v>
      </c>
      <c r="H10" s="82">
        <f>IF(G5="Ohne UG",0,VLOOKUP(G10,Database!D11:E13,2,FALSE))</f>
        <v>0</v>
      </c>
      <c r="I10" s="144"/>
      <c r="J10" s="144"/>
      <c r="K10" s="144"/>
      <c r="M10" s="74" t="s">
        <v>189</v>
      </c>
      <c r="N10" s="53">
        <f>'Dach unter &amp; über Terrain'!K4</f>
        <v>2007.5635982929934</v>
      </c>
      <c r="O10" s="87">
        <f t="shared" si="1"/>
        <v>2.2761492044138247</v>
      </c>
      <c r="P10" s="112">
        <v>0</v>
      </c>
      <c r="Q10" s="112">
        <v>0</v>
      </c>
      <c r="R10" s="112">
        <v>0</v>
      </c>
      <c r="S10" s="112">
        <f>'Dach unter &amp; über Terrain'!M19</f>
        <v>0.41317896130328957</v>
      </c>
      <c r="T10" s="112">
        <v>0</v>
      </c>
      <c r="U10" s="112">
        <v>0</v>
      </c>
      <c r="V10" s="112">
        <f>'Dach unter &amp; über Terrain'!U19</f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f>'Dach unter &amp; über Terrain'!P19</f>
        <v>0.58682103869671043</v>
      </c>
      <c r="AE10" s="112">
        <f>'Dach unter &amp; über Terrain'!Q19</f>
        <v>0</v>
      </c>
      <c r="AF10" s="112">
        <v>0</v>
      </c>
      <c r="AG10" s="112">
        <v>0</v>
      </c>
      <c r="AH10" s="112">
        <v>0</v>
      </c>
      <c r="AI10" s="112">
        <v>0</v>
      </c>
      <c r="AJ10" s="112">
        <f>'Dach unter &amp; über Terrain'!N19</f>
        <v>0</v>
      </c>
      <c r="AK10" s="112">
        <f>'Dach unter &amp; über Terrain'!O19</f>
        <v>0</v>
      </c>
      <c r="AL10" s="142"/>
      <c r="AM10" s="115">
        <f t="shared" si="0"/>
        <v>1</v>
      </c>
      <c r="AN10" s="74" t="s">
        <v>189</v>
      </c>
      <c r="AO10" s="53">
        <f>'Dach unter &amp; über Terrain'!K22</f>
        <v>596.35639000735421</v>
      </c>
      <c r="AP10" s="87">
        <f t="shared" si="2"/>
        <v>0.6761410317543699</v>
      </c>
      <c r="AQ10" s="63" t="str">
        <f>'Dach unter &amp; über Terrain'!M37</f>
        <v>Deckenkonstruktion C4</v>
      </c>
      <c r="AR10" s="63" t="str">
        <f>'Dach unter &amp; über Terrain'!N37</f>
        <v>Unterkonstruktion G4.1</v>
      </c>
    </row>
    <row r="11" spans="2:45" ht="15.75" x14ac:dyDescent="0.25">
      <c r="B11" s="37" t="s">
        <v>313</v>
      </c>
      <c r="C11" s="43">
        <v>2.35</v>
      </c>
      <c r="D11" s="37" t="s">
        <v>310</v>
      </c>
      <c r="F11" s="43" t="s">
        <v>327</v>
      </c>
      <c r="G11" s="91" t="s">
        <v>332</v>
      </c>
      <c r="H11" s="82">
        <f>IF(G5="Ohne UG",0,IF(G4="Mischbauweise","0",IF(G11="Ohne Dämmung","0",VLOOKUP(G4,Database!H8:K9,4,FALSE))))</f>
        <v>0</v>
      </c>
      <c r="I11" s="145"/>
      <c r="J11" s="144"/>
      <c r="K11" s="144"/>
      <c r="M11" s="74" t="s">
        <v>254</v>
      </c>
      <c r="N11" s="53">
        <f>'Decke unter &amp; über Terrain'!K4</f>
        <v>1770.1840496815284</v>
      </c>
      <c r="O11" s="87">
        <f t="shared" si="1"/>
        <v>2.0070113941967445</v>
      </c>
      <c r="P11" s="112">
        <v>0</v>
      </c>
      <c r="Q11" s="112">
        <v>0</v>
      </c>
      <c r="R11" s="112">
        <v>0</v>
      </c>
      <c r="S11" s="112">
        <f>'Decke unter &amp; über Terrain'!M22</f>
        <v>0.17542896631044164</v>
      </c>
      <c r="T11" s="112">
        <v>0</v>
      </c>
      <c r="U11" s="112">
        <v>0</v>
      </c>
      <c r="V11" s="112">
        <v>0</v>
      </c>
      <c r="W11" s="112">
        <v>0</v>
      </c>
      <c r="X11" s="112">
        <v>0</v>
      </c>
      <c r="Y11" s="112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f>'Decke unter &amp; über Terrain'!P22</f>
        <v>0.23857048465816</v>
      </c>
      <c r="AG11" s="112">
        <f>'Decke unter &amp; über Terrain'!Q22</f>
        <v>0.2359585152036287</v>
      </c>
      <c r="AH11" s="112">
        <v>0</v>
      </c>
      <c r="AI11" s="112">
        <v>0</v>
      </c>
      <c r="AJ11" s="112">
        <f>'Decke unter &amp; über Terrain'!N22</f>
        <v>6.0267033637468374E-2</v>
      </c>
      <c r="AK11" s="112">
        <f>'Decke unter &amp; über Terrain'!O22</f>
        <v>0.28977500019030134</v>
      </c>
      <c r="AL11" s="142"/>
      <c r="AM11" s="115">
        <f t="shared" si="0"/>
        <v>1</v>
      </c>
      <c r="AN11" s="74" t="s">
        <v>254</v>
      </c>
      <c r="AO11" s="53">
        <f>'Decke unter &amp; über Terrain'!K25</f>
        <v>930.18038301486195</v>
      </c>
      <c r="AP11" s="87">
        <f t="shared" si="2"/>
        <v>1.0546262845973491</v>
      </c>
      <c r="AQ11" s="63">
        <f>'Decke unter &amp; über Terrain'!M49</f>
        <v>0</v>
      </c>
      <c r="AR11" s="63">
        <f>'Decke unter &amp; über Terrain'!N49</f>
        <v>0</v>
      </c>
    </row>
    <row r="12" spans="2:45" ht="15.75" x14ac:dyDescent="0.25">
      <c r="B12" s="37" t="s">
        <v>314</v>
      </c>
      <c r="C12" s="43">
        <v>2.8</v>
      </c>
      <c r="D12" s="37" t="s">
        <v>310</v>
      </c>
      <c r="F12" s="43" t="s">
        <v>328</v>
      </c>
      <c r="G12" s="91" t="s">
        <v>304</v>
      </c>
      <c r="H12" s="82" t="str">
        <f>IF(G4="Massivbauweise",VLOOKUP(G12,Database!D16:E17,2,FALSE),VLOOKUP(Gebäude!G4,Database!H9:I10,2,FALSE))</f>
        <v>1e</v>
      </c>
      <c r="I12" s="82" t="str">
        <f>VLOOKUP(G4,Database!H4:O6,8,FALSE)</f>
        <v>2j</v>
      </c>
      <c r="J12" s="145"/>
      <c r="K12" s="145"/>
      <c r="M12" s="74" t="s">
        <v>374</v>
      </c>
      <c r="N12" s="86">
        <f>Innenwand!J4</f>
        <v>652.71768345500027</v>
      </c>
      <c r="O12" s="87">
        <f t="shared" si="1"/>
        <v>0.74004272500566926</v>
      </c>
      <c r="P12" s="112">
        <v>0</v>
      </c>
      <c r="Q12" s="112">
        <f>Innenwand!L10</f>
        <v>0.67352180674496531</v>
      </c>
      <c r="R12" s="112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12">
        <v>0</v>
      </c>
      <c r="Y12" s="112">
        <v>0</v>
      </c>
      <c r="Z12" s="112">
        <v>0</v>
      </c>
      <c r="AA12" s="112">
        <v>0</v>
      </c>
      <c r="AB12" s="112">
        <v>0</v>
      </c>
      <c r="AC12" s="112">
        <v>0</v>
      </c>
      <c r="AD12" s="112">
        <v>0</v>
      </c>
      <c r="AE12" s="112">
        <v>0</v>
      </c>
      <c r="AF12" s="112">
        <v>0</v>
      </c>
      <c r="AG12" s="112">
        <v>0</v>
      </c>
      <c r="AH12" s="112">
        <f>Innenwand!M10</f>
        <v>0.25733925134507291</v>
      </c>
      <c r="AI12" s="112">
        <f>Innenwand!N10</f>
        <v>6.9138941909961657E-2</v>
      </c>
      <c r="AJ12" s="112">
        <v>0</v>
      </c>
      <c r="AK12" s="112">
        <v>0</v>
      </c>
      <c r="AL12" s="142"/>
      <c r="AM12" s="115">
        <f t="shared" si="0"/>
        <v>0.99999999999999989</v>
      </c>
      <c r="AN12" s="74" t="s">
        <v>192</v>
      </c>
      <c r="AO12" s="53">
        <f>Innenwand!J24</f>
        <v>351.66115139999999</v>
      </c>
      <c r="AP12" s="87">
        <f t="shared" si="2"/>
        <v>0.39870878843537416</v>
      </c>
      <c r="AQ12" s="63" t="str">
        <f>Innenwand!L30</f>
        <v>Wandkonstruktion C2</v>
      </c>
      <c r="AR12" s="63">
        <f>Innenwand!O30</f>
        <v>0</v>
      </c>
    </row>
    <row r="13" spans="2:45" ht="18.75" x14ac:dyDescent="0.25">
      <c r="B13" s="37" t="s">
        <v>389</v>
      </c>
      <c r="C13" s="43">
        <v>325</v>
      </c>
      <c r="D13" s="85" t="s">
        <v>372</v>
      </c>
      <c r="F13" s="43" t="s">
        <v>324</v>
      </c>
      <c r="G13" s="91" t="s">
        <v>298</v>
      </c>
      <c r="H13" s="82" t="str">
        <f>IF(G4="Leichtbauweise","4d",IF(G4="Mischbauweise","4c",IF(G13="Flachdach","4a","4e")))</f>
        <v>4c</v>
      </c>
      <c r="I13" s="82" t="str">
        <f>IF(G4="Leichtbauweise","5a",IF(G4="Mischbauweise","5a",IF(G13="Flachdach","5a","5f")))</f>
        <v>5a</v>
      </c>
      <c r="J13" s="82" t="str">
        <f>Innenwand!P4</f>
        <v>9b</v>
      </c>
      <c r="K13" s="82" t="str">
        <f>Innenwand!P13</f>
        <v>9d</v>
      </c>
      <c r="M13" s="74" t="s">
        <v>375</v>
      </c>
      <c r="N13" s="86">
        <f>Innenwand!J13</f>
        <v>820.54268659999991</v>
      </c>
      <c r="O13" s="87">
        <f t="shared" ref="O13" si="3">N13/$C$7</f>
        <v>0.93032050634920627</v>
      </c>
      <c r="P13" s="112">
        <v>0</v>
      </c>
      <c r="Q13" s="112">
        <f>Innenwand!L19</f>
        <v>0.83369377092928443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f>Innenwand!M19</f>
        <v>0</v>
      </c>
      <c r="AI13" s="112">
        <f>Innenwand!N19</f>
        <v>0.16630622907071566</v>
      </c>
      <c r="AJ13" s="112">
        <v>0</v>
      </c>
      <c r="AK13" s="112">
        <v>0</v>
      </c>
      <c r="AL13" s="142"/>
      <c r="AM13" s="115">
        <f t="shared" si="0"/>
        <v>1</v>
      </c>
      <c r="AN13" s="74" t="s">
        <v>181</v>
      </c>
      <c r="AO13" s="53">
        <f>'Fenster-Balkon'!J10</f>
        <v>1347.0569333333333</v>
      </c>
      <c r="AP13" s="87">
        <f t="shared" si="2"/>
        <v>1.5272754346182917</v>
      </c>
      <c r="AQ13" s="63">
        <f>'Fenster-Balkon'!N17</f>
        <v>1</v>
      </c>
      <c r="AR13" s="63">
        <f>'Fenster-Balkon'!O17</f>
        <v>0</v>
      </c>
    </row>
    <row r="14" spans="2:45" ht="18.75" x14ac:dyDescent="0.25">
      <c r="B14" s="37" t="s">
        <v>379</v>
      </c>
      <c r="C14" s="43">
        <v>325</v>
      </c>
      <c r="D14" s="85" t="s">
        <v>372</v>
      </c>
      <c r="F14" s="43" t="s">
        <v>176</v>
      </c>
      <c r="G14" s="55" t="s">
        <v>322</v>
      </c>
      <c r="H14" s="84" t="str">
        <f>IF(G14="Ja","13a","0")</f>
        <v>0</v>
      </c>
      <c r="I14" s="89"/>
      <c r="J14" s="89"/>
      <c r="K14" s="89"/>
      <c r="M14" s="74" t="s">
        <v>181</v>
      </c>
      <c r="N14" s="53">
        <f>'Fenster-Balkon'!J4</f>
        <v>1347.0569333333333</v>
      </c>
      <c r="O14" s="87">
        <f>N14/$C$7</f>
        <v>1.5272754346182917</v>
      </c>
      <c r="P14" s="112">
        <v>0</v>
      </c>
      <c r="Q14" s="112">
        <v>0</v>
      </c>
      <c r="R14" s="112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f>'Fenster-Balkon'!L7</f>
        <v>0.63496222431380522</v>
      </c>
      <c r="AB14" s="112">
        <f>'Fenster-Balkon'!N7</f>
        <v>0.36503777568619472</v>
      </c>
      <c r="AC14" s="112">
        <v>0</v>
      </c>
      <c r="AD14" s="112">
        <v>0</v>
      </c>
      <c r="AE14" s="112">
        <v>0</v>
      </c>
      <c r="AF14" s="112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42"/>
      <c r="AM14" s="115">
        <f t="shared" si="0"/>
        <v>1</v>
      </c>
      <c r="AN14" s="74" t="s">
        <v>176</v>
      </c>
      <c r="AO14" s="53">
        <f>'Fenster-Balkon'!X14</f>
        <v>727.48943749999989</v>
      </c>
      <c r="AP14" s="87">
        <f t="shared" si="2"/>
        <v>0.82481795634920618</v>
      </c>
      <c r="AQ14" s="63" t="str">
        <f>IF($AO$14=0,0,'Fenster-Balkon'!Z21)</f>
        <v>Deckenkonstruktion C4</v>
      </c>
      <c r="AR14" s="63" t="str">
        <f>IF($AO$14=0,0,'Fenster-Balkon'!AH21)</f>
        <v>Absturzsicherung E2.6</v>
      </c>
    </row>
    <row r="15" spans="2:45" ht="18.75" x14ac:dyDescent="0.25">
      <c r="B15" s="37" t="s">
        <v>387</v>
      </c>
      <c r="C15" s="43">
        <v>0</v>
      </c>
      <c r="D15" s="85" t="s">
        <v>372</v>
      </c>
      <c r="M15" s="74" t="s">
        <v>176</v>
      </c>
      <c r="N15" s="53">
        <f>'Fenster-Balkon'!X4</f>
        <v>0</v>
      </c>
      <c r="O15" s="87">
        <f>N15/$C$7</f>
        <v>0</v>
      </c>
      <c r="P15" s="112">
        <v>0</v>
      </c>
      <c r="Q15" s="112">
        <v>0</v>
      </c>
      <c r="R15" s="112">
        <v>0</v>
      </c>
      <c r="S15" s="112">
        <f>'Fenster-Balkon'!Z11</f>
        <v>0</v>
      </c>
      <c r="T15" s="112">
        <v>0</v>
      </c>
      <c r="U15" s="112">
        <v>0</v>
      </c>
      <c r="V15" s="112">
        <v>0</v>
      </c>
      <c r="W15" s="112">
        <v>0</v>
      </c>
      <c r="X15" s="112">
        <v>0</v>
      </c>
      <c r="Y15" s="112">
        <v>0</v>
      </c>
      <c r="Z15" s="112">
        <f>'Fenster-Balkon'!AH11</f>
        <v>0</v>
      </c>
      <c r="AA15" s="112">
        <v>0</v>
      </c>
      <c r="AB15" s="112">
        <v>0</v>
      </c>
      <c r="AC15" s="112">
        <v>0</v>
      </c>
      <c r="AD15" s="112">
        <v>0</v>
      </c>
      <c r="AE15" s="112">
        <v>0</v>
      </c>
      <c r="AF15" s="112">
        <f>'Fenster-Balkon'!AA11</f>
        <v>0</v>
      </c>
      <c r="AG15" s="112">
        <f>'Fenster-Balkon'!AB11</f>
        <v>0</v>
      </c>
      <c r="AH15" s="112">
        <v>0</v>
      </c>
      <c r="AI15" s="112">
        <v>0</v>
      </c>
      <c r="AJ15" s="112">
        <v>0</v>
      </c>
      <c r="AK15" s="112">
        <v>0</v>
      </c>
      <c r="AL15" s="142"/>
      <c r="AM15" s="115">
        <f t="shared" si="0"/>
        <v>0</v>
      </c>
      <c r="AN15" s="38" t="s">
        <v>194</v>
      </c>
      <c r="AO15" s="54">
        <f>SUM(AO5:AO14)</f>
        <v>8610.6231798249046</v>
      </c>
      <c r="AP15" s="51">
        <f t="shared" si="2"/>
        <v>9.7626113149942224</v>
      </c>
      <c r="AQ15" s="64" t="e">
        <f>SUMPRODUCT((AO5:AO14*AQ5:AQ14))/SUM(AO5:AO14)</f>
        <v>#VALUE!</v>
      </c>
      <c r="AR15" s="64" t="e">
        <f>SUMPRODUCT((AO5:AO14*AR5:AR14))/SUM(AO5:AO14)</f>
        <v>#REF!</v>
      </c>
    </row>
    <row r="16" spans="2:45" ht="18.75" x14ac:dyDescent="0.25">
      <c r="B16" s="37" t="s">
        <v>386</v>
      </c>
      <c r="C16" s="43">
        <v>404.4</v>
      </c>
      <c r="D16" s="85" t="s">
        <v>372</v>
      </c>
      <c r="G16" t="s">
        <v>1</v>
      </c>
      <c r="M16" s="38" t="s">
        <v>194</v>
      </c>
      <c r="N16" s="54">
        <f>SUM(N5:N15)</f>
        <v>10530.038339541552</v>
      </c>
      <c r="O16" s="51">
        <f>N16/$C$7</f>
        <v>11.938818979072055</v>
      </c>
      <c r="P16" s="114">
        <f>SUMPRODUCT((N5:N15*P5:P15))/SUM(N5:N15)</f>
        <v>9.9593260583947255E-2</v>
      </c>
      <c r="Q16" s="114">
        <f>SUMPRODUCT((N5:N15*Q5:Q15))/SUM(N5:N15)</f>
        <v>0.10671384887891328</v>
      </c>
      <c r="R16" s="114">
        <f>SUMPRODUCT((N5:N15*R5:R15))/SUM(N5:N15)</f>
        <v>6.3474276734285327E-3</v>
      </c>
      <c r="S16" s="114">
        <f>SUMPRODUCT((N5:N15*S5:S15))/SUM(N5:N15)</f>
        <v>0.10826405028621092</v>
      </c>
      <c r="T16" s="114">
        <f>SUMPRODUCT((N5:N15*T5:T15))/SUM(N5:N15)</f>
        <v>0</v>
      </c>
      <c r="U16" s="114">
        <f>SUMPRODUCT((N5:N15*U5:U15))/SUM(N5:N15)</f>
        <v>0</v>
      </c>
      <c r="V16" s="114">
        <f>SUMPRODUCT((N5:N15*V5:V15))/SUM(N5:N15)</f>
        <v>0</v>
      </c>
      <c r="W16" s="114">
        <f>SUMPRODUCT((N5:N15*W5:W15))/SUM(N5:N15)</f>
        <v>0</v>
      </c>
      <c r="X16" s="114">
        <f>SUMPRODUCT((N5:N15*X5:X15))/SUM(N5:N15)</f>
        <v>0</v>
      </c>
      <c r="Y16" s="114">
        <f>SUMPRODUCT((N5:N15*Y5:Y15))/SUM(N5:N15)</f>
        <v>0.15800512271187389</v>
      </c>
      <c r="Z16" s="114">
        <f>SUMPRODUCT((N5:N15*Z5:Z15))/SUM(N5:N15)</f>
        <v>0</v>
      </c>
      <c r="AA16" s="114">
        <f>SUMPRODUCT((N5:N15*AA5:AA15))/SUM(N5:N15)</f>
        <v>8.1227649803970722E-2</v>
      </c>
      <c r="AB16" s="114">
        <f>SUMPRODUCT((N5:N15*AB5:AB15))/SUM(N5:N15)</f>
        <v>0.15596207855195399</v>
      </c>
      <c r="AC16" s="114">
        <f>SUMPRODUCT((N5:N15*AC5:AC15))/SUM(N5:N15)</f>
        <v>0</v>
      </c>
      <c r="AD16" s="114">
        <f>SUMPRODUCT((N5:N15*AD5:AD15))/SUM(N5:N15)</f>
        <v>0.11187808800051247</v>
      </c>
      <c r="AE16" s="114">
        <f>SUMPRODUCT((N5:N15*AE5:AE15))/SUM(N5:N15)</f>
        <v>0</v>
      </c>
      <c r="AF16" s="114">
        <f>SUMPRODUCT((N5:N15*AF5:AF15))/SUM(N5:N15)</f>
        <v>4.0105615293044884E-2</v>
      </c>
      <c r="AG16" s="114">
        <f>SUMPRODUCT((N5:N15*AG5:AG15))/SUM(N5:N15)</f>
        <v>3.9666522241569066E-2</v>
      </c>
      <c r="AH16" s="114">
        <f>SUMPRODUCT((N5:N15*AH5:AH15))/SUM(N5:N15)</f>
        <v>1.595149747643872E-2</v>
      </c>
      <c r="AI16" s="114">
        <f>SUMPRODUCT((N5:N15*AI5:AI15))/SUM(N5:N15)</f>
        <v>1.7244910620895795E-2</v>
      </c>
      <c r="AJ16" s="114">
        <f>SUMPRODUCT((N5:N15*AJ5:AJ15))/SUM(N5:N15)</f>
        <v>1.0131372576874338E-2</v>
      </c>
      <c r="AK16" s="114">
        <f>SUMPRODUCT((N5:N15*AK5:AK15))/SUM(N5:N15)</f>
        <v>4.8713505762569324E-2</v>
      </c>
      <c r="AL16" s="114">
        <f>SUM(P16:AK16)</f>
        <v>0.99980495046220319</v>
      </c>
      <c r="AM16" s="111"/>
    </row>
    <row r="17" spans="2:44" ht="18.75" x14ac:dyDescent="0.25">
      <c r="B17" s="37" t="s">
        <v>385</v>
      </c>
      <c r="C17" s="43">
        <v>200</v>
      </c>
      <c r="D17" s="85" t="s">
        <v>372</v>
      </c>
      <c r="O17" s="37"/>
    </row>
    <row r="18" spans="2:44" ht="18.75" x14ac:dyDescent="0.25">
      <c r="B18" s="37" t="s">
        <v>384</v>
      </c>
      <c r="C18" s="43">
        <v>376</v>
      </c>
      <c r="D18" s="85" t="s">
        <v>372</v>
      </c>
      <c r="O18" s="37"/>
    </row>
    <row r="19" spans="2:44" ht="18.75" x14ac:dyDescent="0.25">
      <c r="B19" s="37" t="s">
        <v>382</v>
      </c>
      <c r="C19" s="43">
        <v>566.70000000000005</v>
      </c>
      <c r="D19" s="85" t="s">
        <v>372</v>
      </c>
      <c r="AA19" t="s">
        <v>424</v>
      </c>
    </row>
    <row r="20" spans="2:44" ht="18.75" x14ac:dyDescent="0.25">
      <c r="B20" s="37" t="s">
        <v>383</v>
      </c>
      <c r="C20" s="43">
        <v>1322.3</v>
      </c>
      <c r="D20" s="85" t="s">
        <v>372</v>
      </c>
      <c r="N20" s="88"/>
    </row>
    <row r="21" spans="2:44" ht="18.75" x14ac:dyDescent="0.25">
      <c r="B21" s="37" t="s">
        <v>380</v>
      </c>
      <c r="C21" s="43">
        <v>257</v>
      </c>
      <c r="D21" s="85" t="s">
        <v>372</v>
      </c>
    </row>
    <row r="22" spans="2:44" ht="18.75" x14ac:dyDescent="0.25">
      <c r="B22" s="37" t="s">
        <v>381</v>
      </c>
      <c r="C22" s="43">
        <v>87</v>
      </c>
      <c r="D22" s="85" t="s">
        <v>372</v>
      </c>
      <c r="G22" t="s">
        <v>1</v>
      </c>
    </row>
    <row r="23" spans="2:44" x14ac:dyDescent="0.25">
      <c r="G23" t="s">
        <v>2</v>
      </c>
    </row>
    <row r="24" spans="2:44" ht="15.75" x14ac:dyDescent="0.25">
      <c r="D24" s="37"/>
    </row>
    <row r="25" spans="2:44" ht="20.25" customHeight="1" x14ac:dyDescent="0.3">
      <c r="B25" s="38" t="s">
        <v>263</v>
      </c>
      <c r="F25" s="43" t="s">
        <v>240</v>
      </c>
      <c r="G25" s="91" t="s">
        <v>232</v>
      </c>
      <c r="H25" s="83" t="str">
        <f>VLOOKUP(G25,Database!Y29:AE31,7,FALSE)</f>
        <v>10a</v>
      </c>
      <c r="I25" s="143" t="s">
        <v>377</v>
      </c>
      <c r="M25" s="72" t="s">
        <v>347</v>
      </c>
      <c r="N25" s="73" t="s">
        <v>244</v>
      </c>
      <c r="O25" s="73" t="s">
        <v>378</v>
      </c>
      <c r="P25" s="113" t="s">
        <v>396</v>
      </c>
      <c r="Q25" s="113" t="s">
        <v>395</v>
      </c>
      <c r="R25" s="113" t="s">
        <v>397</v>
      </c>
      <c r="S25" s="113" t="s">
        <v>398</v>
      </c>
      <c r="T25" s="116" t="s">
        <v>400</v>
      </c>
      <c r="U25" s="116" t="s">
        <v>401</v>
      </c>
      <c r="V25" s="113" t="s">
        <v>423</v>
      </c>
      <c r="W25" s="118" t="s">
        <v>425</v>
      </c>
      <c r="X25" s="118" t="s">
        <v>426</v>
      </c>
      <c r="Y25" s="118" t="s">
        <v>427</v>
      </c>
      <c r="Z25" s="118" t="s">
        <v>428</v>
      </c>
      <c r="AA25" s="113" t="s">
        <v>429</v>
      </c>
      <c r="AB25" s="118" t="s">
        <v>430</v>
      </c>
      <c r="AC25" s="113" t="s">
        <v>431</v>
      </c>
      <c r="AD25" s="126" t="s">
        <v>432</v>
      </c>
      <c r="AE25" s="126" t="s">
        <v>433</v>
      </c>
      <c r="AF25" s="113" t="s">
        <v>434</v>
      </c>
      <c r="AG25" s="126" t="s">
        <v>435</v>
      </c>
      <c r="AH25" s="113" t="s">
        <v>438</v>
      </c>
      <c r="AI25" s="126" t="s">
        <v>439</v>
      </c>
      <c r="AJ25" s="126" t="s">
        <v>440</v>
      </c>
      <c r="AK25" s="113" t="s">
        <v>441</v>
      </c>
      <c r="AL25" s="142" t="s">
        <v>399</v>
      </c>
      <c r="AN25" s="72" t="s">
        <v>346</v>
      </c>
      <c r="AO25" s="73" t="s">
        <v>244</v>
      </c>
      <c r="AP25" s="73" t="s">
        <v>308</v>
      </c>
      <c r="AQ25" s="73" t="s">
        <v>306</v>
      </c>
      <c r="AR25" s="73" t="s">
        <v>305</v>
      </c>
    </row>
    <row r="26" spans="2:44" ht="15.75" x14ac:dyDescent="0.25">
      <c r="B26" s="37" t="s">
        <v>315</v>
      </c>
      <c r="C26" s="43">
        <v>13</v>
      </c>
      <c r="D26" s="37" t="s">
        <v>310</v>
      </c>
      <c r="F26" s="43" t="s">
        <v>326</v>
      </c>
      <c r="G26" s="55" t="s">
        <v>234</v>
      </c>
      <c r="H26" s="82"/>
      <c r="I26" s="144"/>
      <c r="M26" s="74" t="s">
        <v>184</v>
      </c>
      <c r="N26" s="53">
        <f>Bodenplatte!$J$17</f>
        <v>712.54897730891719</v>
      </c>
      <c r="O26" s="87">
        <f t="shared" ref="O26:O37" si="4">N26/$C$29</f>
        <v>0.80787865908040501</v>
      </c>
      <c r="P26" s="112">
        <f>Bodenplatte!L29</f>
        <v>1</v>
      </c>
      <c r="Q26" s="112">
        <v>0</v>
      </c>
      <c r="R26" s="112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12">
        <v>0</v>
      </c>
      <c r="Y26" s="112">
        <v>0</v>
      </c>
      <c r="Z26" s="112">
        <v>0</v>
      </c>
      <c r="AA26" s="112">
        <v>0</v>
      </c>
      <c r="AB26" s="112">
        <v>0</v>
      </c>
      <c r="AC26" s="112">
        <v>0</v>
      </c>
      <c r="AD26" s="112">
        <v>0</v>
      </c>
      <c r="AE26" s="112">
        <v>0</v>
      </c>
      <c r="AF26" s="112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42"/>
      <c r="AM26" s="115">
        <f>SUM(P26:AK26)</f>
        <v>1</v>
      </c>
      <c r="AN26" s="74" t="s">
        <v>184</v>
      </c>
      <c r="AO26" s="53">
        <f>Bodenplatte!$J$24</f>
        <v>712.54897730891719</v>
      </c>
      <c r="AP26" s="87">
        <f t="shared" ref="AP26:AP36" si="5">AO26/$C$29</f>
        <v>0.80787865908040501</v>
      </c>
      <c r="AQ26" s="63">
        <f>Bodenplatte!L36</f>
        <v>1</v>
      </c>
      <c r="AR26" s="63">
        <f>Bodenplatte!M36</f>
        <v>0</v>
      </c>
    </row>
    <row r="27" spans="2:44" ht="15.75" x14ac:dyDescent="0.25">
      <c r="B27" s="37" t="s">
        <v>316</v>
      </c>
      <c r="C27" s="43">
        <v>25</v>
      </c>
      <c r="D27" s="37" t="s">
        <v>310</v>
      </c>
      <c r="F27" s="43" t="s">
        <v>186</v>
      </c>
      <c r="G27" s="55" t="s">
        <v>273</v>
      </c>
      <c r="H27" s="82" t="str">
        <f>IF(G26="Ohne UG",0,VLOOKUP(G27,Database!V46:W47,2,FALSE))</f>
        <v>8b</v>
      </c>
      <c r="I27" s="144"/>
      <c r="M27" s="74" t="s">
        <v>185</v>
      </c>
      <c r="N27" s="53">
        <f>'Aussenwand unter &amp; über Terrain'!$J$23</f>
        <v>437.45879405520168</v>
      </c>
      <c r="O27" s="87">
        <f t="shared" si="4"/>
        <v>0.49598502727347127</v>
      </c>
      <c r="P27" s="112">
        <v>0</v>
      </c>
      <c r="Q27" s="112">
        <f>'Aussenwand unter &amp; über Terrain'!L30</f>
        <v>0.56530382003780055</v>
      </c>
      <c r="R27" s="112">
        <v>0</v>
      </c>
      <c r="S27" s="112">
        <v>0</v>
      </c>
      <c r="T27" s="112">
        <f>'Aussenwand unter &amp; über Terrain'!M30</f>
        <v>0.32625930016620025</v>
      </c>
      <c r="U27" s="112">
        <f>'Aussenwand unter &amp; über Terrain'!N30</f>
        <v>0.10843687979599918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112">
        <v>0</v>
      </c>
      <c r="AE27" s="112">
        <v>0</v>
      </c>
      <c r="AF27" s="112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42"/>
      <c r="AM27" s="115">
        <f t="shared" ref="AM27:AM36" si="6">SUM(P27:AK27)</f>
        <v>1</v>
      </c>
      <c r="AN27" s="74" t="s">
        <v>185</v>
      </c>
      <c r="AO27" s="53">
        <f>'Aussenwand unter &amp; über Terrain'!$J$33</f>
        <v>0</v>
      </c>
      <c r="AP27" s="87">
        <f t="shared" si="5"/>
        <v>0</v>
      </c>
      <c r="AQ27" s="63">
        <f>'Aussenwand unter &amp; über Terrain'!L40</f>
        <v>0</v>
      </c>
      <c r="AR27" s="63">
        <f>'Aussenwand unter &amp; über Terrain'!N40</f>
        <v>0</v>
      </c>
    </row>
    <row r="28" spans="2:44" ht="15.75" x14ac:dyDescent="0.25">
      <c r="B28" s="37" t="s">
        <v>309</v>
      </c>
      <c r="C28" s="43">
        <f>(C30+C38+(C26*2+C27*2)*(C31*C33+C32*C34))/((C30+C38)/2*(C31*C33+C32*C34))</f>
        <v>0.39443696953851848</v>
      </c>
      <c r="D28" s="37" t="s">
        <v>224</v>
      </c>
      <c r="F28" s="43" t="s">
        <v>323</v>
      </c>
      <c r="G28" s="91" t="s">
        <v>238</v>
      </c>
      <c r="H28" s="82" t="str">
        <f>IF(G28="Ohne Installation",0,IF(G28="Mit abgehängte Installationsdecke-Mischbau 1","11a",VLOOKUP(Gebäude!G25,Database!Y29:AG31,9,FALSE)))</f>
        <v>11c</v>
      </c>
      <c r="I28" s="144"/>
      <c r="M28" s="74" t="s">
        <v>186</v>
      </c>
      <c r="N28" s="53">
        <f>'Dach unter &amp; über Terrain'!AE29</f>
        <v>0</v>
      </c>
      <c r="O28" s="87">
        <f t="shared" si="4"/>
        <v>0</v>
      </c>
      <c r="P28" s="112">
        <v>0</v>
      </c>
      <c r="Q28" s="112">
        <v>0</v>
      </c>
      <c r="R28" s="112">
        <v>0</v>
      </c>
      <c r="S28" s="112">
        <f>'Dach unter &amp; über Terrain'!AG39</f>
        <v>0</v>
      </c>
      <c r="T28" s="112">
        <v>0</v>
      </c>
      <c r="U28" s="112">
        <v>0</v>
      </c>
      <c r="V28" s="112">
        <v>0</v>
      </c>
      <c r="W28" s="112">
        <v>0</v>
      </c>
      <c r="X28" s="112">
        <v>0</v>
      </c>
      <c r="Y28" s="112">
        <v>0</v>
      </c>
      <c r="Z28" s="112">
        <v>0</v>
      </c>
      <c r="AA28" s="112">
        <v>0</v>
      </c>
      <c r="AB28" s="112">
        <v>0</v>
      </c>
      <c r="AC28" s="112">
        <f>'Dach unter &amp; über Terrain'!AH39</f>
        <v>0</v>
      </c>
      <c r="AD28" s="112">
        <f>'Dach unter &amp; über Terrain'!AI39</f>
        <v>0</v>
      </c>
      <c r="AE28" s="112">
        <v>0</v>
      </c>
      <c r="AF28" s="112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42"/>
      <c r="AM28" s="115">
        <f t="shared" si="6"/>
        <v>0</v>
      </c>
      <c r="AN28" s="74" t="s">
        <v>186</v>
      </c>
      <c r="AO28" s="53">
        <f>'Dach unter &amp; über Terrain'!$AE$42</f>
        <v>0</v>
      </c>
      <c r="AP28" s="87">
        <f t="shared" si="5"/>
        <v>0</v>
      </c>
      <c r="AQ28" s="63">
        <f>'Dach unter &amp; über Terrain'!AG53</f>
        <v>0</v>
      </c>
      <c r="AR28" s="63" t="e">
        <f>'Dach unter &amp; über Terrain'!#REF!</f>
        <v>#REF!</v>
      </c>
    </row>
    <row r="29" spans="2:44" ht="18.75" x14ac:dyDescent="0.25">
      <c r="B29" s="37" t="s">
        <v>390</v>
      </c>
      <c r="C29" s="43">
        <f>IF(G6="Beheizt",1207,882)</f>
        <v>882</v>
      </c>
      <c r="D29" s="85" t="s">
        <v>372</v>
      </c>
      <c r="F29" s="43" t="s">
        <v>329</v>
      </c>
      <c r="G29" s="91" t="s">
        <v>333</v>
      </c>
      <c r="H29" s="82">
        <f>IF(G26="Ohne UG",0,IF(G29="Ohne Installation",0,IF(G29="Mit abgehängte Installationsdecke-Mischbau 1","11a",VLOOKUP(Gebäude!G25,Database!Y29:AG31,9,FALSE))))</f>
        <v>0</v>
      </c>
      <c r="I29" s="144"/>
      <c r="M29" s="74" t="s">
        <v>253</v>
      </c>
      <c r="N29" s="53">
        <f>'Decke unter &amp; über Terrain'!$AB$45</f>
        <v>633.83023911889597</v>
      </c>
      <c r="O29" s="87">
        <f t="shared" si="4"/>
        <v>0.71862838902369153</v>
      </c>
      <c r="P29" s="112">
        <v>0</v>
      </c>
      <c r="Q29" s="112">
        <v>0</v>
      </c>
      <c r="R29" s="112">
        <v>0</v>
      </c>
      <c r="S29" s="112">
        <f>'Decke unter &amp; über Terrain'!AD63</f>
        <v>0.66191459988105261</v>
      </c>
      <c r="T29" s="112">
        <v>0</v>
      </c>
      <c r="U29" s="112">
        <v>0</v>
      </c>
      <c r="V29" s="112">
        <v>0</v>
      </c>
      <c r="W29" s="112">
        <v>0</v>
      </c>
      <c r="X29" s="112">
        <v>0</v>
      </c>
      <c r="Y29" s="112">
        <v>0</v>
      </c>
      <c r="Z29" s="112">
        <v>0</v>
      </c>
      <c r="AA29" s="112">
        <v>0</v>
      </c>
      <c r="AB29" s="112">
        <v>0</v>
      </c>
      <c r="AC29" s="112">
        <v>0</v>
      </c>
      <c r="AD29" s="112">
        <v>0</v>
      </c>
      <c r="AE29" s="112">
        <v>0</v>
      </c>
      <c r="AF29" s="112">
        <f>'Decke unter &amp; über Terrain'!AG63</f>
        <v>0</v>
      </c>
      <c r="AG29" s="112">
        <f>'Decke unter &amp; über Terrain'!AH63</f>
        <v>0.23005634264053137</v>
      </c>
      <c r="AH29" s="112">
        <v>0</v>
      </c>
      <c r="AI29" s="112">
        <v>0</v>
      </c>
      <c r="AJ29" s="112">
        <f>'Decke unter &amp; über Terrain'!AE63</f>
        <v>7.5990378854368698E-2</v>
      </c>
      <c r="AK29" s="112">
        <f>'Decke unter &amp; über Terrain'!AF63</f>
        <v>3.2038678624047259E-2</v>
      </c>
      <c r="AL29" s="142"/>
      <c r="AM29" s="115">
        <f t="shared" si="6"/>
        <v>1</v>
      </c>
      <c r="AN29" s="74" t="s">
        <v>253</v>
      </c>
      <c r="AO29" s="53">
        <f>'Decke unter &amp; über Terrain'!$AB$66</f>
        <v>0</v>
      </c>
      <c r="AP29" s="87">
        <f t="shared" si="5"/>
        <v>0</v>
      </c>
      <c r="AQ29" s="63">
        <f>'Decke unter &amp; über Terrain'!AD91</f>
        <v>0</v>
      </c>
      <c r="AR29" s="63">
        <f>'Decke unter &amp; über Terrain'!AI91</f>
        <v>0</v>
      </c>
    </row>
    <row r="30" spans="2:44" ht="18.75" x14ac:dyDescent="0.25">
      <c r="B30" s="37" t="s">
        <v>388</v>
      </c>
      <c r="C30" s="43">
        <v>325</v>
      </c>
      <c r="D30" s="85" t="s">
        <v>372</v>
      </c>
      <c r="F30" s="43" t="s">
        <v>334</v>
      </c>
      <c r="G30" s="91" t="s">
        <v>282</v>
      </c>
      <c r="H30" s="82" t="str">
        <f>VLOOKUP(G30,Database!U91:V92,2,FALSE)</f>
        <v>12b</v>
      </c>
      <c r="I30" s="144"/>
      <c r="M30" s="74" t="s">
        <v>187</v>
      </c>
      <c r="N30" s="53">
        <f>'Aussenwand unter &amp; über Terrain'!$X$39</f>
        <v>1151.9551166666665</v>
      </c>
      <c r="O30" s="87">
        <f t="shared" si="4"/>
        <v>1.3060715608465607</v>
      </c>
      <c r="P30" s="112">
        <v>0</v>
      </c>
      <c r="Q30" s="112">
        <f>'Aussenwand unter &amp; über Terrain'!Z54</f>
        <v>0.29656523510095673</v>
      </c>
      <c r="R30" s="112">
        <f>'Aussenwand unter &amp; über Terrain'!AA54</f>
        <v>0</v>
      </c>
      <c r="S30" s="112">
        <v>0</v>
      </c>
      <c r="T30" s="112">
        <v>0</v>
      </c>
      <c r="U30" s="112">
        <v>0</v>
      </c>
      <c r="V30" s="112">
        <f>'Aussenwand unter &amp; über Terrain'!AD54</f>
        <v>9.9275048433238311E-3</v>
      </c>
      <c r="W30" s="112">
        <f>'Aussenwand unter &amp; über Terrain'!AE54</f>
        <v>0.10677249332066713</v>
      </c>
      <c r="X30" s="112">
        <f>'Aussenwand unter &amp; über Terrain'!AF54</f>
        <v>0.36148977852971043</v>
      </c>
      <c r="Y30" s="112">
        <f>'Aussenwand unter &amp; über Terrain'!AG54</f>
        <v>0.15647760986984038</v>
      </c>
      <c r="Z30" s="112">
        <v>0</v>
      </c>
      <c r="AA30" s="112">
        <f>'Aussenwand unter &amp; über Terrain'!AH54</f>
        <v>0</v>
      </c>
      <c r="AB30" s="112">
        <f>'Aussenwand unter &amp; über Terrain'!AJ54</f>
        <v>0</v>
      </c>
      <c r="AC30" s="112">
        <v>0</v>
      </c>
      <c r="AD30" s="112">
        <v>0</v>
      </c>
      <c r="AE30" s="112">
        <v>0</v>
      </c>
      <c r="AF30" s="112">
        <v>0</v>
      </c>
      <c r="AG30" s="112">
        <v>0</v>
      </c>
      <c r="AH30" s="112">
        <f>'Aussenwand unter &amp; über Terrain'!AB54</f>
        <v>4.8372717993772539E-2</v>
      </c>
      <c r="AI30" s="112">
        <f>'Aussenwand unter &amp; über Terrain'!AC54</f>
        <v>2.0394660341728887E-2</v>
      </c>
      <c r="AJ30" s="112">
        <v>0</v>
      </c>
      <c r="AK30" s="112">
        <v>0</v>
      </c>
      <c r="AL30" s="142"/>
      <c r="AM30" s="115">
        <f t="shared" si="6"/>
        <v>0.99999999999999989</v>
      </c>
      <c r="AN30" s="74" t="s">
        <v>187</v>
      </c>
      <c r="AO30" s="53">
        <f>'Aussenwand unter &amp; über Terrain'!$X$57</f>
        <v>1151.9551166666665</v>
      </c>
      <c r="AP30" s="87">
        <f t="shared" si="5"/>
        <v>1.3060715608465607</v>
      </c>
      <c r="AQ30" s="63">
        <f>'Aussenwand unter &amp; über Terrain'!Z73</f>
        <v>0</v>
      </c>
      <c r="AR30" s="63">
        <f>'Aussenwand unter &amp; über Terrain'!AD73</f>
        <v>0</v>
      </c>
    </row>
    <row r="31" spans="2:44" ht="15.75" x14ac:dyDescent="0.25">
      <c r="B31" s="37" t="s">
        <v>311</v>
      </c>
      <c r="C31" s="46">
        <v>1</v>
      </c>
      <c r="D31" s="37" t="s">
        <v>224</v>
      </c>
      <c r="F31" s="43" t="s">
        <v>335</v>
      </c>
      <c r="G31" s="91" t="s">
        <v>276</v>
      </c>
      <c r="H31" s="82" t="str">
        <f>IF(G26="Ohne UG",0,VLOOKUP(G31,Database!S96:T97,2,FALSE))</f>
        <v>12b</v>
      </c>
      <c r="I31" s="144"/>
      <c r="M31" s="74" t="s">
        <v>189</v>
      </c>
      <c r="N31" s="53">
        <f>'Dach unter &amp; über Terrain'!K39</f>
        <v>1879.2976075796178</v>
      </c>
      <c r="O31" s="87">
        <f t="shared" si="4"/>
        <v>2.1307229110880019</v>
      </c>
      <c r="P31" s="112">
        <v>0</v>
      </c>
      <c r="Q31" s="112">
        <v>0</v>
      </c>
      <c r="R31" s="112">
        <v>0</v>
      </c>
      <c r="S31" s="112">
        <f>'Dach unter &amp; über Terrain'!M54</f>
        <v>0.2660753621793952</v>
      </c>
      <c r="T31" s="112">
        <v>0</v>
      </c>
      <c r="U31" s="112">
        <v>0</v>
      </c>
      <c r="V31" s="112">
        <f>'Dach unter &amp; über Terrain'!U54</f>
        <v>0</v>
      </c>
      <c r="W31" s="112">
        <v>0</v>
      </c>
      <c r="X31" s="112">
        <v>0</v>
      </c>
      <c r="Y31" s="112">
        <v>0</v>
      </c>
      <c r="Z31" s="112">
        <v>0</v>
      </c>
      <c r="AA31" s="112">
        <v>0</v>
      </c>
      <c r="AB31" s="112">
        <v>0</v>
      </c>
      <c r="AC31" s="112">
        <v>0</v>
      </c>
      <c r="AD31" s="112">
        <f>'Dach unter &amp; über Terrain'!P54</f>
        <v>0.68858836981474536</v>
      </c>
      <c r="AE31" s="112">
        <f>'Dach unter &amp; über Terrain'!Q54</f>
        <v>0</v>
      </c>
      <c r="AF31" s="112">
        <v>0</v>
      </c>
      <c r="AG31" s="112">
        <v>0</v>
      </c>
      <c r="AH31" s="112">
        <v>0</v>
      </c>
      <c r="AI31" s="112">
        <v>0</v>
      </c>
      <c r="AJ31" s="112">
        <f>'Dach unter &amp; über Terrain'!N54</f>
        <v>0</v>
      </c>
      <c r="AK31" s="112">
        <f>'Dach unter &amp; über Terrain'!O54</f>
        <v>1.344558727584582E-2</v>
      </c>
      <c r="AL31" s="142"/>
      <c r="AM31" s="115">
        <f t="shared" si="6"/>
        <v>0.96810931926998633</v>
      </c>
      <c r="AN31" s="74" t="s">
        <v>189</v>
      </c>
      <c r="AO31" s="53">
        <f>'Dach unter &amp; über Terrain'!$K$57</f>
        <v>1683.460167579618</v>
      </c>
      <c r="AP31" s="87">
        <f t="shared" si="5"/>
        <v>1.9086849972558027</v>
      </c>
      <c r="AQ31" s="63">
        <f>'Dach unter &amp; über Terrain'!M73</f>
        <v>0</v>
      </c>
      <c r="AR31" s="63">
        <f>'Dach unter &amp; über Terrain'!N73</f>
        <v>0</v>
      </c>
    </row>
    <row r="32" spans="2:44" ht="15.75" x14ac:dyDescent="0.25">
      <c r="B32" s="37" t="s">
        <v>312</v>
      </c>
      <c r="C32" s="46">
        <v>3</v>
      </c>
      <c r="D32" s="37" t="s">
        <v>224</v>
      </c>
      <c r="F32" s="43" t="s">
        <v>328</v>
      </c>
      <c r="G32" s="91" t="s">
        <v>304</v>
      </c>
      <c r="H32" s="82" t="str">
        <f>_xlfn.IFS(AND(G25="Massivbauweise",G32="Betonwand"),"1a",AND(G25="Massivbauweise",G32="Backsteinwand"),"1b",G25="Leichtbauweise","1c",G25="Mischbauweise",VLOOKUP(G33,Database!S87:T89,2,FALSE))</f>
        <v>1b</v>
      </c>
      <c r="I32" s="144"/>
      <c r="M32" s="74" t="s">
        <v>254</v>
      </c>
      <c r="N32" s="53">
        <f>'Decke unter &amp; über Terrain'!$K$45</f>
        <v>1767.3295615711254</v>
      </c>
      <c r="O32" s="87">
        <f t="shared" si="4"/>
        <v>2.0037750131191898</v>
      </c>
      <c r="P32" s="112">
        <v>0</v>
      </c>
      <c r="Q32" s="112">
        <v>0</v>
      </c>
      <c r="R32" s="112">
        <v>0</v>
      </c>
      <c r="S32" s="112">
        <f>'Decke unter &amp; über Terrain'!M63</f>
        <v>0.47477448263348326</v>
      </c>
      <c r="T32" s="112">
        <v>0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112">
        <v>0</v>
      </c>
      <c r="AE32" s="112">
        <v>0</v>
      </c>
      <c r="AF32" s="112">
        <f>'Decke unter &amp; über Terrain'!P63</f>
        <v>0</v>
      </c>
      <c r="AG32" s="112">
        <f>'Decke unter &amp; über Terrain'!Q63</f>
        <v>0.16501355472947352</v>
      </c>
      <c r="AH32" s="112">
        <v>0</v>
      </c>
      <c r="AI32" s="112">
        <v>0</v>
      </c>
      <c r="AJ32" s="112">
        <f>'Decke unter &amp; über Terrain'!N63</f>
        <v>7.4302685921574532E-2</v>
      </c>
      <c r="AK32" s="112">
        <f>'Decke unter &amp; über Terrain'!O63</f>
        <v>0.28590927671546856</v>
      </c>
      <c r="AL32" s="142"/>
      <c r="AM32" s="115">
        <f t="shared" si="6"/>
        <v>0.99999999999999978</v>
      </c>
      <c r="AN32" s="74" t="s">
        <v>254</v>
      </c>
      <c r="AO32" s="53">
        <f>'Decke unter &amp; über Terrain'!$K$66</f>
        <v>1165.3938115711253</v>
      </c>
      <c r="AP32" s="87">
        <f t="shared" si="5"/>
        <v>1.3213081763844958</v>
      </c>
      <c r="AQ32" s="63">
        <f>'Decke unter &amp; über Terrain'!M91</f>
        <v>0</v>
      </c>
      <c r="AR32" s="63">
        <f>'Decke unter &amp; über Terrain'!N91</f>
        <v>0</v>
      </c>
    </row>
    <row r="33" spans="2:44" ht="15.75" x14ac:dyDescent="0.25">
      <c r="B33" s="37" t="s">
        <v>313</v>
      </c>
      <c r="C33" s="43">
        <v>2.35</v>
      </c>
      <c r="D33" s="37" t="s">
        <v>310</v>
      </c>
      <c r="F33" s="43" t="s">
        <v>187</v>
      </c>
      <c r="G33" s="91" t="s">
        <v>272</v>
      </c>
      <c r="H33" s="82"/>
      <c r="I33" s="144"/>
      <c r="M33" s="74" t="s">
        <v>374</v>
      </c>
      <c r="N33" s="53">
        <f>Innenwand!$J$32</f>
        <v>581.07434550000016</v>
      </c>
      <c r="O33" s="87">
        <f t="shared" si="4"/>
        <v>0.65881445068027233</v>
      </c>
      <c r="P33" s="112">
        <v>0</v>
      </c>
      <c r="Q33" s="112">
        <f>Innenwand!L38</f>
        <v>0.63326880346673287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  <c r="AD33" s="112">
        <v>0</v>
      </c>
      <c r="AE33" s="112">
        <v>0</v>
      </c>
      <c r="AF33" s="112">
        <v>0</v>
      </c>
      <c r="AG33" s="112">
        <v>0</v>
      </c>
      <c r="AH33" s="112">
        <f>Innenwand!M38</f>
        <v>0.28906779537042904</v>
      </c>
      <c r="AI33" s="112">
        <f>Innenwand!N38</f>
        <v>7.7663401162837931E-2</v>
      </c>
      <c r="AJ33" s="112">
        <v>0</v>
      </c>
      <c r="AK33" s="112">
        <v>0</v>
      </c>
      <c r="AL33" s="142"/>
      <c r="AM33" s="115">
        <f t="shared" si="6"/>
        <v>0.99999999999999978</v>
      </c>
      <c r="AN33" s="74" t="s">
        <v>192</v>
      </c>
      <c r="AO33" s="53">
        <f>Innenwand!$J$52</f>
        <v>581.07434550000016</v>
      </c>
      <c r="AP33" s="87">
        <f t="shared" si="5"/>
        <v>0.65881445068027233</v>
      </c>
      <c r="AQ33" s="63">
        <f>Innenwand!L58</f>
        <v>0</v>
      </c>
      <c r="AR33" s="63">
        <f>Innenwand!O58</f>
        <v>0</v>
      </c>
    </row>
    <row r="34" spans="2:44" ht="15.75" x14ac:dyDescent="0.25">
      <c r="B34" s="37" t="s">
        <v>314</v>
      </c>
      <c r="C34" s="43">
        <v>2.8</v>
      </c>
      <c r="D34" s="37" t="s">
        <v>310</v>
      </c>
      <c r="F34" s="43" t="s">
        <v>261</v>
      </c>
      <c r="G34" s="91" t="s">
        <v>268</v>
      </c>
      <c r="H34" s="82" t="str">
        <f>_xlfn.IFS(G25="Massivbauweise",VLOOKUP(G34,Database!S53:T60,2,FALSE),Gebäude!G25="Leichtbauweise",VLOOKUP(Gebäude!G34,Database!S73:T76,2,FALSE),Gebäude!G25="Mischbauweise",VLOOKUP(Gebäude!G34,Database!S90:T94,2,FALSE))</f>
        <v>2g</v>
      </c>
      <c r="I34" s="145"/>
      <c r="M34" s="74" t="s">
        <v>375</v>
      </c>
      <c r="N34" s="53">
        <f>Innenwand!$J$41</f>
        <v>1556.8759847386668</v>
      </c>
      <c r="O34" s="87">
        <f t="shared" si="4"/>
        <v>1.7651655155767199</v>
      </c>
      <c r="P34" s="112">
        <v>0</v>
      </c>
      <c r="Q34" s="112">
        <f>Innenwand!L47</f>
        <v>0.91234924211198087</v>
      </c>
      <c r="R34" s="112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v>0</v>
      </c>
      <c r="AB34" s="112">
        <v>0</v>
      </c>
      <c r="AC34" s="112">
        <v>0</v>
      </c>
      <c r="AD34" s="112">
        <v>0</v>
      </c>
      <c r="AE34" s="112">
        <v>0</v>
      </c>
      <c r="AF34" s="112">
        <v>0</v>
      </c>
      <c r="AG34" s="112">
        <v>0</v>
      </c>
      <c r="AH34" s="112">
        <f>Innenwand!M47</f>
        <v>0</v>
      </c>
      <c r="AI34" s="112">
        <f>Innenwand!N47</f>
        <v>8.7650757888018974E-2</v>
      </c>
      <c r="AJ34" s="112">
        <v>0</v>
      </c>
      <c r="AK34" s="112">
        <v>0</v>
      </c>
      <c r="AL34" s="142"/>
      <c r="AM34" s="115">
        <f t="shared" si="6"/>
        <v>0.99999999999999989</v>
      </c>
      <c r="AN34" s="74" t="s">
        <v>181</v>
      </c>
      <c r="AO34" s="53">
        <f>'Fenster-Balkon'!$J$21</f>
        <v>1347.0569333333333</v>
      </c>
      <c r="AP34" s="87">
        <f t="shared" si="5"/>
        <v>1.5272754346182917</v>
      </c>
      <c r="AQ34" s="63">
        <f>'Fenster-Balkon'!N29</f>
        <v>0</v>
      </c>
      <c r="AR34" s="63">
        <f>'Fenster-Balkon'!O29</f>
        <v>0</v>
      </c>
    </row>
    <row r="35" spans="2:44" ht="18.75" x14ac:dyDescent="0.25">
      <c r="B35" s="37" t="s">
        <v>389</v>
      </c>
      <c r="C35" s="43">
        <v>325</v>
      </c>
      <c r="D35" s="85" t="s">
        <v>372</v>
      </c>
      <c r="F35" s="43" t="s">
        <v>324</v>
      </c>
      <c r="G35" s="91" t="s">
        <v>297</v>
      </c>
      <c r="H35" s="82" t="str">
        <f>Innenwand!P32</f>
        <v>9c</v>
      </c>
      <c r="I35" s="82" t="str">
        <f>Innenwand!P41</f>
        <v>9e</v>
      </c>
      <c r="M35" s="74" t="s">
        <v>181</v>
      </c>
      <c r="N35" s="53">
        <f>'Fenster-Balkon'!$J$15</f>
        <v>1347.0569333333333</v>
      </c>
      <c r="O35" s="87">
        <f t="shared" si="4"/>
        <v>1.5272754346182917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f>'Fenster-Balkon'!L18</f>
        <v>0.63496222431380522</v>
      </c>
      <c r="AB35" s="112">
        <f>'Fenster-Balkon'!N18</f>
        <v>0.36503777568619472</v>
      </c>
      <c r="AC35" s="112">
        <v>0</v>
      </c>
      <c r="AD35" s="112">
        <v>0</v>
      </c>
      <c r="AE35" s="112">
        <v>0</v>
      </c>
      <c r="AF35" s="112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42"/>
      <c r="AM35" s="115">
        <f t="shared" si="6"/>
        <v>1</v>
      </c>
      <c r="AN35" s="74" t="s">
        <v>176</v>
      </c>
      <c r="AO35" s="53">
        <f>'Fenster-Balkon'!$X$33</f>
        <v>0</v>
      </c>
      <c r="AP35" s="87">
        <f t="shared" si="5"/>
        <v>0</v>
      </c>
      <c r="AQ35" s="63">
        <f>IF($AO$35=0,0,'Fenster-Balkon'!Z41)</f>
        <v>0</v>
      </c>
      <c r="AR35" s="63">
        <f>IF($AO$35=0,0,'Fenster-Balkon'!AH41)</f>
        <v>0</v>
      </c>
    </row>
    <row r="36" spans="2:44" ht="18.75" x14ac:dyDescent="0.25">
      <c r="B36" s="37" t="s">
        <v>379</v>
      </c>
      <c r="C36" s="43">
        <v>325</v>
      </c>
      <c r="D36" s="85" t="s">
        <v>372</v>
      </c>
      <c r="F36" s="43" t="s">
        <v>370</v>
      </c>
      <c r="G36" s="91" t="s">
        <v>295</v>
      </c>
      <c r="H36" s="82" t="str">
        <f>_xlfn.IFS(AND(G35="Flachdach",G25="Massivbauweise"),VLOOKUP(Gebäude!G36,Database!S46:T49,2,FALSE),AND(G35="Geneigtes Dach",G25="Massivbauweise"),VLOOKUP(Gebäude!G36,Database!S46:U49,3,FALSE),G25="Leichtbauweise","4d",G25="Mischbauweise","4c")</f>
        <v>4a</v>
      </c>
      <c r="I36" s="146"/>
      <c r="M36" s="74" t="s">
        <v>176</v>
      </c>
      <c r="N36" s="53">
        <f>'Fenster-Balkon'!X23</f>
        <v>0</v>
      </c>
      <c r="O36" s="87">
        <f t="shared" si="4"/>
        <v>0</v>
      </c>
      <c r="P36" s="112">
        <v>0</v>
      </c>
      <c r="Q36" s="112">
        <v>0</v>
      </c>
      <c r="R36" s="112">
        <v>0</v>
      </c>
      <c r="S36" s="112">
        <f>'Fenster-Balkon'!Z30</f>
        <v>0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f>'Fenster-Balkon'!AH30</f>
        <v>0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f>'Fenster-Balkon'!AA30</f>
        <v>0</v>
      </c>
      <c r="AG36" s="112">
        <f>'Fenster-Balkon'!AB30</f>
        <v>0</v>
      </c>
      <c r="AH36" s="112">
        <v>0</v>
      </c>
      <c r="AI36" s="112">
        <v>0</v>
      </c>
      <c r="AJ36" s="112">
        <v>0</v>
      </c>
      <c r="AK36" s="112">
        <v>0</v>
      </c>
      <c r="AL36" s="142"/>
      <c r="AM36" s="115">
        <f t="shared" si="6"/>
        <v>0</v>
      </c>
      <c r="AN36" s="38" t="s">
        <v>194</v>
      </c>
      <c r="AO36" s="54">
        <f>SUM(AO26:AO35)</f>
        <v>6641.4893519596599</v>
      </c>
      <c r="AP36" s="51">
        <f t="shared" si="5"/>
        <v>7.5300332788658277</v>
      </c>
      <c r="AQ36" s="64">
        <f>SUMPRODUCT((AO26:AO35*AQ26:AQ35))/SUM(AO26:AO35)</f>
        <v>0.10728752837624743</v>
      </c>
      <c r="AR36" s="64" t="e">
        <f>SUMPRODUCT((AO26:AO35*AR26:AR35))/SUM(AO26:AO35)</f>
        <v>#REF!</v>
      </c>
    </row>
    <row r="37" spans="2:44" ht="18.75" x14ac:dyDescent="0.25">
      <c r="B37" s="37" t="s">
        <v>387</v>
      </c>
      <c r="C37" s="43">
        <v>0</v>
      </c>
      <c r="D37" s="85" t="s">
        <v>372</v>
      </c>
      <c r="F37" s="43" t="s">
        <v>283</v>
      </c>
      <c r="G37" s="91" t="s">
        <v>294</v>
      </c>
      <c r="H37" s="82" t="str">
        <f>_xlfn.IFS(AND(G25="Massivbauweise",G35="geneigtes Dach"),"5f",G37="Dach Eindeckung 1","5b",G37="Dach Eindeckung 2","5c")</f>
        <v>5c</v>
      </c>
      <c r="I37" s="147"/>
      <c r="M37" s="38" t="s">
        <v>194</v>
      </c>
      <c r="N37" s="54">
        <f>SUM(N26:N36)</f>
        <v>10067.427559872425</v>
      </c>
      <c r="O37" s="51">
        <f t="shared" si="4"/>
        <v>11.414316961306605</v>
      </c>
      <c r="P37" s="114">
        <f>SUMPRODUCT((N26:N36*P26:P36))/SUM(N26:N36)</f>
        <v>7.0777661231857594E-2</v>
      </c>
      <c r="Q37" s="114">
        <f>SUMPRODUCT((N26:N36*Q26:Q36))/SUM(N26:N36)</f>
        <v>0.23613955337537357</v>
      </c>
      <c r="R37" s="114">
        <f>SUMPRODUCT((N26:N36*R26:R36))/SUM(N26:N36)</f>
        <v>0</v>
      </c>
      <c r="S37" s="114">
        <f>SUMPRODUCT((N26:N36*S26:S36))/SUM(N26:N36)</f>
        <v>0.17468804701869553</v>
      </c>
      <c r="T37" s="114">
        <f>SUMPRODUCT((N26:N36*T26:T36))/SUM(N26:N36)</f>
        <v>1.4176908564893478E-2</v>
      </c>
      <c r="U37" s="114">
        <f>SUMPRODUCT((N26:N36*U26:U36))/SUM(N26:N36)</f>
        <v>4.7118955050388048E-3</v>
      </c>
      <c r="V37" s="114">
        <f>SUMPRODUCT((N26:N36*V26:V36))/SUM(N26:N36)</f>
        <v>1.1359446027287747E-3</v>
      </c>
      <c r="W37" s="114">
        <f>SUMPRODUCT((N26:N36*W26:W36))/SUM(N26:N36)</f>
        <v>1.2217333501385392E-2</v>
      </c>
      <c r="X37" s="114">
        <f>SUMPRODUCT((N26:N36*X26:X36))/SUM(N26:N36)</f>
        <v>4.136309871846517E-2</v>
      </c>
      <c r="Y37" s="114">
        <f>SUMPRODUCT((N26:N36*Y26:Y36))/SUM(N26:N36)</f>
        <v>1.7904790698649666E-2</v>
      </c>
      <c r="Z37" s="114">
        <f>SUMPRODUCT((N26:N36*Z26:Z36))/SUM(N26:N36)</f>
        <v>0</v>
      </c>
      <c r="AA37" s="114">
        <f>SUMPRODUCT((N26:N36*AA26:AA36))/SUM(N26:N36)</f>
        <v>8.4960161032189757E-2</v>
      </c>
      <c r="AB37" s="114">
        <f>SUMPRODUCT((N26:N36*AB26:AB36))/SUM(N26:N36)</f>
        <v>4.8843328024194679E-2</v>
      </c>
      <c r="AC37" s="114">
        <f>SUMPRODUCT((N26:N36*AC26:AC36))/SUM(N26:N36)</f>
        <v>0</v>
      </c>
      <c r="AD37" s="114">
        <f>SUMPRODUCT((N26:N36*AD26:AD36))/SUM(N26:N36)</f>
        <v>0.12853953686818467</v>
      </c>
      <c r="AE37" s="114">
        <f>SUMPRODUCT((N26:N36*AE26:AE36))/SUM(N26:N36)</f>
        <v>0</v>
      </c>
      <c r="AF37" s="114">
        <f>SUMPRODUCT((N26:N36*AF26:AF36))/SUM(N26:N36)</f>
        <v>0</v>
      </c>
      <c r="AG37" s="114">
        <f>SUMPRODUCT((N26:N36*AG26:AG36))/SUM(N26:N36)</f>
        <v>4.3452013674637593E-2</v>
      </c>
      <c r="AH37" s="114">
        <f>SUMPRODUCT((N26:N36*AH26:AH36))/SUM(N26:N36)</f>
        <v>2.2219487418177624E-2</v>
      </c>
      <c r="AI37" s="114">
        <f>SUMPRODUCT((N26:N36*AI26:AI36))/SUM(N26:N36)</f>
        <v>2.0370973827591385E-2</v>
      </c>
      <c r="AJ37" s="114">
        <f>SUMPRODUCT((N26:N36*AJ26:AJ36))/SUM(N26:N36)</f>
        <v>1.7828023322335958E-2</v>
      </c>
      <c r="AK37" s="114">
        <f>SUMPRODUCT((N26:N36*AK26:AK36))/SUM(N26:N36)</f>
        <v>5.4718174699931059E-2</v>
      </c>
      <c r="AL37" s="114">
        <f>SUM(P37:AK37)</f>
        <v>0.99404693208433048</v>
      </c>
    </row>
    <row r="38" spans="2:44" ht="18.75" x14ac:dyDescent="0.25">
      <c r="B38" s="37" t="s">
        <v>386</v>
      </c>
      <c r="C38" s="43">
        <v>404.4</v>
      </c>
      <c r="D38" s="85" t="s">
        <v>372</v>
      </c>
      <c r="F38" s="43" t="s">
        <v>176</v>
      </c>
      <c r="G38" s="55" t="s">
        <v>322</v>
      </c>
      <c r="H38" s="84" t="str">
        <f>IF(G38="Ja","13a","0")</f>
        <v>0</v>
      </c>
      <c r="I38" s="148"/>
    </row>
    <row r="39" spans="2:44" ht="18.75" x14ac:dyDescent="0.25">
      <c r="B39" s="37" t="s">
        <v>385</v>
      </c>
      <c r="C39" s="43">
        <v>200</v>
      </c>
      <c r="D39" s="85" t="s">
        <v>372</v>
      </c>
    </row>
    <row r="40" spans="2:44" ht="18.75" x14ac:dyDescent="0.25">
      <c r="B40" s="37" t="s">
        <v>384</v>
      </c>
      <c r="C40" s="43">
        <v>376</v>
      </c>
      <c r="D40" s="85" t="s">
        <v>372</v>
      </c>
    </row>
    <row r="41" spans="2:44" ht="18.75" x14ac:dyDescent="0.25">
      <c r="B41" s="37" t="s">
        <v>382</v>
      </c>
      <c r="C41" s="43">
        <v>566.70000000000005</v>
      </c>
      <c r="D41" s="85" t="s">
        <v>372</v>
      </c>
    </row>
    <row r="42" spans="2:44" ht="18.75" x14ac:dyDescent="0.25">
      <c r="B42" s="37" t="s">
        <v>383</v>
      </c>
      <c r="C42" s="43">
        <v>1322.3</v>
      </c>
      <c r="D42" s="85" t="s">
        <v>372</v>
      </c>
    </row>
    <row r="43" spans="2:44" ht="18.75" x14ac:dyDescent="0.25">
      <c r="B43" s="37" t="s">
        <v>380</v>
      </c>
      <c r="C43" s="43">
        <v>257</v>
      </c>
      <c r="D43" s="85" t="s">
        <v>372</v>
      </c>
    </row>
    <row r="44" spans="2:44" ht="18.75" x14ac:dyDescent="0.25">
      <c r="B44" s="37" t="s">
        <v>381</v>
      </c>
      <c r="C44" s="43">
        <v>87</v>
      </c>
      <c r="D44" s="85" t="s">
        <v>372</v>
      </c>
    </row>
  </sheetData>
  <dataConsolidate/>
  <mergeCells count="7">
    <mergeCell ref="AL4:AL15"/>
    <mergeCell ref="AL25:AL36"/>
    <mergeCell ref="I25:I34"/>
    <mergeCell ref="I36:I38"/>
    <mergeCell ref="J4:J12"/>
    <mergeCell ref="K4:K12"/>
    <mergeCell ref="I4:I11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0000000}">
          <x14:formula1>
            <xm:f>Database!$H$4:$H$6</xm:f>
          </x14:formula1>
          <xm:sqref>G25</xm:sqref>
        </x14:dataValidation>
        <x14:dataValidation type="list" allowBlank="1" showInputMessage="1" showErrorMessage="1" xr:uid="{00000000-0002-0000-0100-000001000000}">
          <x14:formula1>
            <xm:f>Database!$V$54:$V$55</xm:f>
          </x14:formula1>
          <xm:sqref>G30</xm:sqref>
        </x14:dataValidation>
        <x14:dataValidation type="list" allowBlank="1" showInputMessage="1" showErrorMessage="1" xr:uid="{00000000-0002-0000-0100-000002000000}">
          <x14:formula1>
            <xm:f>Database!$V$46:$V$47</xm:f>
          </x14:formula1>
          <xm:sqref>G27</xm:sqref>
        </x14:dataValidation>
        <x14:dataValidation type="list" allowBlank="1" showInputMessage="1" showErrorMessage="1" xr:uid="{00000000-0002-0000-0100-000003000000}">
          <x14:formula1>
            <xm:f>Database!$S$48:$S$49</xm:f>
          </x14:formula1>
          <xm:sqref>G37</xm:sqref>
        </x14:dataValidation>
        <x14:dataValidation type="list" allowBlank="1" showInputMessage="1" showErrorMessage="1" xr:uid="{00000000-0002-0000-0100-000004000000}">
          <x14:formula1>
            <xm:f>IF($G$25=Database!$S$28,Database!$S$53:$S$60,IF($G$25=Database!$S$67,Database!$S$73:$S$76,Database!$S$90:$S$94))</xm:f>
          </x14:formula1>
          <xm:sqref>G34</xm:sqref>
        </x14:dataValidation>
        <x14:dataValidation type="list" allowBlank="1" showInputMessage="1" showErrorMessage="1" xr:uid="{00000000-0002-0000-0100-000005000000}">
          <x14:formula1>
            <xm:f>IF($G$25=Database!$S$28,Database!$S$46:$S$47,Database!$S$46)</xm:f>
          </x14:formula1>
          <xm:sqref>G36</xm:sqref>
        </x14:dataValidation>
        <x14:dataValidation type="list" allowBlank="1" showInputMessage="1" showErrorMessage="1" xr:uid="{00000000-0002-0000-0100-000006000000}">
          <x14:formula1>
            <xm:f>Database!$S$64:$S$65</xm:f>
          </x14:formula1>
          <xm:sqref>G31</xm:sqref>
        </x14:dataValidation>
        <x14:dataValidation type="list" allowBlank="1" showInputMessage="1" showErrorMessage="1" xr:uid="{00000000-0002-0000-0100-000007000000}">
          <x14:formula1>
            <xm:f>IF($G$25=Database!$S$81,Database!$S$87:$S$89,Database!$S$87)</xm:f>
          </x14:formula1>
          <xm:sqref>G33</xm:sqref>
        </x14:dataValidation>
        <x14:dataValidation type="list" allowBlank="1" showInputMessage="1" showErrorMessage="1" xr:uid="{00000000-0002-0000-0100-000008000000}">
          <x14:formula1>
            <xm:f>Database!$D$16:$D$17</xm:f>
          </x14:formula1>
          <xm:sqref>G32</xm:sqref>
        </x14:dataValidation>
        <x14:dataValidation type="list" allowBlank="1" showInputMessage="1" showErrorMessage="1" xr:uid="{00000000-0002-0000-0100-000009000000}">
          <x14:formula1>
            <xm:f>Database!$D$18:$D$19</xm:f>
          </x14:formula1>
          <xm:sqref>G35</xm:sqref>
        </x14:dataValidation>
        <x14:dataValidation type="list" allowBlank="1" showInputMessage="1" showErrorMessage="1" xr:uid="{00000000-0002-0000-0100-00000A000000}">
          <x14:formula1>
            <xm:f>Database!$D$21:$D$22</xm:f>
          </x14:formula1>
          <xm:sqref>G38</xm:sqref>
        </x14:dataValidation>
        <x14:dataValidation type="list" allowBlank="1" showInputMessage="1" showErrorMessage="1" xr:uid="{00000000-0002-0000-0100-00000B000000}">
          <x14:formula1>
            <xm:f>Database!$D$14:$D$15</xm:f>
          </x14:formula1>
          <xm:sqref>L56 G26</xm:sqref>
        </x14:dataValidation>
        <x14:dataValidation type="list" allowBlank="1" showInputMessage="1" showErrorMessage="1" xr:uid="{00000000-0002-0000-0100-00000C000000}">
          <x14:formula1>
            <xm:f>Database!$H$12:$H$15</xm:f>
          </x14:formula1>
          <xm:sqref>G28:G29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0">
    <tabColor theme="9" tint="0.39997558519241921"/>
    <pageSetUpPr fitToPage="1"/>
  </sheetPr>
  <dimension ref="B2:AJ97"/>
  <sheetViews>
    <sheetView topLeftCell="A22" zoomScale="85" zoomScaleNormal="85" workbookViewId="0">
      <selection activeCell="S52" sqref="S52:S60"/>
    </sheetView>
  </sheetViews>
  <sheetFormatPr defaultColWidth="10.85546875" defaultRowHeight="15" x14ac:dyDescent="0.25"/>
  <cols>
    <col min="2" max="2" width="3" bestFit="1" customWidth="1"/>
    <col min="3" max="3" width="33.42578125" bestFit="1" customWidth="1"/>
    <col min="4" max="4" width="40.42578125" bestFit="1" customWidth="1"/>
    <col min="5" max="5" width="4.140625" bestFit="1" customWidth="1"/>
    <col min="6" max="6" width="3" bestFit="1" customWidth="1"/>
    <col min="7" max="7" width="3.140625" bestFit="1" customWidth="1"/>
    <col min="8" max="8" width="40.85546875" bestFit="1" customWidth="1"/>
    <col min="9" max="9" width="3.140625" bestFit="1" customWidth="1"/>
    <col min="10" max="11" width="4.140625" bestFit="1" customWidth="1"/>
    <col min="12" max="12" width="3.140625" bestFit="1" customWidth="1"/>
    <col min="13" max="13" width="4" bestFit="1" customWidth="1"/>
    <col min="14" max="14" width="24.42578125" bestFit="1" customWidth="1"/>
    <col min="15" max="16" width="3.140625" bestFit="1" customWidth="1"/>
    <col min="17" max="17" width="4" bestFit="1" customWidth="1"/>
    <col min="18" max="18" width="3" bestFit="1" customWidth="1"/>
    <col min="19" max="19" width="35" bestFit="1" customWidth="1"/>
    <col min="20" max="20" width="14.42578125" bestFit="1" customWidth="1"/>
    <col min="21" max="22" width="30.42578125" bestFit="1" customWidth="1"/>
    <col min="23" max="23" width="25" bestFit="1" customWidth="1"/>
    <col min="25" max="25" width="15.140625" bestFit="1" customWidth="1"/>
    <col min="26" max="26" width="11.42578125" bestFit="1" customWidth="1"/>
    <col min="27" max="27" width="23.140625" bestFit="1" customWidth="1"/>
    <col min="28" max="28" width="10" bestFit="1" customWidth="1"/>
    <col min="29" max="29" width="7.42578125" bestFit="1" customWidth="1"/>
    <col min="30" max="30" width="6.85546875" bestFit="1" customWidth="1"/>
    <col min="31" max="31" width="7.42578125" bestFit="1" customWidth="1"/>
    <col min="32" max="32" width="13.85546875" bestFit="1" customWidth="1"/>
    <col min="33" max="33" width="17" bestFit="1" customWidth="1"/>
    <col min="34" max="34" width="23.42578125" bestFit="1" customWidth="1"/>
  </cols>
  <sheetData>
    <row r="2" spans="2:18" ht="20.25" x14ac:dyDescent="0.3">
      <c r="C2" s="150" t="s">
        <v>256</v>
      </c>
      <c r="D2" s="150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ht="15.75" x14ac:dyDescent="0.25">
      <c r="C3" s="37"/>
      <c r="D3" s="37"/>
      <c r="E3" s="149" t="s">
        <v>183</v>
      </c>
      <c r="F3" s="149"/>
      <c r="G3" s="149"/>
      <c r="H3" s="37"/>
      <c r="I3" s="149" t="s">
        <v>183</v>
      </c>
      <c r="J3" s="149"/>
      <c r="K3" s="149"/>
      <c r="L3" s="149"/>
      <c r="M3" s="149"/>
      <c r="N3" s="149"/>
      <c r="O3" s="149"/>
      <c r="P3" s="149"/>
      <c r="Q3" s="149"/>
      <c r="R3" s="149"/>
    </row>
    <row r="4" spans="2:18" ht="15.75" x14ac:dyDescent="0.25">
      <c r="B4">
        <v>2</v>
      </c>
      <c r="C4" s="40" t="s">
        <v>228</v>
      </c>
      <c r="D4" s="37" t="s">
        <v>19</v>
      </c>
      <c r="E4" s="37" t="s">
        <v>15</v>
      </c>
      <c r="F4" s="37"/>
      <c r="G4" s="37"/>
      <c r="H4" s="37" t="s">
        <v>232</v>
      </c>
      <c r="I4" s="37" t="s">
        <v>9</v>
      </c>
      <c r="J4" s="37" t="s">
        <v>25</v>
      </c>
      <c r="K4" s="37" t="s">
        <v>50</v>
      </c>
      <c r="M4" s="37" t="s">
        <v>175</v>
      </c>
      <c r="N4" s="37" t="s">
        <v>178</v>
      </c>
      <c r="O4" s="37" t="s">
        <v>110</v>
      </c>
      <c r="P4" s="37"/>
      <c r="Q4" s="37"/>
      <c r="R4" s="37"/>
    </row>
    <row r="5" spans="2:18" ht="15.75" x14ac:dyDescent="0.25">
      <c r="B5">
        <v>3</v>
      </c>
      <c r="C5" s="37" t="s">
        <v>229</v>
      </c>
      <c r="D5" s="37" t="s">
        <v>17</v>
      </c>
      <c r="E5" s="37" t="s">
        <v>18</v>
      </c>
      <c r="F5" s="37"/>
      <c r="G5" s="37"/>
      <c r="H5" s="37" t="s">
        <v>1</v>
      </c>
      <c r="I5" s="37" t="s">
        <v>9</v>
      </c>
      <c r="J5" s="37" t="s">
        <v>25</v>
      </c>
      <c r="K5" s="37" t="s">
        <v>55</v>
      </c>
      <c r="L5" s="37" t="s">
        <v>100</v>
      </c>
      <c r="M5" s="37" t="s">
        <v>70</v>
      </c>
      <c r="N5" s="37" t="s">
        <v>145</v>
      </c>
      <c r="O5" s="37" t="s">
        <v>111</v>
      </c>
      <c r="P5" s="37" t="s">
        <v>168</v>
      </c>
      <c r="Q5" s="37" t="s">
        <v>175</v>
      </c>
      <c r="R5" s="37" t="s">
        <v>178</v>
      </c>
    </row>
    <row r="6" spans="2:18" ht="15.75" x14ac:dyDescent="0.25">
      <c r="B6">
        <v>4</v>
      </c>
      <c r="C6" s="37" t="s">
        <v>189</v>
      </c>
      <c r="D6" s="37" t="s">
        <v>238</v>
      </c>
      <c r="E6" s="37" t="s">
        <v>33</v>
      </c>
      <c r="F6" s="37"/>
      <c r="G6" s="37"/>
      <c r="H6" s="37" t="s">
        <v>2</v>
      </c>
      <c r="I6" s="37" t="s">
        <v>9</v>
      </c>
      <c r="J6" s="37" t="s">
        <v>25</v>
      </c>
      <c r="K6" s="37" t="s">
        <v>59</v>
      </c>
      <c r="L6" s="37" t="s">
        <v>97</v>
      </c>
      <c r="M6" s="37" t="s">
        <v>70</v>
      </c>
      <c r="N6" s="37" t="s">
        <v>151</v>
      </c>
      <c r="O6" s="37" t="s">
        <v>117</v>
      </c>
      <c r="P6" s="37" t="s">
        <v>168</v>
      </c>
      <c r="Q6" s="37" t="s">
        <v>175</v>
      </c>
      <c r="R6" s="37" t="s">
        <v>178</v>
      </c>
    </row>
    <row r="7" spans="2:18" ht="15.75" x14ac:dyDescent="0.25">
      <c r="B7">
        <v>5</v>
      </c>
      <c r="C7" s="37" t="s">
        <v>230</v>
      </c>
      <c r="D7" s="37" t="s">
        <v>239</v>
      </c>
      <c r="E7" s="37" t="s">
        <v>34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ht="15.75" x14ac:dyDescent="0.25">
      <c r="B8">
        <v>6</v>
      </c>
      <c r="C8" s="37" t="s">
        <v>192</v>
      </c>
      <c r="D8" s="37" t="s">
        <v>333</v>
      </c>
      <c r="E8">
        <v>0</v>
      </c>
      <c r="H8" s="37" t="s">
        <v>232</v>
      </c>
      <c r="I8" s="37"/>
      <c r="J8" s="37" t="s">
        <v>33</v>
      </c>
      <c r="K8" s="37" t="s">
        <v>62</v>
      </c>
      <c r="L8" s="37"/>
      <c r="M8" s="37"/>
      <c r="N8" s="37"/>
      <c r="O8" s="37"/>
      <c r="P8" s="37"/>
      <c r="Q8" s="37"/>
      <c r="R8" s="37"/>
    </row>
    <row r="9" spans="2:18" ht="15.75" x14ac:dyDescent="0.25">
      <c r="B9">
        <v>7</v>
      </c>
      <c r="C9" s="37" t="s">
        <v>184</v>
      </c>
      <c r="D9" s="37" t="s">
        <v>331</v>
      </c>
      <c r="E9">
        <v>0</v>
      </c>
      <c r="F9" s="37"/>
      <c r="G9" s="37"/>
      <c r="H9" s="37" t="s">
        <v>1</v>
      </c>
      <c r="I9" s="37" t="s">
        <v>145</v>
      </c>
      <c r="J9" s="37" t="s">
        <v>33</v>
      </c>
      <c r="K9" s="37" t="s">
        <v>62</v>
      </c>
      <c r="L9" s="37"/>
      <c r="M9" s="37"/>
      <c r="N9" s="37"/>
      <c r="O9" s="37"/>
      <c r="P9" s="37"/>
      <c r="Q9" s="37"/>
      <c r="R9" s="37"/>
    </row>
    <row r="10" spans="2:18" ht="15.75" x14ac:dyDescent="0.25">
      <c r="B10">
        <v>8</v>
      </c>
      <c r="C10" s="37" t="s">
        <v>231</v>
      </c>
      <c r="D10" s="37" t="s">
        <v>332</v>
      </c>
      <c r="E10" s="37" t="s">
        <v>62</v>
      </c>
      <c r="F10" s="37"/>
      <c r="G10" s="37"/>
      <c r="H10" s="37" t="s">
        <v>2</v>
      </c>
      <c r="I10" s="37" t="s">
        <v>151</v>
      </c>
      <c r="J10" s="37" t="s">
        <v>34</v>
      </c>
      <c r="K10" s="37" t="s">
        <v>34</v>
      </c>
      <c r="L10" s="37"/>
      <c r="O10" s="37"/>
      <c r="P10" s="37"/>
      <c r="Q10" s="37"/>
      <c r="R10" s="37"/>
    </row>
    <row r="11" spans="2:18" ht="15.75" x14ac:dyDescent="0.25">
      <c r="B11">
        <v>9</v>
      </c>
      <c r="C11" s="37"/>
      <c r="D11" s="37" t="s">
        <v>248</v>
      </c>
      <c r="E11" s="37" t="s">
        <v>37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15.75" x14ac:dyDescent="0.25">
      <c r="B12">
        <v>10</v>
      </c>
      <c r="C12" s="37"/>
      <c r="D12" s="37" t="s">
        <v>249</v>
      </c>
      <c r="E12" s="37" t="s">
        <v>38</v>
      </c>
      <c r="H12" s="37" t="s">
        <v>238</v>
      </c>
      <c r="I12" s="37" t="s">
        <v>34</v>
      </c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15.75" x14ac:dyDescent="0.25">
      <c r="B13">
        <v>11</v>
      </c>
      <c r="C13" s="37"/>
      <c r="D13" s="37" t="s">
        <v>330</v>
      </c>
      <c r="E13">
        <v>0</v>
      </c>
      <c r="H13" s="37" t="s">
        <v>369</v>
      </c>
      <c r="I13" s="37" t="s">
        <v>62</v>
      </c>
      <c r="J13" s="37"/>
      <c r="K13" s="37"/>
      <c r="L13" s="37"/>
      <c r="M13" s="37"/>
      <c r="N13" s="37"/>
      <c r="O13" s="37"/>
      <c r="P13" s="37"/>
      <c r="Q13" s="37"/>
      <c r="R13" s="37"/>
    </row>
    <row r="14" spans="2:18" ht="15.75" x14ac:dyDescent="0.25">
      <c r="C14" s="37"/>
      <c r="D14" s="37" t="s">
        <v>234</v>
      </c>
      <c r="E14" s="37" t="s">
        <v>62</v>
      </c>
      <c r="H14" s="37" t="s">
        <v>368</v>
      </c>
      <c r="I14" s="37" t="s">
        <v>33</v>
      </c>
      <c r="J14" s="37"/>
      <c r="K14" s="37"/>
      <c r="L14" s="37"/>
      <c r="M14" s="37"/>
      <c r="N14" s="37"/>
      <c r="O14" s="37"/>
      <c r="P14" s="37"/>
      <c r="Q14" s="37"/>
      <c r="R14" s="37"/>
    </row>
    <row r="15" spans="2:18" ht="15.75" x14ac:dyDescent="0.25">
      <c r="C15" s="37"/>
      <c r="D15" s="37" t="s">
        <v>235</v>
      </c>
      <c r="E15" s="37" t="s">
        <v>33</v>
      </c>
      <c r="H15" s="37" t="s">
        <v>333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</row>
    <row r="16" spans="2:18" ht="15.75" x14ac:dyDescent="0.25">
      <c r="D16" s="37" t="s">
        <v>303</v>
      </c>
      <c r="E16" s="37" t="s">
        <v>137</v>
      </c>
      <c r="F16" s="37"/>
      <c r="G16" s="37"/>
    </row>
    <row r="17" spans="3:36" ht="15.75" x14ac:dyDescent="0.25">
      <c r="D17" s="37" t="s">
        <v>304</v>
      </c>
      <c r="E17" s="37" t="s">
        <v>141</v>
      </c>
      <c r="F17" s="37"/>
      <c r="G17" s="37"/>
    </row>
    <row r="18" spans="3:36" ht="15.75" x14ac:dyDescent="0.25">
      <c r="D18" s="37" t="s">
        <v>297</v>
      </c>
      <c r="E18" s="37" t="s">
        <v>91</v>
      </c>
      <c r="F18" s="37" t="s">
        <v>70</v>
      </c>
      <c r="G18" s="37" t="s">
        <v>158</v>
      </c>
    </row>
    <row r="19" spans="3:36" ht="15.75" x14ac:dyDescent="0.25">
      <c r="D19" s="37" t="s">
        <v>298</v>
      </c>
      <c r="E19" s="37" t="s">
        <v>103</v>
      </c>
      <c r="F19" s="37" t="s">
        <v>75</v>
      </c>
      <c r="G19" s="37" t="s">
        <v>161</v>
      </c>
    </row>
    <row r="20" spans="3:36" ht="15.75" x14ac:dyDescent="0.25">
      <c r="D20" s="37" t="s">
        <v>181</v>
      </c>
      <c r="E20" s="37" t="s">
        <v>178</v>
      </c>
    </row>
    <row r="21" spans="3:36" ht="15.75" x14ac:dyDescent="0.25">
      <c r="D21" s="37" t="s">
        <v>321</v>
      </c>
      <c r="E21" s="37" t="s">
        <v>175</v>
      </c>
    </row>
    <row r="22" spans="3:36" ht="15.75" x14ac:dyDescent="0.25">
      <c r="D22" s="37" t="s">
        <v>322</v>
      </c>
      <c r="E22" s="37" t="s">
        <v>175</v>
      </c>
    </row>
    <row r="25" spans="3:36" ht="15.75" x14ac:dyDescent="0.25">
      <c r="D25" s="37"/>
      <c r="E25" s="37"/>
    </row>
    <row r="26" spans="3:36" ht="20.25" x14ac:dyDescent="0.3">
      <c r="C26" s="150" t="s">
        <v>255</v>
      </c>
      <c r="D26" s="15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3:36" ht="15.75" x14ac:dyDescent="0.25">
      <c r="C27" s="37"/>
      <c r="S27" s="37"/>
      <c r="T27" s="56"/>
      <c r="U27" s="56"/>
      <c r="V27" s="56"/>
      <c r="W27" s="37"/>
      <c r="X27" s="56"/>
      <c r="Y27" s="56"/>
      <c r="Z27" s="56"/>
      <c r="AA27" s="56"/>
      <c r="AB27" s="56"/>
      <c r="AC27" s="56"/>
      <c r="AD27" s="56"/>
      <c r="AE27" s="56"/>
      <c r="AF27" s="56"/>
      <c r="AG27" s="56"/>
    </row>
    <row r="28" spans="3:36" ht="15.75" x14ac:dyDescent="0.25">
      <c r="C28" s="40" t="s">
        <v>232</v>
      </c>
      <c r="S28" s="40" t="s">
        <v>232</v>
      </c>
      <c r="T28" s="40"/>
      <c r="U28" s="40"/>
      <c r="V28" s="40"/>
      <c r="W28" s="40"/>
      <c r="Y28" s="37"/>
      <c r="Z28" s="37" t="s">
        <v>184</v>
      </c>
      <c r="AA28" s="37" t="s">
        <v>185</v>
      </c>
      <c r="AB28" s="37" t="s">
        <v>192</v>
      </c>
      <c r="AC28" s="37" t="s">
        <v>181</v>
      </c>
      <c r="AD28" s="37" t="s">
        <v>176</v>
      </c>
      <c r="AE28" s="37" t="s">
        <v>284</v>
      </c>
      <c r="AF28" s="37" t="s">
        <v>285</v>
      </c>
      <c r="AG28" s="37" t="s">
        <v>286</v>
      </c>
      <c r="AH28" s="37" t="s">
        <v>287</v>
      </c>
      <c r="AI28" s="37" t="s">
        <v>189</v>
      </c>
      <c r="AJ28" s="37" t="s">
        <v>187</v>
      </c>
    </row>
    <row r="29" spans="3:36" ht="15.75" x14ac:dyDescent="0.25">
      <c r="C29" s="57" t="s">
        <v>184</v>
      </c>
      <c r="D29" t="s">
        <v>12</v>
      </c>
      <c r="S29" s="37" t="s">
        <v>184</v>
      </c>
      <c r="T29" t="s">
        <v>12</v>
      </c>
      <c r="U29" t="s">
        <v>12</v>
      </c>
      <c r="V29" t="s">
        <v>12</v>
      </c>
      <c r="W29" t="s">
        <v>12</v>
      </c>
      <c r="Y29" s="37" t="s">
        <v>232</v>
      </c>
      <c r="Z29" t="s">
        <v>12</v>
      </c>
      <c r="AA29" t="s">
        <v>21</v>
      </c>
      <c r="AB29" t="s">
        <v>165</v>
      </c>
      <c r="AC29" t="s">
        <v>178</v>
      </c>
      <c r="AD29" t="s">
        <v>175</v>
      </c>
      <c r="AE29" s="37" t="s">
        <v>50</v>
      </c>
      <c r="AF29" s="37" t="s">
        <v>50</v>
      </c>
      <c r="AG29" s="37" t="s">
        <v>34</v>
      </c>
      <c r="AH29" s="37" t="s">
        <v>34</v>
      </c>
    </row>
    <row r="30" spans="3:36" ht="15.75" x14ac:dyDescent="0.25">
      <c r="C30" s="57" t="s">
        <v>185</v>
      </c>
      <c r="D30" t="s">
        <v>21</v>
      </c>
      <c r="S30" s="37" t="s">
        <v>185</v>
      </c>
      <c r="T30" t="s">
        <v>21</v>
      </c>
      <c r="U30" t="s">
        <v>21</v>
      </c>
      <c r="V30" t="s">
        <v>21</v>
      </c>
      <c r="W30" t="s">
        <v>21</v>
      </c>
      <c r="Y30" s="37" t="s">
        <v>1</v>
      </c>
      <c r="Z30" t="s">
        <v>12</v>
      </c>
      <c r="AA30" t="s">
        <v>21</v>
      </c>
      <c r="AB30" t="s">
        <v>172</v>
      </c>
      <c r="AC30" t="s">
        <v>178</v>
      </c>
      <c r="AD30" t="s">
        <v>175</v>
      </c>
      <c r="AE30" s="37" t="s">
        <v>55</v>
      </c>
      <c r="AF30" s="37" t="s">
        <v>55</v>
      </c>
      <c r="AG30" s="37" t="s">
        <v>34</v>
      </c>
      <c r="AH30" s="37" t="s">
        <v>34</v>
      </c>
      <c r="AI30" s="37" t="s">
        <v>100</v>
      </c>
    </row>
    <row r="31" spans="3:36" ht="15.75" x14ac:dyDescent="0.25">
      <c r="C31" s="37" t="s">
        <v>186</v>
      </c>
      <c r="D31" t="s">
        <v>27</v>
      </c>
      <c r="E31" t="s">
        <v>29</v>
      </c>
      <c r="S31" s="37" t="s">
        <v>186</v>
      </c>
      <c r="T31" s="37" t="s">
        <v>27</v>
      </c>
      <c r="U31" s="37" t="s">
        <v>27</v>
      </c>
      <c r="V31" s="37" t="s">
        <v>27</v>
      </c>
      <c r="W31" s="37" t="s">
        <v>27</v>
      </c>
      <c r="Y31" s="37" t="s">
        <v>2</v>
      </c>
      <c r="Z31" t="s">
        <v>12</v>
      </c>
      <c r="AA31" t="s">
        <v>21</v>
      </c>
      <c r="AB31" t="s">
        <v>172</v>
      </c>
      <c r="AC31" t="s">
        <v>178</v>
      </c>
      <c r="AD31" t="s">
        <v>175</v>
      </c>
      <c r="AE31" s="37" t="s">
        <v>59</v>
      </c>
      <c r="AF31" s="37" t="s">
        <v>59</v>
      </c>
      <c r="AG31" s="37" t="s">
        <v>33</v>
      </c>
      <c r="AH31" s="37" t="s">
        <v>62</v>
      </c>
      <c r="AI31" s="37" t="s">
        <v>97</v>
      </c>
    </row>
    <row r="32" spans="3:36" ht="15.75" x14ac:dyDescent="0.25">
      <c r="C32" s="37" t="s">
        <v>253</v>
      </c>
      <c r="D32" t="s">
        <v>50</v>
      </c>
      <c r="S32" s="37" t="s">
        <v>253</v>
      </c>
      <c r="T32" s="37" t="s">
        <v>50</v>
      </c>
      <c r="U32" s="37" t="s">
        <v>50</v>
      </c>
      <c r="V32" s="37" t="s">
        <v>50</v>
      </c>
      <c r="W32" s="37" t="s">
        <v>50</v>
      </c>
      <c r="Y32" s="37"/>
      <c r="AB32" s="37"/>
      <c r="AC32" s="37"/>
      <c r="AD32" s="37"/>
      <c r="AE32" s="37"/>
      <c r="AF32" s="37"/>
      <c r="AG32" s="37"/>
    </row>
    <row r="33" spans="3:33" ht="15.75" x14ac:dyDescent="0.25">
      <c r="C33" s="37" t="s">
        <v>257</v>
      </c>
      <c r="D33" t="s">
        <v>34</v>
      </c>
      <c r="S33" s="37" t="s">
        <v>257</v>
      </c>
      <c r="T33" s="37" t="s">
        <v>34</v>
      </c>
      <c r="U33" s="37" t="s">
        <v>34</v>
      </c>
      <c r="V33" s="37" t="s">
        <v>34</v>
      </c>
      <c r="W33" s="37" t="s">
        <v>34</v>
      </c>
      <c r="Y33" s="37"/>
      <c r="AA33" s="37"/>
      <c r="AB33" s="37"/>
      <c r="AC33" s="37"/>
      <c r="AD33" s="37"/>
      <c r="AE33" s="37"/>
      <c r="AF33" s="37"/>
      <c r="AG33" s="37"/>
    </row>
    <row r="34" spans="3:33" ht="15.75" x14ac:dyDescent="0.25">
      <c r="C34" s="37" t="s">
        <v>258</v>
      </c>
      <c r="D34" t="s">
        <v>35</v>
      </c>
      <c r="E34" t="s">
        <v>36</v>
      </c>
      <c r="S34" s="37" t="s">
        <v>258</v>
      </c>
      <c r="T34" s="57" t="s">
        <v>35</v>
      </c>
      <c r="U34" s="57" t="s">
        <v>36</v>
      </c>
      <c r="V34" s="57" t="s">
        <v>35</v>
      </c>
      <c r="W34" s="57" t="s">
        <v>36</v>
      </c>
      <c r="Y34" s="37"/>
      <c r="Z34" s="37"/>
      <c r="AA34" s="37"/>
      <c r="AD34" s="37"/>
      <c r="AE34" s="37"/>
      <c r="AF34" s="37"/>
      <c r="AG34" s="37"/>
    </row>
    <row r="35" spans="3:33" ht="15.75" x14ac:dyDescent="0.25">
      <c r="C35" s="37" t="s">
        <v>187</v>
      </c>
      <c r="D35" t="s">
        <v>137</v>
      </c>
      <c r="E35" t="s">
        <v>141</v>
      </c>
      <c r="S35" s="37" t="s">
        <v>187</v>
      </c>
      <c r="T35" s="37" t="s">
        <v>137</v>
      </c>
      <c r="U35" s="37" t="s">
        <v>137</v>
      </c>
      <c r="V35" s="37" t="s">
        <v>137</v>
      </c>
      <c r="W35" s="37" t="s">
        <v>137</v>
      </c>
      <c r="Y35" s="37"/>
      <c r="Z35" s="37"/>
      <c r="AA35" s="37"/>
      <c r="AB35" s="37"/>
      <c r="AC35" s="37"/>
      <c r="AD35" s="37"/>
      <c r="AE35" s="37"/>
      <c r="AF35" s="37"/>
      <c r="AG35" s="37"/>
    </row>
    <row r="36" spans="3:33" ht="15.75" x14ac:dyDescent="0.25">
      <c r="C36" s="37" t="s">
        <v>261</v>
      </c>
      <c r="D36" t="s">
        <v>109</v>
      </c>
      <c r="E36" t="s">
        <v>111</v>
      </c>
      <c r="F36" t="s">
        <v>112</v>
      </c>
      <c r="G36" t="s">
        <v>113</v>
      </c>
      <c r="H36" t="s">
        <v>114</v>
      </c>
      <c r="I36" t="s">
        <v>115</v>
      </c>
      <c r="J36" t="s">
        <v>116</v>
      </c>
      <c r="K36" t="s">
        <v>117</v>
      </c>
      <c r="S36" s="37" t="s">
        <v>261</v>
      </c>
      <c r="T36" s="37" t="s">
        <v>109</v>
      </c>
      <c r="U36" s="37" t="s">
        <v>109</v>
      </c>
      <c r="V36" s="37" t="s">
        <v>109</v>
      </c>
      <c r="W36" s="37" t="s">
        <v>109</v>
      </c>
      <c r="Y36" s="37"/>
      <c r="Z36" s="37"/>
      <c r="AA36" s="37"/>
      <c r="AB36" s="37"/>
      <c r="AC36" s="37"/>
      <c r="AD36" s="37"/>
      <c r="AE36" s="37"/>
      <c r="AF36" s="37"/>
      <c r="AG36" s="37"/>
    </row>
    <row r="37" spans="3:33" ht="15.75" x14ac:dyDescent="0.25">
      <c r="C37" s="37" t="s">
        <v>189</v>
      </c>
      <c r="D37" t="s">
        <v>91</v>
      </c>
      <c r="E37" t="s">
        <v>91</v>
      </c>
      <c r="F37" t="s">
        <v>103</v>
      </c>
      <c r="S37" s="37" t="s">
        <v>254</v>
      </c>
      <c r="T37" s="37" t="s">
        <v>50</v>
      </c>
      <c r="U37" s="37" t="s">
        <v>50</v>
      </c>
      <c r="V37" s="37" t="s">
        <v>50</v>
      </c>
      <c r="W37" s="37" t="s">
        <v>50</v>
      </c>
      <c r="Y37" s="37"/>
      <c r="Z37" s="37"/>
      <c r="AA37" s="37"/>
      <c r="AB37" s="37"/>
      <c r="AC37" s="37"/>
      <c r="AD37" s="37"/>
      <c r="AE37" s="37"/>
      <c r="AF37" s="37"/>
      <c r="AG37" s="37"/>
    </row>
    <row r="38" spans="3:33" ht="15.75" x14ac:dyDescent="0.25">
      <c r="C38" s="37" t="s">
        <v>262</v>
      </c>
      <c r="D38" t="s">
        <v>71</v>
      </c>
      <c r="E38" t="s">
        <v>71</v>
      </c>
      <c r="F38" t="s">
        <v>74</v>
      </c>
      <c r="S38" s="37" t="s">
        <v>259</v>
      </c>
      <c r="T38" s="37" t="s">
        <v>34</v>
      </c>
      <c r="U38" s="37" t="s">
        <v>34</v>
      </c>
      <c r="V38" s="37" t="s">
        <v>34</v>
      </c>
      <c r="W38" s="37" t="s">
        <v>34</v>
      </c>
      <c r="Y38" s="37"/>
      <c r="Z38" s="37"/>
      <c r="AA38" s="37"/>
      <c r="AB38" s="37"/>
      <c r="AC38" s="37"/>
      <c r="AD38" s="37"/>
      <c r="AE38" s="37"/>
      <c r="AF38" s="37"/>
      <c r="AG38" s="37"/>
    </row>
    <row r="39" spans="3:33" ht="15.75" x14ac:dyDescent="0.25">
      <c r="C39" s="37" t="s">
        <v>254</v>
      </c>
      <c r="D39" t="s">
        <v>50</v>
      </c>
      <c r="S39" s="37" t="s">
        <v>260</v>
      </c>
      <c r="T39" s="57" t="s">
        <v>35</v>
      </c>
      <c r="U39" s="57" t="s">
        <v>36</v>
      </c>
      <c r="V39" s="57" t="s">
        <v>35</v>
      </c>
      <c r="W39" s="57" t="s">
        <v>36</v>
      </c>
      <c r="Y39" s="37"/>
      <c r="Z39" s="37"/>
      <c r="AA39" s="37"/>
      <c r="AB39" s="37"/>
      <c r="AC39" s="37"/>
      <c r="AD39" s="37"/>
      <c r="AE39" s="37"/>
      <c r="AF39" s="37"/>
      <c r="AG39" s="37"/>
    </row>
    <row r="40" spans="3:33" ht="15.75" x14ac:dyDescent="0.25">
      <c r="C40" s="37" t="s">
        <v>259</v>
      </c>
      <c r="D40" t="s">
        <v>34</v>
      </c>
      <c r="S40" s="37" t="s">
        <v>192</v>
      </c>
      <c r="T40" s="37" t="s">
        <v>165</v>
      </c>
      <c r="U40" s="37" t="s">
        <v>165</v>
      </c>
      <c r="V40" s="37" t="s">
        <v>165</v>
      </c>
      <c r="W40" s="37" t="s">
        <v>165</v>
      </c>
    </row>
    <row r="41" spans="3:33" ht="15.75" x14ac:dyDescent="0.25">
      <c r="C41" s="37" t="s">
        <v>260</v>
      </c>
      <c r="D41" t="s">
        <v>35</v>
      </c>
      <c r="E41" t="s">
        <v>36</v>
      </c>
      <c r="S41" s="37" t="s">
        <v>181</v>
      </c>
      <c r="T41" s="37" t="s">
        <v>178</v>
      </c>
      <c r="U41" s="37" t="s">
        <v>178</v>
      </c>
      <c r="V41" s="37" t="s">
        <v>178</v>
      </c>
      <c r="W41" s="37" t="s">
        <v>178</v>
      </c>
    </row>
    <row r="42" spans="3:33" ht="15.75" x14ac:dyDescent="0.25">
      <c r="C42" s="57" t="s">
        <v>192</v>
      </c>
      <c r="D42" t="s">
        <v>165</v>
      </c>
      <c r="S42" s="37" t="s">
        <v>176</v>
      </c>
      <c r="T42" t="s">
        <v>175</v>
      </c>
      <c r="U42" t="s">
        <v>175</v>
      </c>
      <c r="V42" t="s">
        <v>175</v>
      </c>
      <c r="W42" t="s">
        <v>175</v>
      </c>
    </row>
    <row r="43" spans="3:33" ht="15.75" x14ac:dyDescent="0.25">
      <c r="C43" s="57" t="s">
        <v>181</v>
      </c>
      <c r="D43" t="s">
        <v>178</v>
      </c>
    </row>
    <row r="44" spans="3:33" ht="15.75" x14ac:dyDescent="0.25">
      <c r="C44" s="57" t="s">
        <v>176</v>
      </c>
      <c r="D44" t="s">
        <v>175</v>
      </c>
    </row>
    <row r="45" spans="3:33" ht="15.75" x14ac:dyDescent="0.25">
      <c r="C45" s="37"/>
      <c r="T45" t="s">
        <v>297</v>
      </c>
      <c r="U45" t="s">
        <v>298</v>
      </c>
    </row>
    <row r="46" spans="3:33" ht="15.75" x14ac:dyDescent="0.25">
      <c r="C46" s="40" t="s">
        <v>1</v>
      </c>
      <c r="P46" s="37" t="s">
        <v>189</v>
      </c>
      <c r="S46" s="37" t="s">
        <v>295</v>
      </c>
      <c r="T46" t="s">
        <v>91</v>
      </c>
      <c r="U46" t="s">
        <v>103</v>
      </c>
      <c r="V46" s="37" t="s">
        <v>273</v>
      </c>
      <c r="W46" t="s">
        <v>27</v>
      </c>
    </row>
    <row r="47" spans="3:33" ht="15.75" x14ac:dyDescent="0.25">
      <c r="C47" s="57" t="s">
        <v>184</v>
      </c>
      <c r="D47" t="s">
        <v>12</v>
      </c>
      <c r="S47" s="37" t="s">
        <v>296</v>
      </c>
      <c r="T47" t="s">
        <v>94</v>
      </c>
      <c r="U47" t="s">
        <v>103</v>
      </c>
      <c r="V47" s="37" t="s">
        <v>274</v>
      </c>
      <c r="W47" t="s">
        <v>29</v>
      </c>
    </row>
    <row r="48" spans="3:33" ht="15.75" x14ac:dyDescent="0.25">
      <c r="C48" s="57" t="s">
        <v>185</v>
      </c>
      <c r="D48" t="s">
        <v>21</v>
      </c>
      <c r="P48" s="37" t="s">
        <v>100</v>
      </c>
      <c r="S48" s="37" t="s">
        <v>293</v>
      </c>
      <c r="T48" t="s">
        <v>71</v>
      </c>
      <c r="U48" t="s">
        <v>75</v>
      </c>
    </row>
    <row r="49" spans="3:23" ht="15.75" x14ac:dyDescent="0.25">
      <c r="C49" s="59" t="s">
        <v>186</v>
      </c>
      <c r="D49" t="s">
        <v>27</v>
      </c>
      <c r="E49" t="s">
        <v>29</v>
      </c>
      <c r="P49" s="37" t="s">
        <v>97</v>
      </c>
      <c r="S49" s="37" t="s">
        <v>294</v>
      </c>
      <c r="T49" t="s">
        <v>72</v>
      </c>
      <c r="U49" t="s">
        <v>75</v>
      </c>
    </row>
    <row r="50" spans="3:23" ht="15.75" x14ac:dyDescent="0.25">
      <c r="C50" s="57" t="s">
        <v>253</v>
      </c>
      <c r="D50" t="s">
        <v>55</v>
      </c>
    </row>
    <row r="51" spans="3:23" ht="15.75" x14ac:dyDescent="0.25">
      <c r="C51" s="37" t="s">
        <v>257</v>
      </c>
      <c r="D51" t="s">
        <v>34</v>
      </c>
      <c r="T51" s="37" t="s">
        <v>303</v>
      </c>
      <c r="U51" s="37" t="s">
        <v>304</v>
      </c>
    </row>
    <row r="52" spans="3:23" ht="15.75" x14ac:dyDescent="0.25">
      <c r="C52" s="37" t="s">
        <v>258</v>
      </c>
      <c r="D52" t="s">
        <v>35</v>
      </c>
      <c r="E52" t="s">
        <v>36</v>
      </c>
      <c r="S52" s="37" t="s">
        <v>272</v>
      </c>
      <c r="T52" t="s">
        <v>137</v>
      </c>
      <c r="U52" t="s">
        <v>141</v>
      </c>
      <c r="V52" s="37" t="s">
        <v>279</v>
      </c>
      <c r="W52" t="s">
        <v>50</v>
      </c>
    </row>
    <row r="53" spans="3:23" ht="15.75" x14ac:dyDescent="0.25">
      <c r="C53" s="59" t="s">
        <v>187</v>
      </c>
      <c r="D53" t="s">
        <v>145</v>
      </c>
      <c r="S53" s="37" t="s">
        <v>264</v>
      </c>
      <c r="T53" t="s">
        <v>109</v>
      </c>
      <c r="U53" t="s">
        <v>109</v>
      </c>
      <c r="V53" s="37" t="s">
        <v>280</v>
      </c>
      <c r="W53" t="s">
        <v>34</v>
      </c>
    </row>
    <row r="54" spans="3:23" ht="15.75" x14ac:dyDescent="0.25">
      <c r="C54" s="59" t="s">
        <v>261</v>
      </c>
      <c r="D54" t="s">
        <v>109</v>
      </c>
      <c r="E54" t="s">
        <v>110</v>
      </c>
      <c r="F54" t="s">
        <v>114</v>
      </c>
      <c r="G54" t="s">
        <v>117</v>
      </c>
      <c r="S54" s="37" t="s">
        <v>265</v>
      </c>
      <c r="T54" t="s">
        <v>111</v>
      </c>
      <c r="U54" t="s">
        <v>111</v>
      </c>
      <c r="V54" s="37" t="s">
        <v>281</v>
      </c>
      <c r="W54" t="s">
        <v>35</v>
      </c>
    </row>
    <row r="55" spans="3:23" ht="15.75" x14ac:dyDescent="0.25">
      <c r="C55" s="59" t="s">
        <v>189</v>
      </c>
      <c r="D55" t="s">
        <v>100</v>
      </c>
      <c r="S55" s="37" t="s">
        <v>266</v>
      </c>
      <c r="T55" t="s">
        <v>112</v>
      </c>
      <c r="U55" t="s">
        <v>112</v>
      </c>
      <c r="V55" s="37" t="s">
        <v>282</v>
      </c>
      <c r="W55" t="s">
        <v>36</v>
      </c>
    </row>
    <row r="56" spans="3:23" ht="15.75" x14ac:dyDescent="0.25">
      <c r="C56" s="59" t="s">
        <v>262</v>
      </c>
      <c r="D56" t="s">
        <v>71</v>
      </c>
      <c r="E56" t="s">
        <v>72</v>
      </c>
      <c r="S56" s="37" t="s">
        <v>267</v>
      </c>
      <c r="T56" t="s">
        <v>113</v>
      </c>
      <c r="U56" t="s">
        <v>113</v>
      </c>
    </row>
    <row r="57" spans="3:23" ht="15.75" x14ac:dyDescent="0.25">
      <c r="C57" s="57" t="s">
        <v>254</v>
      </c>
      <c r="D57" t="s">
        <v>55</v>
      </c>
      <c r="S57" s="37" t="s">
        <v>268</v>
      </c>
      <c r="T57" t="s">
        <v>114</v>
      </c>
      <c r="U57" t="s">
        <v>114</v>
      </c>
    </row>
    <row r="58" spans="3:23" ht="15.75" x14ac:dyDescent="0.25">
      <c r="C58" s="37" t="s">
        <v>259</v>
      </c>
      <c r="D58" t="s">
        <v>34</v>
      </c>
      <c r="S58" s="37" t="s">
        <v>269</v>
      </c>
      <c r="T58" t="s">
        <v>115</v>
      </c>
      <c r="U58" t="s">
        <v>115</v>
      </c>
    </row>
    <row r="59" spans="3:23" ht="15.75" x14ac:dyDescent="0.25">
      <c r="C59" s="37" t="s">
        <v>260</v>
      </c>
      <c r="D59" t="s">
        <v>35</v>
      </c>
      <c r="E59" t="s">
        <v>36</v>
      </c>
      <c r="S59" s="37" t="s">
        <v>270</v>
      </c>
      <c r="T59" t="s">
        <v>116</v>
      </c>
      <c r="U59" t="s">
        <v>116</v>
      </c>
    </row>
    <row r="60" spans="3:23" ht="15.75" x14ac:dyDescent="0.25">
      <c r="C60" s="57" t="s">
        <v>192</v>
      </c>
      <c r="D60" t="s">
        <v>172</v>
      </c>
      <c r="S60" s="37" t="s">
        <v>271</v>
      </c>
      <c r="T60" t="s">
        <v>117</v>
      </c>
      <c r="U60" t="s">
        <v>117</v>
      </c>
    </row>
    <row r="61" spans="3:23" ht="15.75" x14ac:dyDescent="0.25">
      <c r="C61" s="57" t="s">
        <v>181</v>
      </c>
      <c r="D61" t="s">
        <v>178</v>
      </c>
    </row>
    <row r="62" spans="3:23" ht="15.75" x14ac:dyDescent="0.25">
      <c r="C62" s="57" t="s">
        <v>176</v>
      </c>
      <c r="D62" t="s">
        <v>175</v>
      </c>
      <c r="S62" s="37" t="s">
        <v>277</v>
      </c>
      <c r="T62" t="s">
        <v>50</v>
      </c>
    </row>
    <row r="63" spans="3:23" ht="15.75" x14ac:dyDescent="0.25">
      <c r="S63" s="37" t="s">
        <v>278</v>
      </c>
      <c r="T63" t="s">
        <v>34</v>
      </c>
    </row>
    <row r="64" spans="3:23" ht="15.75" x14ac:dyDescent="0.25">
      <c r="C64" s="40" t="s">
        <v>2</v>
      </c>
      <c r="S64" s="37" t="s">
        <v>275</v>
      </c>
      <c r="T64" t="s">
        <v>35</v>
      </c>
    </row>
    <row r="65" spans="3:22" ht="15.75" x14ac:dyDescent="0.25">
      <c r="C65" s="37" t="s">
        <v>184</v>
      </c>
      <c r="D65" t="s">
        <v>12</v>
      </c>
      <c r="S65" s="37" t="s">
        <v>276</v>
      </c>
      <c r="T65" t="s">
        <v>36</v>
      </c>
    </row>
    <row r="66" spans="3:22" ht="15.75" x14ac:dyDescent="0.25">
      <c r="C66" s="37" t="s">
        <v>185</v>
      </c>
      <c r="D66" t="s">
        <v>21</v>
      </c>
    </row>
    <row r="67" spans="3:22" ht="15.75" x14ac:dyDescent="0.25">
      <c r="C67" s="37" t="s">
        <v>186</v>
      </c>
      <c r="D67" t="s">
        <v>27</v>
      </c>
      <c r="E67" t="s">
        <v>29</v>
      </c>
      <c r="S67" s="40" t="s">
        <v>1</v>
      </c>
    </row>
    <row r="68" spans="3:22" ht="15.75" x14ac:dyDescent="0.25">
      <c r="C68" s="37" t="s">
        <v>253</v>
      </c>
      <c r="D68" t="s">
        <v>59</v>
      </c>
    </row>
    <row r="69" spans="3:22" ht="15.75" x14ac:dyDescent="0.25">
      <c r="C69" s="37" t="s">
        <v>257</v>
      </c>
      <c r="D69" t="s">
        <v>62</v>
      </c>
      <c r="E69" t="s">
        <v>34</v>
      </c>
      <c r="S69" s="37" t="s">
        <v>293</v>
      </c>
      <c r="T69" t="s">
        <v>71</v>
      </c>
      <c r="U69" s="37" t="s">
        <v>273</v>
      </c>
      <c r="V69" t="s">
        <v>27</v>
      </c>
    </row>
    <row r="70" spans="3:22" ht="15.75" x14ac:dyDescent="0.25">
      <c r="C70" s="37" t="s">
        <v>258</v>
      </c>
      <c r="D70" t="s">
        <v>35</v>
      </c>
      <c r="E70" t="s">
        <v>36</v>
      </c>
      <c r="S70" s="37" t="s">
        <v>294</v>
      </c>
      <c r="T70" t="s">
        <v>72</v>
      </c>
      <c r="U70" s="37" t="s">
        <v>274</v>
      </c>
      <c r="V70" t="s">
        <v>29</v>
      </c>
    </row>
    <row r="71" spans="3:22" ht="15.75" x14ac:dyDescent="0.25">
      <c r="C71" s="37" t="s">
        <v>187</v>
      </c>
      <c r="D71" t="s">
        <v>148</v>
      </c>
      <c r="E71" t="s">
        <v>151</v>
      </c>
      <c r="F71" t="s">
        <v>154</v>
      </c>
    </row>
    <row r="72" spans="3:22" ht="15.75" x14ac:dyDescent="0.25">
      <c r="C72" s="37" t="s">
        <v>261</v>
      </c>
      <c r="D72" t="s">
        <v>108</v>
      </c>
      <c r="E72" t="s">
        <v>113</v>
      </c>
      <c r="F72" t="s">
        <v>114</v>
      </c>
      <c r="G72" t="s">
        <v>115</v>
      </c>
      <c r="H72" t="s">
        <v>117</v>
      </c>
      <c r="S72" s="37" t="s">
        <v>272</v>
      </c>
      <c r="T72" t="s">
        <v>145</v>
      </c>
    </row>
    <row r="73" spans="3:22" ht="15.75" x14ac:dyDescent="0.25">
      <c r="C73" s="37" t="s">
        <v>189</v>
      </c>
      <c r="D73" t="s">
        <v>97</v>
      </c>
      <c r="S73" s="37" t="s">
        <v>264</v>
      </c>
      <c r="T73" t="s">
        <v>109</v>
      </c>
      <c r="U73" s="37"/>
    </row>
    <row r="74" spans="3:22" ht="15.75" x14ac:dyDescent="0.25">
      <c r="C74" s="37" t="s">
        <v>262</v>
      </c>
      <c r="D74" t="s">
        <v>71</v>
      </c>
      <c r="E74" t="s">
        <v>72</v>
      </c>
      <c r="S74" s="37" t="s">
        <v>265</v>
      </c>
      <c r="T74" t="s">
        <v>110</v>
      </c>
      <c r="U74" s="37"/>
    </row>
    <row r="75" spans="3:22" ht="15.75" x14ac:dyDescent="0.25">
      <c r="C75" s="37" t="s">
        <v>254</v>
      </c>
      <c r="D75" t="s">
        <v>59</v>
      </c>
      <c r="S75" s="37" t="s">
        <v>266</v>
      </c>
      <c r="T75" t="s">
        <v>114</v>
      </c>
      <c r="U75" s="37" t="s">
        <v>281</v>
      </c>
      <c r="V75" t="s">
        <v>35</v>
      </c>
    </row>
    <row r="76" spans="3:22" ht="15.75" x14ac:dyDescent="0.25">
      <c r="C76" s="37" t="s">
        <v>259</v>
      </c>
      <c r="D76" t="s">
        <v>33</v>
      </c>
      <c r="E76" t="s">
        <v>62</v>
      </c>
      <c r="S76" s="37" t="s">
        <v>267</v>
      </c>
      <c r="T76" t="s">
        <v>117</v>
      </c>
      <c r="U76" s="37" t="s">
        <v>282</v>
      </c>
      <c r="V76" t="s">
        <v>36</v>
      </c>
    </row>
    <row r="77" spans="3:22" ht="15.75" x14ac:dyDescent="0.25">
      <c r="C77" s="37" t="s">
        <v>260</v>
      </c>
      <c r="D77" t="s">
        <v>35</v>
      </c>
      <c r="E77" t="s">
        <v>36</v>
      </c>
      <c r="S77" s="37"/>
    </row>
    <row r="78" spans="3:22" ht="15.75" x14ac:dyDescent="0.25">
      <c r="C78" s="37" t="s">
        <v>192</v>
      </c>
      <c r="D78" t="s">
        <v>172</v>
      </c>
      <c r="S78" s="37" t="s">
        <v>275</v>
      </c>
      <c r="T78" t="s">
        <v>35</v>
      </c>
    </row>
    <row r="79" spans="3:22" ht="15.75" x14ac:dyDescent="0.25">
      <c r="C79" s="37" t="s">
        <v>181</v>
      </c>
      <c r="D79" t="s">
        <v>178</v>
      </c>
      <c r="S79" s="37" t="s">
        <v>276</v>
      </c>
      <c r="T79" t="s">
        <v>36</v>
      </c>
    </row>
    <row r="80" spans="3:22" ht="15.75" x14ac:dyDescent="0.25">
      <c r="C80" s="37" t="s">
        <v>176</v>
      </c>
      <c r="D80" t="s">
        <v>175</v>
      </c>
    </row>
    <row r="81" spans="14:22" ht="15.75" x14ac:dyDescent="0.25">
      <c r="S81" s="40" t="s">
        <v>2</v>
      </c>
    </row>
    <row r="83" spans="14:22" ht="15.75" x14ac:dyDescent="0.25">
      <c r="S83" s="37" t="s">
        <v>293</v>
      </c>
      <c r="T83" t="s">
        <v>71</v>
      </c>
    </row>
    <row r="84" spans="14:22" ht="15.75" x14ac:dyDescent="0.25">
      <c r="S84" s="37" t="s">
        <v>294</v>
      </c>
      <c r="T84" t="s">
        <v>72</v>
      </c>
      <c r="U84" s="37" t="s">
        <v>273</v>
      </c>
      <c r="V84" t="s">
        <v>27</v>
      </c>
    </row>
    <row r="85" spans="14:22" ht="15.75" x14ac:dyDescent="0.25">
      <c r="U85" s="37" t="s">
        <v>274</v>
      </c>
      <c r="V85" t="s">
        <v>29</v>
      </c>
    </row>
    <row r="86" spans="14:22" ht="15.75" x14ac:dyDescent="0.25">
      <c r="T86" s="37"/>
    </row>
    <row r="87" spans="14:22" ht="15.75" x14ac:dyDescent="0.25">
      <c r="N87" s="37" t="s">
        <v>272</v>
      </c>
      <c r="O87" t="s">
        <v>137</v>
      </c>
      <c r="P87" t="s">
        <v>141</v>
      </c>
      <c r="S87" s="37" t="s">
        <v>272</v>
      </c>
      <c r="T87" t="s">
        <v>148</v>
      </c>
    </row>
    <row r="88" spans="14:22" ht="15.75" x14ac:dyDescent="0.25">
      <c r="N88" s="37" t="s">
        <v>272</v>
      </c>
      <c r="O88" t="s">
        <v>145</v>
      </c>
      <c r="S88" s="37" t="s">
        <v>291</v>
      </c>
      <c r="T88" t="s">
        <v>151</v>
      </c>
    </row>
    <row r="89" spans="14:22" ht="15.75" x14ac:dyDescent="0.25">
      <c r="S89" s="37" t="s">
        <v>292</v>
      </c>
      <c r="T89" t="s">
        <v>154</v>
      </c>
      <c r="U89" s="37"/>
    </row>
    <row r="90" spans="14:22" ht="15.75" x14ac:dyDescent="0.25">
      <c r="S90" s="37" t="s">
        <v>264</v>
      </c>
      <c r="T90" t="s">
        <v>108</v>
      </c>
      <c r="U90" s="37"/>
    </row>
    <row r="91" spans="14:22" ht="15.75" x14ac:dyDescent="0.25">
      <c r="S91" s="37" t="s">
        <v>265</v>
      </c>
      <c r="T91" t="s">
        <v>113</v>
      </c>
      <c r="U91" s="37" t="s">
        <v>281</v>
      </c>
      <c r="V91" t="s">
        <v>35</v>
      </c>
    </row>
    <row r="92" spans="14:22" ht="15.75" x14ac:dyDescent="0.25">
      <c r="S92" s="37" t="s">
        <v>266</v>
      </c>
      <c r="T92" t="s">
        <v>114</v>
      </c>
      <c r="U92" s="37" t="s">
        <v>282</v>
      </c>
      <c r="V92" t="s">
        <v>36</v>
      </c>
    </row>
    <row r="93" spans="14:22" ht="15.75" x14ac:dyDescent="0.25">
      <c r="S93" s="37" t="s">
        <v>267</v>
      </c>
      <c r="T93" t="s">
        <v>115</v>
      </c>
    </row>
    <row r="94" spans="14:22" ht="15.75" x14ac:dyDescent="0.25">
      <c r="S94" s="37" t="s">
        <v>268</v>
      </c>
      <c r="T94" t="s">
        <v>117</v>
      </c>
    </row>
    <row r="96" spans="14:22" ht="15.75" x14ac:dyDescent="0.25">
      <c r="S96" s="37" t="s">
        <v>275</v>
      </c>
      <c r="T96" t="s">
        <v>35</v>
      </c>
    </row>
    <row r="97" spans="19:20" ht="15.75" x14ac:dyDescent="0.25">
      <c r="S97" s="37" t="s">
        <v>276</v>
      </c>
      <c r="T97" t="s">
        <v>36</v>
      </c>
    </row>
  </sheetData>
  <mergeCells count="4">
    <mergeCell ref="I3:R3"/>
    <mergeCell ref="E3:G3"/>
    <mergeCell ref="C2:D2"/>
    <mergeCell ref="C26:D2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G67"/>
  <sheetViews>
    <sheetView tabSelected="1" workbookViewId="0">
      <selection activeCell="C66" sqref="C66:F67"/>
    </sheetView>
  </sheetViews>
  <sheetFormatPr defaultColWidth="8.85546875" defaultRowHeight="15" x14ac:dyDescent="0.25"/>
  <cols>
    <col min="3" max="3" width="20.42578125" bestFit="1" customWidth="1"/>
    <col min="6" max="6" width="36.42578125" bestFit="1" customWidth="1"/>
  </cols>
  <sheetData>
    <row r="3" spans="3:6" x14ac:dyDescent="0.25">
      <c r="C3" s="16" t="s">
        <v>446</v>
      </c>
      <c r="D3" s="16" t="s">
        <v>447</v>
      </c>
      <c r="E3" s="16" t="s">
        <v>458</v>
      </c>
      <c r="F3" s="16" t="s">
        <v>448</v>
      </c>
    </row>
    <row r="4" spans="3:6" ht="15.75" x14ac:dyDescent="0.25">
      <c r="C4" s="136" t="s">
        <v>459</v>
      </c>
      <c r="D4" s="136" t="s">
        <v>443</v>
      </c>
      <c r="E4" s="136">
        <v>1</v>
      </c>
      <c r="F4" s="137" t="s">
        <v>232</v>
      </c>
    </row>
    <row r="5" spans="3:6" ht="15.75" x14ac:dyDescent="0.25">
      <c r="C5" s="136" t="s">
        <v>459</v>
      </c>
      <c r="D5" s="136" t="s">
        <v>443</v>
      </c>
      <c r="E5" s="136">
        <v>2</v>
      </c>
      <c r="F5" s="137" t="s">
        <v>1</v>
      </c>
    </row>
    <row r="6" spans="3:6" ht="15.75" x14ac:dyDescent="0.25">
      <c r="C6" s="136" t="s">
        <v>459</v>
      </c>
      <c r="D6" s="136" t="s">
        <v>443</v>
      </c>
      <c r="E6" s="136">
        <v>3</v>
      </c>
      <c r="F6" s="137" t="s">
        <v>2</v>
      </c>
    </row>
    <row r="7" spans="3:6" ht="15.75" x14ac:dyDescent="0.25">
      <c r="C7" s="138" t="s">
        <v>459</v>
      </c>
      <c r="D7" s="138" t="s">
        <v>444</v>
      </c>
      <c r="E7" s="138">
        <v>1</v>
      </c>
      <c r="F7" s="139" t="s">
        <v>234</v>
      </c>
    </row>
    <row r="8" spans="3:6" ht="15.75" x14ac:dyDescent="0.25">
      <c r="C8" s="138" t="s">
        <v>459</v>
      </c>
      <c r="D8" s="138" t="s">
        <v>444</v>
      </c>
      <c r="E8" s="138">
        <v>2</v>
      </c>
      <c r="F8" s="139" t="s">
        <v>235</v>
      </c>
    </row>
    <row r="9" spans="3:6" ht="15.75" x14ac:dyDescent="0.25">
      <c r="C9" s="136" t="s">
        <v>449</v>
      </c>
      <c r="D9" s="136" t="s">
        <v>445</v>
      </c>
      <c r="E9" s="136">
        <v>1</v>
      </c>
      <c r="F9" s="137" t="s">
        <v>19</v>
      </c>
    </row>
    <row r="10" spans="3:6" ht="15.75" x14ac:dyDescent="0.25">
      <c r="C10" s="136" t="s">
        <v>449</v>
      </c>
      <c r="D10" s="136" t="s">
        <v>445</v>
      </c>
      <c r="E10" s="136">
        <v>2</v>
      </c>
      <c r="F10" s="137" t="s">
        <v>17</v>
      </c>
    </row>
    <row r="11" spans="3:6" ht="15.75" x14ac:dyDescent="0.25">
      <c r="C11" s="138" t="s">
        <v>459</v>
      </c>
      <c r="D11" s="138" t="s">
        <v>450</v>
      </c>
      <c r="E11" s="138">
        <v>1</v>
      </c>
      <c r="F11" s="139" t="s">
        <v>238</v>
      </c>
    </row>
    <row r="12" spans="3:6" ht="15.75" x14ac:dyDescent="0.25">
      <c r="C12" s="138" t="s">
        <v>459</v>
      </c>
      <c r="D12" s="138" t="s">
        <v>450</v>
      </c>
      <c r="E12" s="138">
        <v>2</v>
      </c>
      <c r="F12" s="139" t="s">
        <v>239</v>
      </c>
    </row>
    <row r="13" spans="3:6" ht="15.75" x14ac:dyDescent="0.25">
      <c r="C13" s="136" t="s">
        <v>449</v>
      </c>
      <c r="D13" s="136" t="s">
        <v>451</v>
      </c>
      <c r="E13" s="136">
        <v>1</v>
      </c>
      <c r="F13" s="137" t="s">
        <v>238</v>
      </c>
    </row>
    <row r="14" spans="3:6" ht="15.75" x14ac:dyDescent="0.25">
      <c r="C14" s="136" t="s">
        <v>449</v>
      </c>
      <c r="D14" s="136" t="s">
        <v>451</v>
      </c>
      <c r="E14" s="136">
        <v>2</v>
      </c>
      <c r="F14" s="137" t="s">
        <v>239</v>
      </c>
    </row>
    <row r="15" spans="3:6" ht="15.75" x14ac:dyDescent="0.25">
      <c r="C15" s="138" t="s">
        <v>459</v>
      </c>
      <c r="D15" s="138" t="s">
        <v>452</v>
      </c>
      <c r="E15" s="138">
        <v>1</v>
      </c>
      <c r="F15" s="139" t="s">
        <v>248</v>
      </c>
    </row>
    <row r="16" spans="3:6" ht="15.75" x14ac:dyDescent="0.25">
      <c r="C16" s="138" t="s">
        <v>459</v>
      </c>
      <c r="D16" s="138" t="s">
        <v>452</v>
      </c>
      <c r="E16" s="138">
        <v>2</v>
      </c>
      <c r="F16" s="139" t="s">
        <v>249</v>
      </c>
    </row>
    <row r="17" spans="3:7" ht="15.75" x14ac:dyDescent="0.25">
      <c r="C17" s="136" t="s">
        <v>449</v>
      </c>
      <c r="D17" s="136" t="s">
        <v>453</v>
      </c>
      <c r="E17" s="136">
        <v>1</v>
      </c>
      <c r="F17" s="137" t="s">
        <v>248</v>
      </c>
    </row>
    <row r="18" spans="3:7" ht="15.75" x14ac:dyDescent="0.25">
      <c r="C18" s="136" t="s">
        <v>449</v>
      </c>
      <c r="D18" s="136" t="s">
        <v>453</v>
      </c>
      <c r="E18" s="136">
        <v>2</v>
      </c>
      <c r="F18" s="137" t="s">
        <v>249</v>
      </c>
      <c r="G18" s="134"/>
    </row>
    <row r="19" spans="3:7" ht="15.75" x14ac:dyDescent="0.25">
      <c r="C19" s="138" t="s">
        <v>449</v>
      </c>
      <c r="D19" s="138" t="s">
        <v>454</v>
      </c>
      <c r="E19" s="138">
        <v>1</v>
      </c>
      <c r="F19" s="139" t="s">
        <v>332</v>
      </c>
    </row>
    <row r="20" spans="3:7" ht="15.75" x14ac:dyDescent="0.25">
      <c r="C20" s="138" t="s">
        <v>449</v>
      </c>
      <c r="D20" s="138" t="s">
        <v>455</v>
      </c>
      <c r="E20" s="138">
        <v>1</v>
      </c>
      <c r="F20" s="139" t="s">
        <v>303</v>
      </c>
    </row>
    <row r="21" spans="3:7" ht="15.75" x14ac:dyDescent="0.25">
      <c r="C21" s="136" t="s">
        <v>459</v>
      </c>
      <c r="D21" s="136" t="s">
        <v>455</v>
      </c>
      <c r="E21" s="136">
        <v>2</v>
      </c>
      <c r="F21" s="137" t="s">
        <v>304</v>
      </c>
    </row>
    <row r="22" spans="3:7" ht="15.75" x14ac:dyDescent="0.25">
      <c r="C22" s="138" t="s">
        <v>459</v>
      </c>
      <c r="D22" s="138" t="s">
        <v>456</v>
      </c>
      <c r="E22" s="138">
        <v>1</v>
      </c>
      <c r="F22" s="139" t="s">
        <v>297</v>
      </c>
    </row>
    <row r="23" spans="3:7" ht="15.75" x14ac:dyDescent="0.25">
      <c r="C23" s="138" t="s">
        <v>459</v>
      </c>
      <c r="D23" s="138" t="s">
        <v>456</v>
      </c>
      <c r="E23" s="138">
        <v>2</v>
      </c>
      <c r="F23" s="139" t="s">
        <v>298</v>
      </c>
    </row>
    <row r="24" spans="3:7" ht="15.75" x14ac:dyDescent="0.25">
      <c r="C24" s="136" t="s">
        <v>459</v>
      </c>
      <c r="D24" s="136" t="s">
        <v>457</v>
      </c>
      <c r="E24" s="136">
        <v>1</v>
      </c>
      <c r="F24" s="137" t="s">
        <v>321</v>
      </c>
    </row>
    <row r="25" spans="3:7" ht="15.75" x14ac:dyDescent="0.25">
      <c r="C25" s="136" t="s">
        <v>459</v>
      </c>
      <c r="D25" s="136" t="s">
        <v>457</v>
      </c>
      <c r="E25" s="136">
        <v>2</v>
      </c>
      <c r="F25" s="137" t="s">
        <v>322</v>
      </c>
    </row>
    <row r="28" spans="3:7" x14ac:dyDescent="0.25">
      <c r="C28" s="16" t="s">
        <v>446</v>
      </c>
      <c r="D28" s="16" t="s">
        <v>447</v>
      </c>
      <c r="E28" s="16" t="s">
        <v>458</v>
      </c>
      <c r="F28" s="16" t="s">
        <v>448</v>
      </c>
    </row>
    <row r="29" spans="3:7" ht="15.75" x14ac:dyDescent="0.25">
      <c r="C29" s="133" t="s">
        <v>459</v>
      </c>
      <c r="D29" s="140" t="s">
        <v>460</v>
      </c>
      <c r="E29" s="74" t="s">
        <v>232</v>
      </c>
      <c r="F29" s="133"/>
    </row>
    <row r="30" spans="3:7" ht="15.75" x14ac:dyDescent="0.25">
      <c r="C30" s="133" t="s">
        <v>459</v>
      </c>
      <c r="D30" s="140" t="s">
        <v>460</v>
      </c>
      <c r="E30" s="74" t="s">
        <v>1</v>
      </c>
      <c r="F30" s="133"/>
    </row>
    <row r="31" spans="3:7" ht="15.75" x14ac:dyDescent="0.25">
      <c r="C31" s="133" t="s">
        <v>459</v>
      </c>
      <c r="D31" s="140" t="s">
        <v>460</v>
      </c>
      <c r="E31" s="74" t="s">
        <v>2</v>
      </c>
      <c r="F31" s="133"/>
    </row>
    <row r="32" spans="3:7" ht="15.75" x14ac:dyDescent="0.25">
      <c r="C32" t="s">
        <v>459</v>
      </c>
      <c r="D32" s="135" t="s">
        <v>461</v>
      </c>
      <c r="E32" s="132" t="s">
        <v>234</v>
      </c>
    </row>
    <row r="33" spans="3:6" ht="15.75" x14ac:dyDescent="0.25">
      <c r="C33" t="s">
        <v>459</v>
      </c>
      <c r="D33" s="135" t="s">
        <v>461</v>
      </c>
      <c r="E33" s="74" t="s">
        <v>235</v>
      </c>
    </row>
    <row r="34" spans="3:6" x14ac:dyDescent="0.25">
      <c r="C34" s="133" t="s">
        <v>459</v>
      </c>
      <c r="D34" s="133" t="s">
        <v>471</v>
      </c>
      <c r="E34" s="133" t="s">
        <v>273</v>
      </c>
      <c r="F34" s="133"/>
    </row>
    <row r="35" spans="3:6" x14ac:dyDescent="0.25">
      <c r="C35" s="133" t="s">
        <v>459</v>
      </c>
      <c r="D35" s="133" t="s">
        <v>471</v>
      </c>
      <c r="E35" s="133" t="s">
        <v>274</v>
      </c>
      <c r="F35" s="133"/>
    </row>
    <row r="36" spans="3:6" ht="15.75" x14ac:dyDescent="0.25">
      <c r="C36" t="s">
        <v>459</v>
      </c>
      <c r="D36" s="135" t="s">
        <v>462</v>
      </c>
      <c r="E36" s="37" t="s">
        <v>238</v>
      </c>
    </row>
    <row r="37" spans="3:6" ht="15.75" x14ac:dyDescent="0.25">
      <c r="C37" t="s">
        <v>459</v>
      </c>
      <c r="D37" s="135" t="s">
        <v>462</v>
      </c>
      <c r="E37" s="37" t="s">
        <v>369</v>
      </c>
    </row>
    <row r="38" spans="3:6" ht="15.75" x14ac:dyDescent="0.25">
      <c r="C38" t="s">
        <v>459</v>
      </c>
      <c r="D38" s="135" t="s">
        <v>462</v>
      </c>
      <c r="E38" s="37" t="s">
        <v>368</v>
      </c>
    </row>
    <row r="39" spans="3:6" ht="15.75" x14ac:dyDescent="0.25">
      <c r="C39" t="s">
        <v>459</v>
      </c>
      <c r="D39" s="135" t="s">
        <v>462</v>
      </c>
      <c r="E39" s="37" t="s">
        <v>333</v>
      </c>
    </row>
    <row r="40" spans="3:6" ht="15.75" x14ac:dyDescent="0.25">
      <c r="C40" s="133" t="s">
        <v>473</v>
      </c>
      <c r="D40" s="140" t="s">
        <v>472</v>
      </c>
      <c r="E40" s="74" t="s">
        <v>238</v>
      </c>
      <c r="F40" s="133"/>
    </row>
    <row r="41" spans="3:6" ht="15.75" x14ac:dyDescent="0.25">
      <c r="C41" s="133" t="s">
        <v>473</v>
      </c>
      <c r="D41" s="140" t="s">
        <v>472</v>
      </c>
      <c r="E41" s="74" t="s">
        <v>369</v>
      </c>
      <c r="F41" s="133"/>
    </row>
    <row r="42" spans="3:6" ht="15.75" x14ac:dyDescent="0.25">
      <c r="C42" s="133" t="s">
        <v>473</v>
      </c>
      <c r="D42" s="140" t="s">
        <v>472</v>
      </c>
      <c r="E42" s="74" t="s">
        <v>368</v>
      </c>
      <c r="F42" s="133"/>
    </row>
    <row r="43" spans="3:6" ht="15.75" x14ac:dyDescent="0.25">
      <c r="C43" s="133" t="s">
        <v>473</v>
      </c>
      <c r="D43" s="140" t="s">
        <v>472</v>
      </c>
      <c r="E43" s="74" t="s">
        <v>333</v>
      </c>
      <c r="F43" s="133"/>
    </row>
    <row r="44" spans="3:6" ht="15.75" x14ac:dyDescent="0.25">
      <c r="C44" t="s">
        <v>459</v>
      </c>
      <c r="D44" s="135" t="s">
        <v>463</v>
      </c>
      <c r="E44" t="s">
        <v>281</v>
      </c>
    </row>
    <row r="45" spans="3:6" ht="15.75" x14ac:dyDescent="0.25">
      <c r="C45" t="s">
        <v>459</v>
      </c>
      <c r="D45" s="135" t="s">
        <v>463</v>
      </c>
      <c r="E45" t="s">
        <v>282</v>
      </c>
    </row>
    <row r="46" spans="3:6" ht="15.75" x14ac:dyDescent="0.25">
      <c r="C46" t="s">
        <v>459</v>
      </c>
      <c r="D46" s="135" t="s">
        <v>464</v>
      </c>
      <c r="E46" t="s">
        <v>281</v>
      </c>
    </row>
    <row r="47" spans="3:6" ht="15.75" x14ac:dyDescent="0.25">
      <c r="C47" t="s">
        <v>459</v>
      </c>
      <c r="D47" s="135" t="s">
        <v>464</v>
      </c>
      <c r="E47" t="s">
        <v>282</v>
      </c>
    </row>
    <row r="48" spans="3:6" ht="15.75" x14ac:dyDescent="0.25">
      <c r="C48" s="133" t="s">
        <v>474</v>
      </c>
      <c r="D48" s="140" t="s">
        <v>465</v>
      </c>
      <c r="E48" s="133" t="s">
        <v>303</v>
      </c>
      <c r="F48" s="133"/>
    </row>
    <row r="49" spans="3:6" ht="15.75" x14ac:dyDescent="0.25">
      <c r="C49" s="133" t="s">
        <v>474</v>
      </c>
      <c r="D49" s="140" t="s">
        <v>465</v>
      </c>
      <c r="E49" s="133" t="s">
        <v>304</v>
      </c>
      <c r="F49" s="133"/>
    </row>
    <row r="50" spans="3:6" ht="15.75" x14ac:dyDescent="0.25">
      <c r="C50" t="s">
        <v>459</v>
      </c>
      <c r="D50" s="135" t="s">
        <v>466</v>
      </c>
      <c r="E50" t="s">
        <v>272</v>
      </c>
    </row>
    <row r="51" spans="3:6" ht="15.75" x14ac:dyDescent="0.25">
      <c r="C51" t="s">
        <v>459</v>
      </c>
      <c r="D51" s="135" t="s">
        <v>467</v>
      </c>
      <c r="E51" s="37" t="s">
        <v>272</v>
      </c>
    </row>
    <row r="52" spans="3:6" ht="15.75" x14ac:dyDescent="0.25">
      <c r="C52" s="133" t="s">
        <v>459</v>
      </c>
      <c r="D52" s="140" t="s">
        <v>467</v>
      </c>
      <c r="E52" s="74" t="s">
        <v>264</v>
      </c>
      <c r="F52" s="133"/>
    </row>
    <row r="53" spans="3:6" ht="15.75" x14ac:dyDescent="0.25">
      <c r="C53" s="133" t="s">
        <v>459</v>
      </c>
      <c r="D53" s="140" t="s">
        <v>467</v>
      </c>
      <c r="E53" s="74" t="s">
        <v>265</v>
      </c>
      <c r="F53" s="133"/>
    </row>
    <row r="54" spans="3:6" ht="15.75" x14ac:dyDescent="0.25">
      <c r="C54" s="133" t="s">
        <v>459</v>
      </c>
      <c r="D54" s="140" t="s">
        <v>467</v>
      </c>
      <c r="E54" s="74" t="s">
        <v>266</v>
      </c>
      <c r="F54" s="133"/>
    </row>
    <row r="55" spans="3:6" ht="15.75" x14ac:dyDescent="0.25">
      <c r="C55" s="133" t="s">
        <v>459</v>
      </c>
      <c r="D55" s="140" t="s">
        <v>467</v>
      </c>
      <c r="E55" s="74" t="s">
        <v>267</v>
      </c>
      <c r="F55" s="133"/>
    </row>
    <row r="56" spans="3:6" ht="15.75" x14ac:dyDescent="0.25">
      <c r="C56" s="133" t="s">
        <v>459</v>
      </c>
      <c r="D56" s="140" t="s">
        <v>467</v>
      </c>
      <c r="E56" s="74" t="s">
        <v>268</v>
      </c>
      <c r="F56" s="133"/>
    </row>
    <row r="57" spans="3:6" ht="15.75" x14ac:dyDescent="0.25">
      <c r="C57" s="133" t="s">
        <v>459</v>
      </c>
      <c r="D57" s="140" t="s">
        <v>467</v>
      </c>
      <c r="E57" s="74" t="s">
        <v>269</v>
      </c>
      <c r="F57" s="133"/>
    </row>
    <row r="58" spans="3:6" ht="15.75" x14ac:dyDescent="0.25">
      <c r="C58" s="133" t="s">
        <v>459</v>
      </c>
      <c r="D58" s="140" t="s">
        <v>467</v>
      </c>
      <c r="E58" s="74" t="s">
        <v>270</v>
      </c>
      <c r="F58" s="133"/>
    </row>
    <row r="59" spans="3:6" ht="15.75" x14ac:dyDescent="0.25">
      <c r="C59" s="133" t="s">
        <v>459</v>
      </c>
      <c r="D59" s="140" t="s">
        <v>467</v>
      </c>
      <c r="E59" s="74" t="s">
        <v>271</v>
      </c>
      <c r="F59" s="133"/>
    </row>
    <row r="60" spans="3:6" ht="15.75" x14ac:dyDescent="0.25">
      <c r="C60" t="s">
        <v>459</v>
      </c>
      <c r="D60" s="135" t="s">
        <v>468</v>
      </c>
      <c r="E60" t="s">
        <v>297</v>
      </c>
    </row>
    <row r="61" spans="3:6" ht="15.75" x14ac:dyDescent="0.25">
      <c r="C61" t="s">
        <v>459</v>
      </c>
      <c r="D61" s="135" t="s">
        <v>468</v>
      </c>
      <c r="E61" t="s">
        <v>298</v>
      </c>
    </row>
    <row r="62" spans="3:6" ht="15.75" x14ac:dyDescent="0.25">
      <c r="C62" s="133" t="s">
        <v>476</v>
      </c>
      <c r="D62" s="140" t="s">
        <v>475</v>
      </c>
      <c r="E62" s="133" t="s">
        <v>295</v>
      </c>
      <c r="F62" s="133"/>
    </row>
    <row r="63" spans="3:6" ht="15.75" x14ac:dyDescent="0.25">
      <c r="C63" s="133" t="s">
        <v>476</v>
      </c>
      <c r="D63" s="140" t="s">
        <v>475</v>
      </c>
      <c r="E63" s="133" t="s">
        <v>296</v>
      </c>
      <c r="F63" s="133"/>
    </row>
    <row r="64" spans="3:6" ht="15.75" x14ac:dyDescent="0.25">
      <c r="C64" t="s">
        <v>476</v>
      </c>
      <c r="D64" s="135" t="s">
        <v>469</v>
      </c>
      <c r="E64" t="s">
        <v>293</v>
      </c>
    </row>
    <row r="65" spans="3:6" ht="15.75" x14ac:dyDescent="0.25">
      <c r="C65" t="s">
        <v>476</v>
      </c>
      <c r="D65" s="135" t="s">
        <v>469</v>
      </c>
      <c r="E65" t="s">
        <v>294</v>
      </c>
    </row>
    <row r="66" spans="3:6" ht="15.75" x14ac:dyDescent="0.25">
      <c r="C66" s="133" t="s">
        <v>459</v>
      </c>
      <c r="D66" s="140" t="s">
        <v>470</v>
      </c>
      <c r="E66" s="133" t="s">
        <v>321</v>
      </c>
      <c r="F66" s="133"/>
    </row>
    <row r="67" spans="3:6" ht="15.75" x14ac:dyDescent="0.25">
      <c r="C67" s="133" t="s">
        <v>459</v>
      </c>
      <c r="D67" s="140" t="s">
        <v>470</v>
      </c>
      <c r="E67" s="133" t="s">
        <v>322</v>
      </c>
      <c r="F67" s="1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2" tint="-9.9978637043366805E-2"/>
  </sheetPr>
  <dimension ref="B3:N36"/>
  <sheetViews>
    <sheetView topLeftCell="C1" zoomScaleNormal="100" workbookViewId="0">
      <selection activeCell="I4" sqref="I4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9" width="17.42578125" bestFit="1" customWidth="1"/>
    <col min="10" max="10" width="18.85546875" bestFit="1" customWidth="1"/>
    <col min="11" max="11" width="11.85546875" bestFit="1" customWidth="1"/>
    <col min="12" max="12" width="14.42578125" style="94" bestFit="1" customWidth="1"/>
    <col min="13" max="13" width="14.42578125" customWidth="1"/>
    <col min="14" max="14" width="11.42578125" customWidth="1"/>
  </cols>
  <sheetData>
    <row r="3" spans="2:14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94" t="s">
        <v>391</v>
      </c>
      <c r="M3" s="94"/>
    </row>
    <row r="4" spans="2:14" ht="15.75" x14ac:dyDescent="0.25">
      <c r="B4" s="40" t="s">
        <v>184</v>
      </c>
      <c r="C4" s="39" t="str">
        <f>HLOOKUP($N$4,'Daten-Zusammensetzung Bauteil'!$B$4:$BC$14,Database!$B4,FALSE)</f>
        <v>Magerbeton 7 cm [kg]</v>
      </c>
      <c r="D4" s="99" t="str">
        <f>MID(HLOOKUP($N$4,'Daten-Funktion'!$B$4:$BC$14,Database!$B4,FALSE),1,2)</f>
        <v>C1</v>
      </c>
      <c r="E4" s="39">
        <f>HLOOKUP($N$4,'Daten-THGE'!$B$4:$BC$14,Database!$B4,FALSE)</f>
        <v>9.8499999999999998E-4</v>
      </c>
      <c r="F4" s="39">
        <f>HLOOKUP($N$4,'Daten-Dichte'!$B$4:$BC$14,Database!$B4,FALSE)</f>
        <v>2150</v>
      </c>
      <c r="G4" s="39">
        <f>HLOOKUP($N$4,'Daten-Dicke'!$B$4:$BC$14,Database!$B4,FALSE)</f>
        <v>7.0000000000000009</v>
      </c>
      <c r="H4" s="43"/>
      <c r="I4" s="49">
        <f>IF(H4=0,F4*G4/100*E4,E4*F4*H4/1000)</f>
        <v>0.14824250000000003</v>
      </c>
      <c r="J4" s="50">
        <f>SUM(I4:I7)*Gebäude!$C$8</f>
        <v>1048.7208523089171</v>
      </c>
      <c r="K4" s="40" t="s">
        <v>244</v>
      </c>
      <c r="L4" s="94">
        <f>IF(D4="C1",1,0)</f>
        <v>1</v>
      </c>
      <c r="M4" s="62"/>
      <c r="N4" s="39" t="str">
        <f>VLOOKUP($B$5,Database!$H$4:$I$6,2,FALSE)</f>
        <v>6b</v>
      </c>
    </row>
    <row r="5" spans="2:14" ht="15.75" x14ac:dyDescent="0.25">
      <c r="B5" s="40" t="str">
        <f>Gebäude!$G$4</f>
        <v>Mischbauweise</v>
      </c>
      <c r="C5" s="39" t="str">
        <f>HLOOKUP($N$4,'Daten-Zusammensetzung Bauteil'!$B$4:$BC$14,Database!$B5,FALSE)</f>
        <v>Hochbaubeton, 30 cm [kg]</v>
      </c>
      <c r="D5" s="99" t="str">
        <f>MID(HLOOKUP($N$4,'Daten-Funktion'!$B$4:$BC$14,Database!$B5,FALSE),1,2)</f>
        <v>C1</v>
      </c>
      <c r="E5" s="39">
        <f>HLOOKUP($N$4,'Daten-THGE'!$B$4:$BC$14,Database!$B5,FALSE)</f>
        <v>1.6533333333333333E-3</v>
      </c>
      <c r="F5" s="39">
        <f>HLOOKUP($N$4,'Daten-Dichte'!$B$4:$BC$14,Database!$B5,FALSE)</f>
        <v>2300</v>
      </c>
      <c r="G5" s="39">
        <f>HLOOKUP($N$4,'Daten-Dicke'!$B$4:$BC$14,Database!$B5,FALSE)</f>
        <v>29.598726114649683</v>
      </c>
      <c r="H5" s="43"/>
      <c r="I5" s="49">
        <f t="shared" ref="I5:I7" si="0">IF(H5=0,F5*G5/100*E5,E5*F5*H5/1000)</f>
        <v>1.1255408917197451</v>
      </c>
      <c r="J5" s="39"/>
      <c r="K5" s="37"/>
      <c r="L5" s="94">
        <f t="shared" ref="L5:L7" si="1">IF(D5="C1",1,0)</f>
        <v>1</v>
      </c>
      <c r="M5" s="62"/>
    </row>
    <row r="6" spans="2:14" ht="15.75" x14ac:dyDescent="0.25">
      <c r="B6" s="37"/>
      <c r="C6" s="39" t="str">
        <f>HLOOKUP($N$4,'Daten-Zusammensetzung Bauteil'!$B$4:$BC$14,Database!$B6,FALSE)</f>
        <v>Armierungsstahl [kg]</v>
      </c>
      <c r="D6" s="99" t="str">
        <f>MID(HLOOKUP($N$4,'Daten-Funktion'!$B$4:$BC$14,Database!$B6,FALSE),1,2)</f>
        <v>C1</v>
      </c>
      <c r="E6" s="39">
        <f>HLOOKUP($N$4,'Daten-THGE'!$B$4:$BC$14,Database!$B6,FALSE)</f>
        <v>1.1366666666666667E-2</v>
      </c>
      <c r="F6" s="39">
        <f>HLOOKUP($N$4,'Daten-Dichte'!$B$4:$BC$14,Database!$B6,FALSE)</f>
        <v>7850</v>
      </c>
      <c r="G6" s="39">
        <f>HLOOKUP($N$4,'Daten-Dicke'!$B$4:$BC$14,Database!$B6,FALSE)</f>
        <v>0.40127388535031849</v>
      </c>
      <c r="H6" s="44"/>
      <c r="I6" s="49">
        <f t="shared" si="0"/>
        <v>0.35805000000000003</v>
      </c>
      <c r="J6" s="37"/>
      <c r="K6" s="37"/>
      <c r="L6" s="94">
        <f t="shared" si="1"/>
        <v>1</v>
      </c>
      <c r="M6" s="62"/>
    </row>
    <row r="7" spans="2:14" ht="15.75" x14ac:dyDescent="0.25">
      <c r="B7" s="37"/>
      <c r="C7" s="39" t="str">
        <f>HLOOKUP($N$4,'Daten-Zusammensetzung Bauteil'!$B$4:$BC$14,Database!$B7,FALSE)</f>
        <v>Polystyrol extrudiert, 33 kg/m3, lamdaD 0.033 W/mK, 20 cm [kg]</v>
      </c>
      <c r="D7" s="99" t="str">
        <f>MID(HLOOKUP($N$4,'Daten-Funktion'!$B$4:$BC$14,Database!$B7,FALSE),1,2)</f>
        <v>C1</v>
      </c>
      <c r="E7" s="39">
        <f>HLOOKUP($N$4,'Daten-THGE'!$B$4:$BC$14,Database!$B7,FALSE)</f>
        <v>0.24166666666666667</v>
      </c>
      <c r="F7" s="39">
        <f>HLOOKUP($N$4,'Daten-Dichte'!$B$4:$BC$14,Database!$B7,FALSE)</f>
        <v>33</v>
      </c>
      <c r="G7" s="39">
        <f>HLOOKUP($N$4,'Daten-Dicke'!$B$4:$BC$14,Database!$B7,FALSE)</f>
        <v>20</v>
      </c>
      <c r="H7" s="44"/>
      <c r="I7" s="49">
        <f t="shared" si="0"/>
        <v>1.595</v>
      </c>
      <c r="J7" s="37"/>
      <c r="K7" s="37"/>
      <c r="L7" s="94">
        <f t="shared" si="1"/>
        <v>1</v>
      </c>
      <c r="M7" s="62"/>
    </row>
    <row r="8" spans="2:14" ht="15.75" x14ac:dyDescent="0.25">
      <c r="B8" s="37"/>
      <c r="C8" s="39"/>
      <c r="D8" s="99"/>
      <c r="E8" s="39"/>
      <c r="F8" s="39"/>
      <c r="G8" s="39"/>
      <c r="H8" s="39"/>
      <c r="I8" s="39"/>
      <c r="J8" s="37"/>
      <c r="K8" s="37"/>
      <c r="L8" s="100">
        <f>SUMPRODUCT(I4:I7*L4:L7)/SUM(I4:I7)</f>
        <v>1</v>
      </c>
      <c r="M8" s="62"/>
    </row>
    <row r="9" spans="2:14" x14ac:dyDescent="0.25">
      <c r="B9" s="47" t="s">
        <v>241</v>
      </c>
    </row>
    <row r="10" spans="2:14" ht="20.25" x14ac:dyDescent="0.3">
      <c r="B10" s="41" t="s">
        <v>362</v>
      </c>
      <c r="C10" s="40" t="s">
        <v>227</v>
      </c>
      <c r="D10" s="93"/>
      <c r="E10" s="40" t="s">
        <v>182</v>
      </c>
      <c r="F10" s="40" t="s">
        <v>226</v>
      </c>
      <c r="G10" s="40" t="s">
        <v>242</v>
      </c>
      <c r="H10" s="42" t="s">
        <v>243</v>
      </c>
      <c r="I10" s="40" t="s">
        <v>193</v>
      </c>
      <c r="J10" s="38" t="s">
        <v>194</v>
      </c>
      <c r="K10" s="37"/>
    </row>
    <row r="11" spans="2:14" ht="15.75" x14ac:dyDescent="0.25">
      <c r="B11" s="40" t="s">
        <v>184</v>
      </c>
      <c r="C11" s="39" t="str">
        <f>HLOOKUP($N$15,'Daten-Zusammensetzung Bauteil'!$B$4:$BC$14,Database!$B4,FALSE)</f>
        <v>Magerbeton 7 cm [kg]</v>
      </c>
      <c r="D11" s="99" t="str">
        <f>MID(HLOOKUP($N$15,'Daten-Funktion'!$B$4:$BC$14,Database!$B4,FALSE),1,2)</f>
        <v>C1</v>
      </c>
      <c r="E11" s="39">
        <f>HLOOKUP($N$15,'Daten-THGE'!$B$4:$BC$14,Database!$B4,FALSE)</f>
        <v>9.8499999999999998E-4</v>
      </c>
      <c r="F11" s="39">
        <f>HLOOKUP($N$15,'Daten-Dichte'!$B$4:$BC$14,Database!$B4,FALSE)</f>
        <v>2150</v>
      </c>
      <c r="G11" s="39">
        <f>HLOOKUP($N$15,'Daten-Dicke'!$B$4:$BC$14,Database!$B4,FALSE)</f>
        <v>7.0000000000000009</v>
      </c>
      <c r="H11" s="43"/>
      <c r="I11" s="49">
        <f>IF(H11=0,F11*G11/100*E11,E11*F11*H11/1000)</f>
        <v>0.14824250000000003</v>
      </c>
      <c r="J11" s="48">
        <f>SUM(I11:I14)*Gebäude!$C$8</f>
        <v>1048.7208523089171</v>
      </c>
      <c r="K11" s="40" t="s">
        <v>244</v>
      </c>
    </row>
    <row r="12" spans="2:14" ht="15.75" x14ac:dyDescent="0.25">
      <c r="B12" s="42" t="s">
        <v>232</v>
      </c>
      <c r="C12" s="39" t="str">
        <f>HLOOKUP($N$15,'Daten-Zusammensetzung Bauteil'!$B$4:$BC$14,Database!$B5,FALSE)</f>
        <v>Hochbaubeton, 30 cm [kg]</v>
      </c>
      <c r="D12" s="99" t="str">
        <f>MID(HLOOKUP($N$15,'Daten-Funktion'!$B$4:$BC$14,Database!$B5,FALSE),1,2)</f>
        <v>C1</v>
      </c>
      <c r="E12" s="39">
        <f>HLOOKUP($N$15,'Daten-THGE'!$B$4:$BC$14,Database!$B5,FALSE)</f>
        <v>1.6533333333333333E-3</v>
      </c>
      <c r="F12" s="39">
        <f>HLOOKUP($N$15,'Daten-Dichte'!$B$4:$BC$14,Database!$B5,FALSE)</f>
        <v>2300</v>
      </c>
      <c r="G12" s="39">
        <f>HLOOKUP($N$15,'Daten-Dicke'!$B$4:$BC$14,Database!$B5,FALSE)</f>
        <v>29.598726114649683</v>
      </c>
      <c r="H12" s="43"/>
      <c r="I12" s="49">
        <f t="shared" ref="I12:I14" si="2">IF(H12=0,F12*G12/100*E12,E12*F12*H12/1000)</f>
        <v>1.1255408917197451</v>
      </c>
      <c r="J12" s="39"/>
      <c r="K12" s="37"/>
    </row>
    <row r="13" spans="2:14" ht="15.75" x14ac:dyDescent="0.25">
      <c r="B13" s="37"/>
      <c r="C13" s="39" t="str">
        <f>HLOOKUP($N$15,'Daten-Zusammensetzung Bauteil'!$B$4:$BC$14,Database!$B6,FALSE)</f>
        <v>Armierungsstahl [kg]</v>
      </c>
      <c r="D13" s="99" t="str">
        <f>MID(HLOOKUP($N$15,'Daten-Funktion'!$B$4:$BC$14,Database!$B6,FALSE),1,2)</f>
        <v>C1</v>
      </c>
      <c r="E13" s="39">
        <f>HLOOKUP($N$15,'Daten-THGE'!$B$4:$BC$14,Database!$B6,FALSE)</f>
        <v>1.1366666666666667E-2</v>
      </c>
      <c r="F13" s="39">
        <f>HLOOKUP($N$15,'Daten-Dichte'!$B$4:$BC$14,Database!$B6,FALSE)</f>
        <v>7850</v>
      </c>
      <c r="G13" s="39">
        <f>HLOOKUP($N$15,'Daten-Dicke'!$B$4:$BC$14,Database!$B6,FALSE)</f>
        <v>0.40127388535031849</v>
      </c>
      <c r="H13" s="44"/>
      <c r="I13" s="49">
        <f t="shared" si="2"/>
        <v>0.35805000000000003</v>
      </c>
      <c r="J13" s="37"/>
      <c r="K13" s="37"/>
    </row>
    <row r="14" spans="2:14" ht="15.75" x14ac:dyDescent="0.25">
      <c r="B14" s="37"/>
      <c r="C14" s="39" t="str">
        <f>HLOOKUP($N$15,'Daten-Zusammensetzung Bauteil'!$B$4:$BC$14,Database!$B7,FALSE)</f>
        <v>Polystyrol extrudiert, 33 kg/m3, lamdaD 0.033 W/mK, 20 cm [kg]</v>
      </c>
      <c r="D14" s="99" t="str">
        <f>MID(HLOOKUP($N$15,'Daten-Funktion'!$B$4:$BC$14,Database!$B7,FALSE),1,2)</f>
        <v>C1</v>
      </c>
      <c r="E14" s="39">
        <f>HLOOKUP($N$15,'Daten-THGE'!$B$4:$BC$14,Database!$B7,FALSE)</f>
        <v>0.24166666666666667</v>
      </c>
      <c r="F14" s="39">
        <f>HLOOKUP($N$15,'Daten-Dichte'!$B$4:$BC$14,Database!$B7,FALSE)</f>
        <v>33</v>
      </c>
      <c r="G14" s="39">
        <f>HLOOKUP($N$15,'Daten-Dicke'!$B$4:$BC$14,Database!$B7,FALSE)</f>
        <v>20</v>
      </c>
      <c r="H14" s="44"/>
      <c r="I14" s="49">
        <f t="shared" si="2"/>
        <v>1.595</v>
      </c>
      <c r="J14" s="37"/>
      <c r="K14" s="37"/>
    </row>
    <row r="15" spans="2:14" ht="15.75" x14ac:dyDescent="0.25">
      <c r="B15" s="37"/>
      <c r="C15" s="39"/>
      <c r="D15" s="99"/>
      <c r="E15" s="39"/>
      <c r="F15" s="39"/>
      <c r="G15" s="39"/>
      <c r="H15" s="37"/>
      <c r="I15" s="39"/>
      <c r="J15" s="37"/>
      <c r="K15" s="37"/>
      <c r="N15" s="39" t="str">
        <f>VLOOKUP($B$12,Database!$H$4:$I$6,2,FALSE)</f>
        <v>6b</v>
      </c>
    </row>
    <row r="16" spans="2:14" ht="20.25" x14ac:dyDescent="0.3">
      <c r="B16" s="41" t="s">
        <v>361</v>
      </c>
      <c r="C16" s="40" t="s">
        <v>227</v>
      </c>
      <c r="D16" s="93"/>
      <c r="E16" s="40" t="s">
        <v>182</v>
      </c>
      <c r="F16" s="40" t="s">
        <v>226</v>
      </c>
      <c r="G16" s="40" t="s">
        <v>242</v>
      </c>
      <c r="H16" s="42" t="s">
        <v>243</v>
      </c>
      <c r="I16" s="40" t="s">
        <v>193</v>
      </c>
      <c r="J16" s="38" t="s">
        <v>194</v>
      </c>
      <c r="K16" s="37"/>
      <c r="L16" s="94">
        <f>IF(D11="C1",1,0)</f>
        <v>1</v>
      </c>
      <c r="M16" s="62"/>
    </row>
    <row r="17" spans="2:14" ht="15.75" x14ac:dyDescent="0.25">
      <c r="B17" s="40" t="s">
        <v>184</v>
      </c>
      <c r="C17" s="39" t="str">
        <f>HLOOKUP($N$24,'Daten-Zusammensetzung Bauteil'!$B$4:$BC$14,Database!$B4,FALSE)</f>
        <v>Magerbeton 7 cm [kg]</v>
      </c>
      <c r="D17" s="99" t="str">
        <f>MID(HLOOKUP($N$24,'Daten-Funktion'!$B$4:$BC$14,Database!$B4,FALSE),1,2)</f>
        <v>C1</v>
      </c>
      <c r="E17" s="39">
        <f>HLOOKUP($N$24,'Daten-THGE'!$B$4:$BC$14,Database!$B4,FALSE)</f>
        <v>9.8499999999999998E-4</v>
      </c>
      <c r="F17" s="39">
        <f>HLOOKUP($N$24,'Daten-Dichte'!$B$4:$BC$14,Database!$B4,FALSE)</f>
        <v>2150</v>
      </c>
      <c r="G17" s="39">
        <f>HLOOKUP($N$24,'Daten-Dicke'!$B$4:$BC$14,Database!$B4,FALSE)</f>
        <v>7.0000000000000009</v>
      </c>
      <c r="H17" s="43"/>
      <c r="I17" s="49">
        <f>IF(H17=0,F17*G17/100*E17,E17*F17*H17/1000)</f>
        <v>0.14824250000000003</v>
      </c>
      <c r="J17" s="90">
        <f>SUM(I17:I20)*Gebäude!$C$30</f>
        <v>712.54897730891719</v>
      </c>
      <c r="K17" s="40" t="s">
        <v>244</v>
      </c>
      <c r="L17" s="94">
        <f>IF(D12="C1",1,0)</f>
        <v>1</v>
      </c>
      <c r="M17" s="62"/>
    </row>
    <row r="18" spans="2:14" ht="15.75" x14ac:dyDescent="0.25">
      <c r="B18" s="40" t="str">
        <f>Gebäude!G25</f>
        <v>Massivbauweise</v>
      </c>
      <c r="C18" s="39" t="str">
        <f>HLOOKUP($N$24,'Daten-Zusammensetzung Bauteil'!$B$4:$BC$14,Database!$B5,FALSE)</f>
        <v>Hochbaubeton, 30 cm [kg]</v>
      </c>
      <c r="D18" s="99" t="str">
        <f>MID(HLOOKUP($N$24,'Daten-Funktion'!$B$4:$BC$14,Database!$B5,FALSE),1,2)</f>
        <v>C1</v>
      </c>
      <c r="E18" s="39">
        <f>HLOOKUP($N$24,'Daten-THGE'!$B$4:$BC$14,Database!$B5,FALSE)</f>
        <v>1.6533333333333333E-3</v>
      </c>
      <c r="F18" s="39">
        <f>HLOOKUP($N$24,'Daten-Dichte'!$B$4:$BC$14,Database!$B5,FALSE)</f>
        <v>2300</v>
      </c>
      <c r="G18" s="39">
        <f>HLOOKUP($N$24,'Daten-Dicke'!$B$4:$BC$14,Database!$B5,FALSE)</f>
        <v>29.598726114649683</v>
      </c>
      <c r="H18" s="43"/>
      <c r="I18" s="49">
        <f t="shared" ref="I18:I20" si="3">IF(H18=0,F18*G18/100*E18,E18*F18*H18/1000)</f>
        <v>1.1255408917197451</v>
      </c>
      <c r="J18" s="39"/>
      <c r="K18" s="37"/>
      <c r="L18" s="94">
        <f>IF(D13="C1",1,0)</f>
        <v>1</v>
      </c>
      <c r="M18" s="62"/>
    </row>
    <row r="19" spans="2:14" ht="15.75" x14ac:dyDescent="0.25">
      <c r="B19" s="37"/>
      <c r="C19" s="39" t="str">
        <f>HLOOKUP($N$24,'Daten-Zusammensetzung Bauteil'!$B$4:$BC$14,Database!$B6,FALSE)</f>
        <v>Armierungsstahl [kg]</v>
      </c>
      <c r="D19" s="99" t="str">
        <f>MID(HLOOKUP($N$24,'Daten-Funktion'!$B$4:$BC$14,Database!$B6,FALSE),1,2)</f>
        <v>C1</v>
      </c>
      <c r="E19" s="39">
        <f>HLOOKUP($N$24,'Daten-THGE'!$B$4:$BC$14,Database!$B6,FALSE)</f>
        <v>1.1366666666666667E-2</v>
      </c>
      <c r="F19" s="39">
        <f>HLOOKUP($N$24,'Daten-Dichte'!$B$4:$BC$14,Database!$B6,FALSE)</f>
        <v>7850</v>
      </c>
      <c r="G19" s="39">
        <f>HLOOKUP($N$24,'Daten-Dicke'!$B$4:$BC$14,Database!$B6,FALSE)</f>
        <v>0.40127388535031849</v>
      </c>
      <c r="H19" s="44"/>
      <c r="I19" s="49">
        <f t="shared" si="3"/>
        <v>0.35805000000000003</v>
      </c>
      <c r="J19" s="37"/>
      <c r="K19" s="37"/>
      <c r="L19" s="94">
        <f>IF(D14="C1",1,0)</f>
        <v>1</v>
      </c>
      <c r="M19" s="62"/>
    </row>
    <row r="20" spans="2:14" ht="15.75" x14ac:dyDescent="0.25">
      <c r="B20" s="37"/>
      <c r="C20" s="39" t="str">
        <f>HLOOKUP($N$24,'Daten-Zusammensetzung Bauteil'!$B$4:$BC$14,Database!$B7,FALSE)</f>
        <v>Foamglas T4+, 115 kg/m3, lambdaD 0.041 W/mK, 25 cm [kg]</v>
      </c>
      <c r="D20" s="99" t="str">
        <f>MID(HLOOKUP($N$24,'Daten-Funktion'!$B$4:$BC$14,Database!$B7,FALSE),1,2)</f>
        <v>C1</v>
      </c>
      <c r="E20" s="39">
        <f>HLOOKUP($N$24,'Daten-THGE'!$B$4:$BC$14,Database!$B7,FALSE)</f>
        <v>1.95E-2</v>
      </c>
      <c r="F20" s="39">
        <f>HLOOKUP($N$24,'Daten-Dichte'!$B$4:$BC$14,Database!$B7,FALSE)</f>
        <v>115</v>
      </c>
      <c r="G20" s="39">
        <f>HLOOKUP($N$24,'Daten-Dicke'!$B$4:$BC$14,Database!$B7,FALSE)</f>
        <v>25</v>
      </c>
      <c r="H20" s="44"/>
      <c r="I20" s="49">
        <f t="shared" si="3"/>
        <v>0.56062500000000004</v>
      </c>
      <c r="J20" s="37"/>
      <c r="K20" s="37"/>
      <c r="L20" s="100">
        <f>SUMPRODUCT(I11:I14*L16:L19)/SUM(I11:I14)</f>
        <v>1</v>
      </c>
      <c r="M20" s="62"/>
    </row>
    <row r="22" spans="2:14" x14ac:dyDescent="0.25">
      <c r="B22" s="47" t="s">
        <v>241</v>
      </c>
    </row>
    <row r="23" spans="2:14" ht="20.25" x14ac:dyDescent="0.3">
      <c r="B23" s="41" t="s">
        <v>361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4" ht="15.75" x14ac:dyDescent="0.25">
      <c r="B24" s="40" t="s">
        <v>184</v>
      </c>
      <c r="C24" s="39" t="str">
        <f>HLOOKUP($N$31,'Daten-Zusammensetzung Bauteil'!$B$4:$BC$14,Database!$B4,FALSE)</f>
        <v>Magerbeton 7 cm [kg]</v>
      </c>
      <c r="D24" s="99" t="str">
        <f>MID(HLOOKUP($N$31,'Daten-Funktion'!$B$4:$BC$14,Database!$B4,FALSE),1,2)</f>
        <v>C1</v>
      </c>
      <c r="E24" s="39">
        <f>HLOOKUP($N$31,'Daten-THGE'!$B$4:$BC$14,Database!$B4,FALSE)</f>
        <v>9.8499999999999998E-4</v>
      </c>
      <c r="F24" s="39">
        <f>HLOOKUP($N$31,'Daten-Dichte'!$B$4:$BC$14,Database!$B4,FALSE)</f>
        <v>2150</v>
      </c>
      <c r="G24" s="39">
        <f>HLOOKUP($N$31,'Daten-Dicke'!$B$4:$BC$14,Database!$B4,FALSE)</f>
        <v>7.0000000000000009</v>
      </c>
      <c r="H24" s="43"/>
      <c r="I24" s="49">
        <f>IF(H24=0,F24*G24/100*E24,E24*F24*H24/1000)</f>
        <v>0.14824250000000003</v>
      </c>
      <c r="J24" s="50">
        <f>SUM(I24:I27)*Gebäude!$C$30</f>
        <v>712.54897730891719</v>
      </c>
      <c r="K24" s="40" t="s">
        <v>244</v>
      </c>
      <c r="N24" s="39" t="str">
        <f>VLOOKUP($B$18,Database!$Y$29:$AD$31,2,FALSE)</f>
        <v>6c</v>
      </c>
    </row>
    <row r="25" spans="2:14" ht="15.75" x14ac:dyDescent="0.25">
      <c r="B25" s="42" t="s">
        <v>232</v>
      </c>
      <c r="C25" s="39" t="str">
        <f>HLOOKUP($N$31,'Daten-Zusammensetzung Bauteil'!$B$4:$BC$14,Database!$B5,FALSE)</f>
        <v>Hochbaubeton, 30 cm [kg]</v>
      </c>
      <c r="D25" s="99" t="str">
        <f>MID(HLOOKUP($N$31,'Daten-Funktion'!$B$4:$BC$14,Database!$B5,FALSE),1,2)</f>
        <v>C1</v>
      </c>
      <c r="E25" s="39">
        <f>HLOOKUP($N$31,'Daten-THGE'!$B$4:$BC$14,Database!$B5,FALSE)</f>
        <v>1.6533333333333333E-3</v>
      </c>
      <c r="F25" s="39">
        <f>HLOOKUP($N$31,'Daten-Dichte'!$B$4:$BC$14,Database!$B5,FALSE)</f>
        <v>2300</v>
      </c>
      <c r="G25" s="39">
        <f>HLOOKUP($N$31,'Daten-Dicke'!$B$4:$BC$14,Database!$B5,FALSE)</f>
        <v>29.598726114649683</v>
      </c>
      <c r="H25" s="43"/>
      <c r="I25" s="49">
        <f t="shared" ref="I25:I27" si="4">IF(H25=0,F25*G25/100*E25,E25*F25*H25/1000)</f>
        <v>1.1255408917197451</v>
      </c>
      <c r="J25" s="39"/>
      <c r="K25" s="37"/>
      <c r="L25" s="94">
        <f>IF(D17="C1",1,0)</f>
        <v>1</v>
      </c>
      <c r="M25" s="62"/>
    </row>
    <row r="26" spans="2:14" ht="15.75" x14ac:dyDescent="0.25">
      <c r="B26" s="37"/>
      <c r="C26" s="39" t="str">
        <f>HLOOKUP($N$31,'Daten-Zusammensetzung Bauteil'!$B$4:$BC$14,Database!$B6,FALSE)</f>
        <v>Armierungsstahl [kg]</v>
      </c>
      <c r="D26" s="99" t="str">
        <f>MID(HLOOKUP($N$31,'Daten-Funktion'!$B$4:$BC$14,Database!$B6,FALSE),1,2)</f>
        <v>C1</v>
      </c>
      <c r="E26" s="39">
        <f>HLOOKUP($N$31,'Daten-THGE'!$B$4:$BC$14,Database!$B6,FALSE)</f>
        <v>1.1366666666666667E-2</v>
      </c>
      <c r="F26" s="39">
        <f>HLOOKUP($N$31,'Daten-Dichte'!$B$4:$BC$14,Database!$B6,FALSE)</f>
        <v>7850</v>
      </c>
      <c r="G26" s="39">
        <f>HLOOKUP($N$31,'Daten-Dicke'!$B$4:$BC$14,Database!$B6,FALSE)</f>
        <v>0.40127388535031849</v>
      </c>
      <c r="H26" s="44"/>
      <c r="I26" s="49">
        <f t="shared" si="4"/>
        <v>0.35805000000000003</v>
      </c>
      <c r="J26" s="37"/>
      <c r="K26" s="37"/>
      <c r="L26" s="94">
        <f>IF(D18="C1",1,0)</f>
        <v>1</v>
      </c>
      <c r="M26" s="62"/>
    </row>
    <row r="27" spans="2:14" ht="15.75" x14ac:dyDescent="0.25">
      <c r="B27" s="37"/>
      <c r="C27" s="39" t="str">
        <f>HLOOKUP($N$31,'Daten-Zusammensetzung Bauteil'!$B$4:$BC$14,Database!$B7,FALSE)</f>
        <v>Foamglas T4+, 115 kg/m3, lambdaD 0.041 W/mK, 25 cm [kg]</v>
      </c>
      <c r="D27" s="99" t="str">
        <f>MID(HLOOKUP($N$31,'Daten-Funktion'!$B$4:$BC$14,Database!$B7,FALSE),1,2)</f>
        <v>C1</v>
      </c>
      <c r="E27" s="39">
        <f>HLOOKUP($N$31,'Daten-THGE'!$B$4:$BC$14,Database!$B7,FALSE)</f>
        <v>1.95E-2</v>
      </c>
      <c r="F27" s="39">
        <f>HLOOKUP($N$31,'Daten-Dichte'!$B$4:$BC$14,Database!$B7,FALSE)</f>
        <v>115</v>
      </c>
      <c r="G27" s="39">
        <f>HLOOKUP($N$31,'Daten-Dicke'!$B$4:$BC$14,Database!$B7,FALSE)</f>
        <v>25</v>
      </c>
      <c r="H27" s="44"/>
      <c r="I27" s="49">
        <f t="shared" si="4"/>
        <v>0.56062500000000004</v>
      </c>
      <c r="J27" s="37"/>
      <c r="K27" s="37"/>
      <c r="L27" s="94">
        <f>IF(D19="C1",1,0)</f>
        <v>1</v>
      </c>
      <c r="M27" s="62"/>
    </row>
    <row r="28" spans="2:14" x14ac:dyDescent="0.25">
      <c r="L28" s="94">
        <f>IF(D20="C1",1,0)</f>
        <v>1</v>
      </c>
      <c r="M28" s="62"/>
    </row>
    <row r="29" spans="2:14" x14ac:dyDescent="0.25">
      <c r="L29" s="100">
        <f>SUMPRODUCT(I17:I20*L25:L28)/SUM(I17:I20)</f>
        <v>1</v>
      </c>
      <c r="M29" s="62"/>
    </row>
    <row r="31" spans="2:14" ht="15.75" x14ac:dyDescent="0.25">
      <c r="N31" s="39" t="str">
        <f>VLOOKUP($B$18,Database!$Y$29:$AD$31,2,FALSE)</f>
        <v>6c</v>
      </c>
    </row>
    <row r="32" spans="2:14" x14ac:dyDescent="0.25">
      <c r="L32" s="94">
        <f>IF(D24="C1",1,0)</f>
        <v>1</v>
      </c>
      <c r="M32" s="62"/>
    </row>
    <row r="33" spans="12:13" x14ac:dyDescent="0.25">
      <c r="L33" s="94">
        <f>IF(D25="C1",1,0)</f>
        <v>1</v>
      </c>
      <c r="M33" s="62"/>
    </row>
    <row r="34" spans="12:13" x14ac:dyDescent="0.25">
      <c r="L34" s="94">
        <f>IF(D26="C1",1,0)</f>
        <v>1</v>
      </c>
      <c r="M34" s="62"/>
    </row>
    <row r="35" spans="12:13" x14ac:dyDescent="0.25">
      <c r="L35" s="94">
        <f>IF(D27="C1",1,0)</f>
        <v>1</v>
      </c>
      <c r="M35" s="62"/>
    </row>
    <row r="36" spans="12:13" x14ac:dyDescent="0.25">
      <c r="L36" s="100">
        <f>SUMPRODUCT(I24:I27*L32:L35)/SUM(I24:I27)</f>
        <v>1</v>
      </c>
      <c r="M36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Database!$H$4:$H$6</xm:f>
          </x14:formula1>
          <xm:sqref>B18 B12 B25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2" tint="-9.9978637043366805E-2"/>
  </sheetPr>
  <dimension ref="B3:AL73"/>
  <sheetViews>
    <sheetView topLeftCell="N1" zoomScale="85" zoomScaleNormal="85" workbookViewId="0">
      <selection activeCell="Q46" sqref="Q46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10" width="17.42578125" bestFit="1" customWidth="1"/>
    <col min="11" max="11" width="11.85546875" style="77" bestFit="1" customWidth="1"/>
    <col min="12" max="12" width="20.85546875" style="77" bestFit="1" customWidth="1"/>
    <col min="13" max="13" width="39.140625" style="77" bestFit="1" customWidth="1"/>
    <col min="14" max="14" width="40.7109375" style="77" bestFit="1" customWidth="1"/>
    <col min="15" max="15" width="36.42578125" style="77" bestFit="1" customWidth="1"/>
    <col min="16" max="16" width="18.42578125" bestFit="1" customWidth="1"/>
    <col min="17" max="17" width="47.85546875" bestFit="1" customWidth="1"/>
    <col min="18" max="18" width="8.85546875" style="94" bestFit="1" customWidth="1"/>
    <col min="19" max="19" width="15.42578125" bestFit="1" customWidth="1"/>
    <col min="20" max="20" width="13.42578125" bestFit="1" customWidth="1"/>
    <col min="21" max="21" width="10.42578125" bestFit="1" customWidth="1"/>
    <col min="22" max="22" width="19.85546875" bestFit="1" customWidth="1"/>
    <col min="23" max="23" width="17.42578125" bestFit="1" customWidth="1"/>
    <col min="24" max="24" width="19.42578125" bestFit="1" customWidth="1"/>
    <col min="25" max="25" width="11.85546875" bestFit="1" customWidth="1"/>
    <col min="26" max="26" width="20.85546875" style="98" bestFit="1" customWidth="1"/>
    <col min="27" max="27" width="22.28515625" style="98" bestFit="1" customWidth="1"/>
    <col min="28" max="28" width="40" style="98" bestFit="1" customWidth="1"/>
    <col min="29" max="29" width="40" style="127" customWidth="1"/>
    <col min="30" max="30" width="38.28515625" style="98" bestFit="1" customWidth="1"/>
    <col min="31" max="31" width="26.85546875" style="117" bestFit="1" customWidth="1"/>
    <col min="32" max="32" width="23.42578125" style="117" bestFit="1" customWidth="1"/>
    <col min="33" max="33" width="19.42578125" style="117" bestFit="1" customWidth="1"/>
    <col min="34" max="34" width="25.7109375" style="98" bestFit="1" customWidth="1"/>
    <col min="35" max="36" width="25.7109375" style="117" customWidth="1"/>
    <col min="37" max="39" width="11.42578125" customWidth="1"/>
  </cols>
  <sheetData>
    <row r="3" spans="2:37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76"/>
      <c r="L3" s="106" t="s">
        <v>392</v>
      </c>
      <c r="M3" s="107" t="s">
        <v>422</v>
      </c>
      <c r="N3" s="107" t="s">
        <v>402</v>
      </c>
      <c r="O3" s="78" t="s">
        <v>362</v>
      </c>
      <c r="P3" s="41"/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392</v>
      </c>
      <c r="AA3" s="107" t="s">
        <v>393</v>
      </c>
      <c r="AB3" s="107" t="s">
        <v>436</v>
      </c>
      <c r="AC3" s="107" t="s">
        <v>437</v>
      </c>
      <c r="AD3" s="107" t="s">
        <v>403</v>
      </c>
      <c r="AE3" s="107" t="s">
        <v>404</v>
      </c>
      <c r="AF3" s="107" t="s">
        <v>405</v>
      </c>
      <c r="AG3" s="107" t="s">
        <v>406</v>
      </c>
      <c r="AH3" s="107" t="s">
        <v>407</v>
      </c>
      <c r="AI3" s="107" t="s">
        <v>408</v>
      </c>
      <c r="AJ3" s="107" t="s">
        <v>409</v>
      </c>
      <c r="AK3" t="str">
        <f>IF($O$5=Database!$H$4,VLOOKUP('Aussenwand unter &amp; über Terrain'!$O$6,Database!$D$16:$E$17,2,FALSE),VLOOKUP('Aussenwand unter &amp; über Terrain'!$O$5,Database!$H$5:$O$6,7,FALSE))</f>
        <v>1e</v>
      </c>
    </row>
    <row r="4" spans="2:37" ht="15.75" x14ac:dyDescent="0.25">
      <c r="B4" s="40" t="s">
        <v>185</v>
      </c>
      <c r="C4" s="39" t="str">
        <f>IF(Gebäude!$G$6=Database!$D$4,HLOOKUP(Database!$E$4,'Daten-Zusammensetzung Bauteil'!$B$4:$BC$11,Database!B4,FALSE),HLOOKUP(Database!$E$5,'Daten-Zusammensetzung Bauteil'!$B$4:$BC$11,Database!B4,FALSE))</f>
        <v>Hochbaubeton, 25 cm [kg]</v>
      </c>
      <c r="D4" s="99" t="str">
        <f>MID(IF(Gebäude!$G$6=Database!$D$4,HLOOKUP(Database!$E$4,'Daten-Funktion'!$B$4:$BC$11,Database!B4,FALSE),HLOOKUP(Database!$E$5,'Daten-Funktion'!$B$4:$BC$11,Database!B4,FALSE)),1,2)</f>
        <v>C2</v>
      </c>
      <c r="E4" s="39">
        <f>IF(Gebäude!$G$6=Database!$D$4,HLOOKUP(Database!$E$4,'Daten-THGE'!$B$4:$BC$11,Database!B4,FALSE),HLOOKUP(Database!$E$5,'Daten-THGE'!$B$4:$BC$11,Database!B4,FALSE))</f>
        <v>1.6533333333333333E-3</v>
      </c>
      <c r="F4" s="39">
        <f>IF(Gebäude!$G$6=Database!$D$4,HLOOKUP(Database!$E$4,'Daten-Dichte'!$B$4:$BC$11,Database!B4,FALSE),HLOOKUP(Database!$E$5,'Daten-Dichte'!$B$4:$BC$11,Database!B4,FALSE))</f>
        <v>2300</v>
      </c>
      <c r="G4" s="39">
        <f>IF(Gebäude!$G$6=Database!$D$4,HLOOKUP(Database!$E$4,'Daten-Dicke'!$B$4:$BC$11,Database!B4,FALSE),HLOOKUP(Database!$E$5,'Daten-Dicke'!$B$4:$BC$11,Database!B4,FALSE))</f>
        <v>24.689490445859871</v>
      </c>
      <c r="H4" s="43"/>
      <c r="I4" s="49">
        <f>IF(H4=0,F4*G4/100*E4,E4*F4*H4/1000)</f>
        <v>0.93885902335456461</v>
      </c>
      <c r="J4" s="50">
        <f>IF($B$7=Database!$D$15,0,SUM(I4:I10)*Gebäude!$C$17)</f>
        <v>0</v>
      </c>
      <c r="K4" s="79" t="s">
        <v>244</v>
      </c>
      <c r="L4" s="129">
        <f>IF(D4="C2",1,0)</f>
        <v>1</v>
      </c>
      <c r="M4" s="129">
        <f>IF(D4="E1.2",1,0)</f>
        <v>0</v>
      </c>
      <c r="N4" s="129">
        <f>IF(D4="E1.3",1,0)</f>
        <v>0</v>
      </c>
      <c r="O4" s="79" t="s">
        <v>187</v>
      </c>
      <c r="P4" s="40" t="s">
        <v>252</v>
      </c>
      <c r="Q4" s="39" t="str">
        <f>HLOOKUP($AK$3,'Daten-Zusammensetzung Bauteil'!$B$4:$BC$10,Database!$B4,FALSE)</f>
        <v>Betonfertigteil, Normalbeton, ab Werk [kg]</v>
      </c>
      <c r="R4" s="99" t="str">
        <f>MID(HLOOKUP($AK$3,'Daten-Funktion'!$B$4:$BC$10,Database!$B4,FALSE),1,2)</f>
        <v>C3</v>
      </c>
      <c r="S4" s="39">
        <f>HLOOKUP($AK$3,'Daten-THGE'!$B$4:$BC$10,Database!$B4,FALSE)</f>
        <v>2.8666666666666662E-3</v>
      </c>
      <c r="T4" s="39">
        <f>HLOOKUP($AK$3,'Daten-Dichte'!$B$4:$BC$10,Database!$B4,FALSE)</f>
        <v>2500</v>
      </c>
      <c r="U4" s="39">
        <f>HLOOKUP($AK$3,'Daten-Dicke'!$B$4:$BC$10,Database!$B4,FALSE)</f>
        <v>1.2908704883227178</v>
      </c>
      <c r="V4" s="43"/>
      <c r="W4" s="49">
        <f>IF(V4=0,T4*U4/100*S4,S4*T4*V4/1000)</f>
        <v>9.2512384996461416E-2</v>
      </c>
      <c r="X4" s="50">
        <f>SUM(W4:W18)*Gebäude!$C$18</f>
        <v>2883.2525358697803</v>
      </c>
      <c r="Y4" s="40" t="s">
        <v>244</v>
      </c>
      <c r="Z4" s="103">
        <f>IF(R4="C2",1,0)</f>
        <v>0</v>
      </c>
      <c r="AA4" s="103">
        <f>IF(R4="C3",1,0)</f>
        <v>1</v>
      </c>
      <c r="AB4" s="103">
        <f t="shared" ref="AB4:AB8" si="0">IF(R4="G3.1",1,0)</f>
        <v>0</v>
      </c>
      <c r="AC4" s="103">
        <f>IF(R4="G3.2",1,0)</f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t="str">
        <f>VLOOKUP($O$5,Database!$H$4:$O$6,8,FALSE)</f>
        <v>2j</v>
      </c>
    </row>
    <row r="5" spans="2:37" ht="15.75" x14ac:dyDescent="0.25">
      <c r="B5" s="40" t="str">
        <f>Gebäude!$G$4</f>
        <v>Mischbauweise</v>
      </c>
      <c r="C5" s="39" t="str">
        <f>IF(Gebäude!$G$6=Database!$D$4,HLOOKUP(Database!$E$4,'Daten-Zusammensetzung Bauteil'!$B$4:$BC$11,Database!B5,FALSE),HLOOKUP(Database!$E$5,'Daten-Zusammensetzung Bauteil'!$B$4:$BC$11,Database!B5,FALSE))</f>
        <v>Armierungsstahl [kg]</v>
      </c>
      <c r="D5" s="99" t="str">
        <f>MID(IF(Gebäude!$G$6=Database!$D$4,HLOOKUP(Database!$E$4,'Daten-Funktion'!$B$4:$BC$11,Database!B5,FALSE),HLOOKUP(Database!$E$5,'Daten-Funktion'!$B$4:$BC$11,Database!B5,FALSE)),1,2)</f>
        <v>C2</v>
      </c>
      <c r="E5" s="39">
        <f>IF(Gebäude!$G$6=Database!$D$4,HLOOKUP(Database!$E$4,'Daten-THGE'!$B$4:$BC$11,Database!B5,FALSE),HLOOKUP(Database!$E$5,'Daten-THGE'!$B$4:$BC$11,Database!B5,FALSE))</f>
        <v>1.1366666666666667E-2</v>
      </c>
      <c r="F5" s="39">
        <f>IF(Gebäude!$G$6=Database!$D$4,HLOOKUP(Database!$E$4,'Daten-Dichte'!$B$4:$BC$11,Database!B5,FALSE),HLOOKUP(Database!$E$5,'Daten-Dichte'!$B$4:$BC$11,Database!B5,FALSE))</f>
        <v>7850</v>
      </c>
      <c r="G5" s="39">
        <f>IF(Gebäude!$G$6=Database!$D$4,HLOOKUP(Database!$E$4,'Daten-Dicke'!$B$4:$BC$11,Database!B5,FALSE),HLOOKUP(Database!$E$5,'Daten-Dicke'!$B$4:$BC$11,Database!B5,FALSE))</f>
        <v>0.31050955414012743</v>
      </c>
      <c r="H5" s="43"/>
      <c r="I5" s="49">
        <f t="shared" ref="I5:I10" si="1">IF(H5=0,F5*G5/100*E5,E5*F5*H5/1000)</f>
        <v>0.27706250000000004</v>
      </c>
      <c r="J5" s="39"/>
      <c r="K5" s="76"/>
      <c r="L5" s="129">
        <f t="shared" ref="L5:L10" si="2">IF(D5="C2",1,0)</f>
        <v>1</v>
      </c>
      <c r="M5" s="129">
        <f t="shared" ref="M5:M10" si="3">IF(D5="E1.2",1,0)</f>
        <v>0</v>
      </c>
      <c r="N5" s="129">
        <f t="shared" ref="N5:N10" si="4">IF(D5="E1.3",1,0)</f>
        <v>0</v>
      </c>
      <c r="O5" s="79" t="str">
        <f>Gebäude!$G$4</f>
        <v>Mischbauweise</v>
      </c>
      <c r="P5" s="40"/>
      <c r="Q5" s="39" t="str">
        <f>HLOOKUP($AK$3,'Daten-Zusammensetzung Bauteil'!$B$4:$BC$10,Database!$B5,FALSE)</f>
        <v>Armierungsstahl [kg]</v>
      </c>
      <c r="R5" s="99" t="str">
        <f>MID(HLOOKUP($AK$3,'Daten-Funktion'!$B$4:$BC$10,Database!$B5,FALSE),1,2)</f>
        <v>C3</v>
      </c>
      <c r="S5" s="39">
        <f>HLOOKUP($AK$3,'Daten-THGE'!$B$4:$BC$10,Database!$B5,FALSE)</f>
        <v>1.1366666666666667E-2</v>
      </c>
      <c r="T5" s="39">
        <f>HLOOKUP($AK$3,'Daten-Dichte'!$B$4:$BC$10,Database!$B5,FALSE)</f>
        <v>7850</v>
      </c>
      <c r="U5" s="39">
        <f>HLOOKUP($AK$3,'Daten-Dicke'!$B$4:$BC$10,Database!$B5,FALSE)</f>
        <v>9.5541401273885357E-2</v>
      </c>
      <c r="V5" s="43"/>
      <c r="W5" s="49">
        <f t="shared" ref="W5:W9" si="5">IF(V5=0,T5*U5/100*S5,S5*T5*V5/1000)</f>
        <v>8.5250000000000006E-2</v>
      </c>
      <c r="X5" s="39"/>
      <c r="Y5" s="37"/>
      <c r="Z5" s="103">
        <f t="shared" ref="Z5:Z9" si="6">IF(R5="C2",1,0)</f>
        <v>0</v>
      </c>
      <c r="AA5" s="103">
        <f t="shared" ref="AA5:AA9" si="7">IF(R5="C3",1,0)</f>
        <v>1</v>
      </c>
      <c r="AB5" s="103">
        <f t="shared" si="0"/>
        <v>0</v>
      </c>
      <c r="AC5" s="103">
        <f t="shared" ref="AC5:AC9" si="8">IF(R5="G3.2",1,0)</f>
        <v>0</v>
      </c>
      <c r="AD5" s="103">
        <f>IF(R5="E2.1",1,0)</f>
        <v>0</v>
      </c>
      <c r="AE5" s="103">
        <f>IF(R5="E2.2",1,0)</f>
        <v>0</v>
      </c>
      <c r="AF5" s="103">
        <f>IF(R5="E2.3",1,0)</f>
        <v>0</v>
      </c>
      <c r="AG5" s="103">
        <f>IF(R5="E2.3",1,0)</f>
        <v>0</v>
      </c>
      <c r="AH5" s="103">
        <v>0</v>
      </c>
      <c r="AI5" s="103">
        <v>0</v>
      </c>
      <c r="AJ5" s="103">
        <v>0</v>
      </c>
    </row>
    <row r="6" spans="2:37" ht="15.75" x14ac:dyDescent="0.25">
      <c r="B6" s="40" t="str">
        <f>Gebäude!G6</f>
        <v>Unbeheizt</v>
      </c>
      <c r="C6" s="39" t="str">
        <f>IF(Gebäude!$G$6=Database!$D$4,HLOOKUP(Database!$E$4,'Daten-Zusammensetzung Bauteil'!$B$4:$BC$11,Database!B6,FALSE),HLOOKUP(Database!$E$5,'Daten-Zusammensetzung Bauteil'!$B$4:$BC$11,Database!B6,FALSE))</f>
        <v>3-SP Schalung 2.5cm (Annahme 5xverwendet) [kg]</v>
      </c>
      <c r="D6" s="99" t="str">
        <f>MID(IF(Gebäude!$G$6=Database!$D$4,HLOOKUP(Database!$E$4,'Daten-Funktion'!$B$4:$BC$11,Database!B6,FALSE),HLOOKUP(Database!$E$5,'Daten-Funktion'!$B$4:$BC$11,Database!B6,FALSE)),1,2)</f>
        <v>C2</v>
      </c>
      <c r="E6" s="39">
        <f>IF(Gebäude!$G$6=Database!$D$4,HLOOKUP(Database!$E$4,'Daten-THGE'!$B$4:$BC$11,Database!B6,FALSE),HLOOKUP(Database!$E$5,'Daten-THGE'!$B$4:$BC$11,Database!B6,FALSE))</f>
        <v>8.7166666666666677E-3</v>
      </c>
      <c r="F6" s="39">
        <f>IF(Gebäude!$G$6=Database!$D$4,HLOOKUP(Database!$E$4,'Daten-Dichte'!$B$4:$BC$11,Database!B6,FALSE),HLOOKUP(Database!$E$5,'Daten-Dichte'!$B$4:$BC$11,Database!B6,FALSE))</f>
        <v>470</v>
      </c>
      <c r="G6" s="39">
        <f>IF(Gebäude!$G$6=Database!$D$4,HLOOKUP(Database!$E$4,'Daten-Dicke'!$B$4:$BC$11,Database!B6,FALSE),HLOOKUP(Database!$E$5,'Daten-Dicke'!$B$4:$BC$11,Database!B6,FALSE))</f>
        <v>1.0000000000000002</v>
      </c>
      <c r="H6" s="44"/>
      <c r="I6" s="49">
        <f t="shared" si="1"/>
        <v>4.096833333333335E-2</v>
      </c>
      <c r="J6" s="37"/>
      <c r="K6" s="76"/>
      <c r="L6" s="129">
        <f t="shared" si="2"/>
        <v>1</v>
      </c>
      <c r="M6" s="129">
        <f t="shared" si="3"/>
        <v>0</v>
      </c>
      <c r="N6" s="129">
        <f t="shared" si="4"/>
        <v>0</v>
      </c>
      <c r="O6" s="79" t="str">
        <f>Gebäude!G12</f>
        <v>Backsteinwand</v>
      </c>
      <c r="P6" s="40"/>
      <c r="Q6" s="39" t="str">
        <f>HLOOKUP($AK$3,'Daten-Zusammensetzung Bauteil'!$B$4:$BC$10,Database!$B6,FALSE)</f>
        <v>3-SP Schalung 2.5 cm (Annahme 5xverwendet) [kg]</v>
      </c>
      <c r="R6" s="99" t="str">
        <f>HLOOKUP($AK$3,'Daten-Funktion'!$B$4:$BC$10,Database!$B6,FALSE)</f>
        <v>C3.1</v>
      </c>
      <c r="S6" s="39">
        <f>HLOOKUP($AK$3,'Daten-THGE'!$B$4:$BC$10,Database!$B6,FALSE)</f>
        <v>8.7166666666666677E-3</v>
      </c>
      <c r="T6" s="39">
        <f>HLOOKUP($AK$3,'Daten-Dichte'!$B$4:$BC$10,Database!$B6,FALSE)</f>
        <v>470</v>
      </c>
      <c r="U6" s="39">
        <f>HLOOKUP($AK$3,'Daten-Dicke'!$B$4:$BC$10,Database!$B6,FALSE)</f>
        <v>0.1333333333333333</v>
      </c>
      <c r="V6" s="44"/>
      <c r="W6" s="49">
        <f t="shared" si="5"/>
        <v>5.4624444444444434E-3</v>
      </c>
      <c r="X6" s="37"/>
      <c r="Y6" s="37"/>
      <c r="Z6" s="103">
        <f t="shared" si="6"/>
        <v>0</v>
      </c>
      <c r="AA6" s="103">
        <f t="shared" si="7"/>
        <v>0</v>
      </c>
      <c r="AB6" s="103">
        <f t="shared" si="0"/>
        <v>0</v>
      </c>
      <c r="AC6" s="103">
        <f t="shared" si="8"/>
        <v>0</v>
      </c>
      <c r="AD6" s="103">
        <f t="shared" ref="AD6:AD9" si="9">IF(R6="E2.1",1,0)</f>
        <v>0</v>
      </c>
      <c r="AE6" s="103">
        <f t="shared" ref="AE6:AE9" si="10">IF(R6="E2.2",1,0)</f>
        <v>0</v>
      </c>
      <c r="AF6" s="103">
        <f t="shared" ref="AF6:AF9" si="11">IF(R6="E2.3",1,0)</f>
        <v>0</v>
      </c>
      <c r="AG6" s="103">
        <f t="shared" ref="AG6:AG9" si="12">IF(R6="E2.3",1,0)</f>
        <v>0</v>
      </c>
      <c r="AH6" s="103">
        <v>0</v>
      </c>
      <c r="AI6" s="103">
        <v>0</v>
      </c>
      <c r="AJ6" s="103">
        <v>0</v>
      </c>
    </row>
    <row r="7" spans="2:37" ht="15.75" x14ac:dyDescent="0.25">
      <c r="B7" s="40" t="str">
        <f>Gebäude!G5</f>
        <v>Ohne UG</v>
      </c>
      <c r="C7" s="39" t="str">
        <f>IF(Gebäude!$G$6=Database!$D$4,HLOOKUP(Database!$E$4,'Daten-Zusammensetzung Bauteil'!$B$4:$BC$11,Database!B7,FALSE),HLOOKUP(Database!$E$5,'Daten-Zusammensetzung Bauteil'!$B$4:$BC$11,Database!B7,FALSE))</f>
        <v>Bitumenanstrich [m2]</v>
      </c>
      <c r="D7" s="99" t="str">
        <f>IF(Gebäude!$G$6=Database!$D$4,HLOOKUP(Database!$E$4,'Daten-Funktion'!$B$4:$BC$11,Database!B7,FALSE),HLOOKUP(Database!$E$5,'Daten-Funktion'!$B$4:$BC$11,Database!B7,FALSE))</f>
        <v>E1.3</v>
      </c>
      <c r="E7" s="39">
        <f>IF(Gebäude!$G$6=Database!$D$4,HLOOKUP(Database!$E$4,'Daten-THGE'!$B$4:$BC$11,Database!B7,FALSE),HLOOKUP(Database!$E$5,'Daten-THGE'!$B$4:$BC$11,Database!B7,FALSE))</f>
        <v>4.7066666666666666E-2</v>
      </c>
      <c r="F7" s="39">
        <f>IF(Gebäude!$G$6=Database!$D$4,HLOOKUP(Database!$E$4,'Daten-Dichte'!$B$4:$BC$11,Database!B7,FALSE),HLOOKUP(Database!$E$5,'Daten-Dichte'!$B$4:$BC$11,Database!B7,FALSE))</f>
        <v>250</v>
      </c>
      <c r="G7" s="39">
        <f>IF(Gebäude!$G$6=Database!$D$4,HLOOKUP(Database!$E$4,'Daten-Dicke'!$B$4:$BC$11,Database!B7,FALSE),HLOOKUP(Database!$E$5,'Daten-Dicke'!$B$4:$BC$11,Database!B7,FALSE))</f>
        <v>0.1</v>
      </c>
      <c r="H7" s="44"/>
      <c r="I7" s="49">
        <f t="shared" si="1"/>
        <v>1.1766666666666667E-2</v>
      </c>
      <c r="J7" s="37"/>
      <c r="K7" s="76"/>
      <c r="L7" s="129">
        <f t="shared" si="2"/>
        <v>0</v>
      </c>
      <c r="M7" s="129">
        <f t="shared" si="3"/>
        <v>0</v>
      </c>
      <c r="N7" s="129">
        <f t="shared" si="4"/>
        <v>1</v>
      </c>
      <c r="O7" s="76"/>
      <c r="P7" s="37"/>
      <c r="Q7" s="39">
        <f>HLOOKUP($AK$3,'Daten-Zusammensetzung Bauteil'!$B$4:$BC$10,Database!$B7,FALSE)</f>
        <v>0</v>
      </c>
      <c r="R7" s="99">
        <f>HLOOKUP($AK$3,'Daten-Funktion'!$B$4:$BC$10,Database!$B7,FALSE)</f>
        <v>0</v>
      </c>
      <c r="S7" s="39">
        <f>HLOOKUP($AK$3,'Daten-THGE'!$B$4:$BC$10,Database!$B7,FALSE)</f>
        <v>0</v>
      </c>
      <c r="T7" s="39">
        <f>HLOOKUP($AK$3,'Daten-Dichte'!$B$4:$BC$10,Database!$B7,FALSE)</f>
        <v>0</v>
      </c>
      <c r="U7" s="39">
        <f>HLOOKUP($AK$3,'Daten-Dicke'!$B$4:$BC$10,Database!$B7,FALSE)</f>
        <v>0</v>
      </c>
      <c r="V7" s="44"/>
      <c r="W7" s="49">
        <f t="shared" si="5"/>
        <v>0</v>
      </c>
      <c r="X7" s="37"/>
      <c r="Y7" s="37"/>
      <c r="Z7" s="103">
        <f t="shared" si="6"/>
        <v>0</v>
      </c>
      <c r="AA7" s="103">
        <f t="shared" si="7"/>
        <v>0</v>
      </c>
      <c r="AB7" s="103">
        <f t="shared" si="0"/>
        <v>0</v>
      </c>
      <c r="AC7" s="103">
        <f t="shared" si="8"/>
        <v>0</v>
      </c>
      <c r="AD7" s="103">
        <f t="shared" si="9"/>
        <v>0</v>
      </c>
      <c r="AE7" s="103">
        <f t="shared" si="10"/>
        <v>0</v>
      </c>
      <c r="AF7" s="103">
        <f t="shared" si="11"/>
        <v>0</v>
      </c>
      <c r="AG7" s="103">
        <f t="shared" si="12"/>
        <v>0</v>
      </c>
      <c r="AH7" s="103">
        <v>0</v>
      </c>
      <c r="AI7" s="103">
        <v>0</v>
      </c>
      <c r="AJ7" s="103">
        <v>0</v>
      </c>
    </row>
    <row r="8" spans="2:37" ht="15.75" x14ac:dyDescent="0.25">
      <c r="B8" s="37"/>
      <c r="C8" s="39" t="str">
        <f>IF(Gebäude!$G$6=Database!$D$4,HLOOKUP(Database!$E$4,'Daten-Zusammensetzung Bauteil'!$B$4:$BC$11,Database!B8,FALSE),HLOOKUP(Database!$E$5,'Daten-Zusammensetzung Bauteil'!$B$4:$BC$11,Database!B8,FALSE))</f>
        <v>Noppenfolie PE [kg]</v>
      </c>
      <c r="D8" s="99" t="str">
        <f>IF(Gebäude!$G$6=Database!$D$4,HLOOKUP(Database!$E$4,'Daten-Funktion'!$B$4:$BC$11,Database!B8,FALSE),HLOOKUP(Database!$E$5,'Daten-Funktion'!$B$4:$BC$11,Database!B8,FALSE))</f>
        <v>E1.3</v>
      </c>
      <c r="E8" s="39">
        <f>IF(Gebäude!$G$6=Database!$D$4,HLOOKUP(Database!$E$4,'Daten-THGE'!$B$4:$BC$11,Database!B8,FALSE),HLOOKUP(Database!$E$5,'Daten-THGE'!$B$4:$BC$11,Database!B8,FALSE))</f>
        <v>9.0166666666666673E-2</v>
      </c>
      <c r="F8" s="39">
        <f>IF(Gebäude!$G$6=Database!$D$4,HLOOKUP(Database!$E$4,'Daten-Dichte'!$B$4:$BC$11,Database!B8,FALSE),HLOOKUP(Database!$E$5,'Daten-Dichte'!$B$4:$BC$11,Database!B8,FALSE))</f>
        <v>960</v>
      </c>
      <c r="G8" s="39">
        <f>IF(Gebäude!$G$6=Database!$D$4,HLOOKUP(Database!$E$4,'Daten-Dicke'!$B$4:$BC$11,Database!B8,FALSE),HLOOKUP(Database!$E$5,'Daten-Dicke'!$B$4:$BC$11,Database!B8,FALSE))</f>
        <v>0.26041666666666663</v>
      </c>
      <c r="H8" s="44"/>
      <c r="I8" s="49">
        <f t="shared" si="1"/>
        <v>0.22541666666666665</v>
      </c>
      <c r="J8" s="37"/>
      <c r="K8" s="76"/>
      <c r="L8" s="129">
        <f t="shared" si="2"/>
        <v>0</v>
      </c>
      <c r="M8" s="129">
        <f t="shared" si="3"/>
        <v>0</v>
      </c>
      <c r="N8" s="129">
        <f t="shared" si="4"/>
        <v>1</v>
      </c>
      <c r="O8" s="76"/>
      <c r="P8" s="37"/>
      <c r="Q8" s="39">
        <f>HLOOKUP($AK$3,'Daten-Zusammensetzung Bauteil'!$B$4:$BC$10,Database!$B8,FALSE)</f>
        <v>0</v>
      </c>
      <c r="R8" s="99">
        <f>HLOOKUP($AK$3,'Daten-Funktion'!$B$4:$BC$10,Database!$B8,FALSE)</f>
        <v>0</v>
      </c>
      <c r="S8" s="39">
        <f>HLOOKUP($AK$3,'Daten-THGE'!$B$4:$BC$10,Database!$B8,FALSE)</f>
        <v>0</v>
      </c>
      <c r="T8" s="39">
        <f>HLOOKUP($AK$3,'Daten-Dichte'!$B$4:$BC$10,Database!$B8,FALSE)</f>
        <v>0</v>
      </c>
      <c r="U8" s="39">
        <f>HLOOKUP($AK$3,'Daten-Dicke'!$B$4:$BC$10,Database!$B8,FALSE)</f>
        <v>0</v>
      </c>
      <c r="V8" s="44"/>
      <c r="W8" s="49">
        <f t="shared" si="5"/>
        <v>0</v>
      </c>
      <c r="X8" s="37"/>
      <c r="Y8" s="37"/>
      <c r="Z8" s="103">
        <f t="shared" si="6"/>
        <v>0</v>
      </c>
      <c r="AA8" s="103">
        <f t="shared" si="7"/>
        <v>0</v>
      </c>
      <c r="AB8" s="103">
        <f t="shared" si="0"/>
        <v>0</v>
      </c>
      <c r="AC8" s="103">
        <f t="shared" si="8"/>
        <v>0</v>
      </c>
      <c r="AD8" s="103">
        <f t="shared" si="9"/>
        <v>0</v>
      </c>
      <c r="AE8" s="103">
        <f t="shared" si="10"/>
        <v>0</v>
      </c>
      <c r="AF8" s="103">
        <f t="shared" si="11"/>
        <v>0</v>
      </c>
      <c r="AG8" s="103">
        <f t="shared" si="12"/>
        <v>0</v>
      </c>
      <c r="AH8" s="103">
        <v>0</v>
      </c>
      <c r="AI8" s="103">
        <v>0</v>
      </c>
      <c r="AJ8" s="103">
        <v>0</v>
      </c>
    </row>
    <row r="9" spans="2:37" ht="15.75" x14ac:dyDescent="0.25">
      <c r="B9" s="37"/>
      <c r="C9" s="39" t="str">
        <f>IF(Gebäude!$G$6=Database!$D$4,HLOOKUP(Database!$E$4,'Daten-Zusammensetzung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9" s="99" t="str">
        <f>IF(Gebäude!$G$6=Database!$D$4,HLOOKUP(Database!$E$4,'Daten-Funktion'!$B$4:$BC$11,Database!B9,FALSE),HLOOKUP(Database!$E$5,'Daten-Funktion'!$B$4:$BC$11,Database!B9,FALSE))</f>
        <v>E1.2</v>
      </c>
      <c r="E9" s="39">
        <f>IF(Gebäude!$G$6=Database!$D$4,HLOOKUP(Database!$E$4,'Daten-THGE'!$B$4:$BC$11,Database!B9,FALSE),HLOOKUP(Database!$E$5,'Daten-THGE'!$B$4:$BC$11,Database!B9,FALSE))</f>
        <v>0.24166666666666667</v>
      </c>
      <c r="F9" s="39">
        <f>IF(Gebäude!$G$6=Database!$D$4,HLOOKUP(Database!$E$4,'Daten-Dichte'!$B$4:$BC$11,Database!B9,FALSE),HLOOKUP(Database!$E$5,'Daten-Dichte'!$B$4:$BC$11,Database!B9,FALSE))</f>
        <v>33</v>
      </c>
      <c r="G9" s="39">
        <f>IF(Gebäude!$G$6=Database!$D$4,HLOOKUP(Database!$E$4,'Daten-Dicke'!$B$4:$BC$11,Database!B9,FALSE),HLOOKUP(Database!$E$5,'Daten-Dicke'!$B$4:$BC$11,Database!B9,FALSE))</f>
        <v>20</v>
      </c>
      <c r="H9" s="44"/>
      <c r="I9" s="49">
        <f t="shared" si="1"/>
        <v>1.595</v>
      </c>
      <c r="J9" s="37"/>
      <c r="K9" s="76"/>
      <c r="L9" s="129">
        <f t="shared" si="2"/>
        <v>0</v>
      </c>
      <c r="M9" s="129">
        <f t="shared" si="3"/>
        <v>1</v>
      </c>
      <c r="N9" s="129">
        <f t="shared" si="4"/>
        <v>0</v>
      </c>
      <c r="O9" s="76"/>
      <c r="P9" s="37"/>
      <c r="Q9" s="39">
        <f>HLOOKUP($AK$3,'Daten-Zusammensetzung Bauteil'!$B$4:$BC$10,Database!$B9,FALSE)</f>
        <v>0</v>
      </c>
      <c r="R9" s="99">
        <f>HLOOKUP($AK$3,'Daten-Funktion'!$B$4:$BC$10,Database!$B9,FALSE)</f>
        <v>0</v>
      </c>
      <c r="S9" s="39">
        <f>HLOOKUP($AK$3,'Daten-THGE'!$B$4:$BC$10,Database!$B9,FALSE)</f>
        <v>0</v>
      </c>
      <c r="T9" s="39">
        <f>HLOOKUP($AK$3,'Daten-Dichte'!$B$4:$BC$10,Database!$B9,FALSE)</f>
        <v>0</v>
      </c>
      <c r="U9" s="39">
        <f>HLOOKUP($AK$3,'Daten-Dicke'!$B$4:$BC$10,Database!$B9,FALSE)</f>
        <v>0</v>
      </c>
      <c r="V9" s="44"/>
      <c r="W9" s="49">
        <f t="shared" si="5"/>
        <v>0</v>
      </c>
      <c r="X9" s="37"/>
      <c r="Y9" s="37"/>
      <c r="Z9" s="103">
        <f t="shared" si="6"/>
        <v>0</v>
      </c>
      <c r="AA9" s="103">
        <f t="shared" si="7"/>
        <v>0</v>
      </c>
      <c r="AB9" s="103">
        <f>IF(R9="G3.1",1,0)</f>
        <v>0</v>
      </c>
      <c r="AC9" s="103">
        <f t="shared" si="8"/>
        <v>0</v>
      </c>
      <c r="AD9" s="103">
        <f t="shared" si="9"/>
        <v>0</v>
      </c>
      <c r="AE9" s="103">
        <f t="shared" si="10"/>
        <v>0</v>
      </c>
      <c r="AF9" s="103">
        <f t="shared" si="11"/>
        <v>0</v>
      </c>
      <c r="AG9" s="103">
        <f t="shared" si="12"/>
        <v>0</v>
      </c>
      <c r="AH9" s="103">
        <v>0</v>
      </c>
      <c r="AI9" s="103">
        <v>0</v>
      </c>
      <c r="AJ9" s="103">
        <v>0</v>
      </c>
    </row>
    <row r="10" spans="2:37" ht="15.75" x14ac:dyDescent="0.25">
      <c r="B10" s="37"/>
      <c r="C10" s="39" t="str">
        <f>IF(Gebäude!$G$6=Database!$D$4,HLOOKUP(Database!$E$4,'Daten-Zusammensetzung Bauteil'!$B$4:$BC$11,Database!B10,FALSE),HLOOKUP(Database!$E$5,'Daten-Zusammensetzung Bauteil'!$B$4:$BC$11,Database!B10,FALSE))</f>
        <v>Bitumenkleber [kg]</v>
      </c>
      <c r="D10" s="99" t="str">
        <f>IF(Gebäude!$G$6=Database!$D$4,HLOOKUP(Database!$E$4,'Daten-Funktion'!$B$4:$BC$11,Database!B10,FALSE),HLOOKUP(Database!$E$5,'Daten-Funktion'!$B$4:$BC$11,Database!B10,FALSE))</f>
        <v>E1.2</v>
      </c>
      <c r="E10" s="39">
        <f>IF(Gebäude!$G$6=Database!$D$4,HLOOKUP(Database!$E$4,'Daten-THGE'!$B$4:$BC$11,Database!B10,FALSE),HLOOKUP(Database!$E$5,'Daten-THGE'!$B$4:$BC$11,Database!B10,FALSE))</f>
        <v>5.1000000000000004E-2</v>
      </c>
      <c r="F10" s="39">
        <f>IF(Gebäude!$G$6=Database!$D$4,HLOOKUP(Database!$E$4,'Daten-Dichte'!$B$4:$BC$11,Database!B10,FALSE),HLOOKUP(Database!$E$5,'Daten-Dichte'!$B$4:$BC$11,Database!B10,FALSE))</f>
        <v>1000</v>
      </c>
      <c r="G10" s="39">
        <f>IF(Gebäude!$G$6=Database!$D$4,HLOOKUP(Database!$E$4,'Daten-Dicke'!$B$4:$BC$11,Database!B10,FALSE),HLOOKUP(Database!$E$5,'Daten-Dicke'!$B$4:$BC$11,Database!B10,FALSE))</f>
        <v>0.3</v>
      </c>
      <c r="H10" s="44"/>
      <c r="I10" s="49">
        <f t="shared" si="1"/>
        <v>0.15300000000000002</v>
      </c>
      <c r="J10" s="37"/>
      <c r="K10" s="76"/>
      <c r="L10" s="129">
        <f t="shared" si="2"/>
        <v>0</v>
      </c>
      <c r="M10" s="129">
        <f t="shared" si="3"/>
        <v>1</v>
      </c>
      <c r="N10" s="129">
        <f t="shared" si="4"/>
        <v>0</v>
      </c>
      <c r="O10" s="76"/>
      <c r="P10" s="37"/>
      <c r="Q10" s="39"/>
      <c r="R10" s="99"/>
      <c r="S10" s="39"/>
      <c r="T10" s="39"/>
      <c r="U10" s="39"/>
      <c r="W10" s="49"/>
      <c r="X10" s="37"/>
      <c r="Y10" s="37"/>
    </row>
    <row r="11" spans="2:37" ht="15.75" x14ac:dyDescent="0.25">
      <c r="B11" s="37"/>
      <c r="C11" s="39"/>
      <c r="D11" s="99"/>
      <c r="E11" s="39"/>
      <c r="F11" s="39"/>
      <c r="G11" s="39"/>
      <c r="H11" s="39"/>
      <c r="I11" s="39"/>
      <c r="J11" s="37"/>
      <c r="K11" s="76"/>
      <c r="L11" s="130">
        <f>IF(J4=0,0,SUMPRODUCT(I4:I10*L4:L10)/SUM(I4:I10))</f>
        <v>0</v>
      </c>
      <c r="M11" s="130">
        <f>IF(J4=0,0,SUMPRODUCT(I4:I10*M4:M10)/SUM(I4:I10))</f>
        <v>0</v>
      </c>
      <c r="N11" s="130">
        <f>IF(J4=0,0,SUMPRODUCT(I4:I10*N4:N10)/SUM(I4:I10))</f>
        <v>0</v>
      </c>
      <c r="O11" s="131">
        <f>SUM(L11:N11)</f>
        <v>0</v>
      </c>
      <c r="P11" s="40" t="s">
        <v>107</v>
      </c>
      <c r="Q11" s="39" t="str">
        <f>HLOOKUP($AK$4,'Daten-Zusammensetzung Bauteil'!$B$4:$BC$12,Database!$B4,FALSE)</f>
        <v>Pfostenriegel Alu/Glas [m2]</v>
      </c>
      <c r="R11" s="99" t="str">
        <f>HLOOKUP($AK$4,'Daten-Funktion'!$B$4:$BC$12,Database!$B4,FALSE)</f>
        <v>E2.4</v>
      </c>
      <c r="S11" s="39">
        <f>HLOOKUP($AK$4,'Daten-THGE'!$B$4:$BC$12,Database!$B4,FALSE)</f>
        <v>4.4249999999999998</v>
      </c>
      <c r="T11" s="39">
        <f>HLOOKUP($AK$4,'Daten-Dichte'!$B$4:$BC$12,Database!$B4,FALSE)</f>
        <v>10</v>
      </c>
      <c r="U11" s="39">
        <f>HLOOKUP($AK$4,'Daten-Dicke'!$B$4:$BC$12,Database!$B4,FALSE)</f>
        <v>10</v>
      </c>
      <c r="V11" s="44"/>
      <c r="W11" s="49">
        <f>IF(V11=0,T11*U11/100*S11,S11*T11*V11/1000)</f>
        <v>4.4249999999999998</v>
      </c>
      <c r="X11" s="37"/>
      <c r="Y11" s="37"/>
      <c r="Z11" s="103">
        <v>0</v>
      </c>
      <c r="AA11" s="103">
        <v>0</v>
      </c>
      <c r="AB11" s="103">
        <f>IF(R11="G3.1",1,0)</f>
        <v>0</v>
      </c>
      <c r="AC11" s="103">
        <f>IF(R11="G3.2",1,0)</f>
        <v>0</v>
      </c>
      <c r="AD11" s="103">
        <f>IF(R11="E2.1",1,0)</f>
        <v>0</v>
      </c>
      <c r="AE11" s="103">
        <f>IF(R11="E2.2",1,0)</f>
        <v>0</v>
      </c>
      <c r="AF11" s="103">
        <f>IF(R11="E2.3",1,0)</f>
        <v>0</v>
      </c>
      <c r="AG11" s="103">
        <f>IF(R11="E2.4",1,0)</f>
        <v>1</v>
      </c>
      <c r="AH11" s="103">
        <f>IF(R11="E3.1",1,0)</f>
        <v>0</v>
      </c>
      <c r="AI11" s="103">
        <f>IF(R11="E3.2",1,0)</f>
        <v>0</v>
      </c>
      <c r="AJ11" s="103">
        <f>IF(R11="E3.3",1,0)</f>
        <v>0</v>
      </c>
    </row>
    <row r="12" spans="2:37" ht="15.75" x14ac:dyDescent="0.25">
      <c r="B12" s="47" t="s">
        <v>241</v>
      </c>
      <c r="L12" s="101"/>
      <c r="M12" s="101"/>
      <c r="N12" s="101"/>
      <c r="O12" s="76"/>
      <c r="P12" s="37"/>
      <c r="Q12" s="39" t="str">
        <f>HLOOKUP($AK$4,'Daten-Zusammensetzung Bauteil'!$B$4:$BC$12,Database!$B5,FALSE)</f>
        <v>Lamellenstoren [m2]</v>
      </c>
      <c r="R12" s="99" t="str">
        <f>HLOOKUP($AK$4,'Daten-Funktion'!$B$4:$BC$12,Database!$B5,FALSE)</f>
        <v>E3.3</v>
      </c>
      <c r="S12" s="39">
        <f>HLOOKUP($AK$4,'Daten-THGE'!$B$4:$BC$12,Database!$B5,FALSE)</f>
        <v>1.4350000000000001</v>
      </c>
      <c r="T12" s="39">
        <f>HLOOKUP($AK$4,'Daten-Dichte'!$B$4:$BC$12,Database!$B5,FALSE)</f>
        <v>10</v>
      </c>
      <c r="U12" s="39">
        <f>HLOOKUP($AK$4,'Daten-Dicke'!$B$4:$BC$12,Database!$B5,FALSE)</f>
        <v>10</v>
      </c>
      <c r="V12" s="44"/>
      <c r="W12" s="49">
        <f t="shared" ref="W12:W18" si="13">IF(V12=0,T12*U12/100*S12,S12*T12*V12/1000)</f>
        <v>1.4350000000000001</v>
      </c>
      <c r="X12" s="37"/>
      <c r="Y12" s="37"/>
      <c r="Z12" s="103">
        <v>0</v>
      </c>
      <c r="AA12" s="103">
        <v>0</v>
      </c>
      <c r="AB12" s="103">
        <f t="shared" ref="AB12:AB18" si="14">IF(R12="G3.1",1,0)</f>
        <v>0</v>
      </c>
      <c r="AC12" s="103">
        <f t="shared" ref="AC12:AC18" si="15">IF(R12="G3.2",1,0)</f>
        <v>0</v>
      </c>
      <c r="AD12" s="103">
        <f t="shared" ref="AD12:AD18" si="16">IF(R12="E2.1",1,0)</f>
        <v>0</v>
      </c>
      <c r="AE12" s="103">
        <f t="shared" ref="AE12:AE18" si="17">IF(R12="E2.2",1,0)</f>
        <v>0</v>
      </c>
      <c r="AF12" s="103">
        <f t="shared" ref="AF12:AF18" si="18">IF(R12="E2.3",1,0)</f>
        <v>0</v>
      </c>
      <c r="AG12" s="103">
        <f t="shared" ref="AG12:AG18" si="19">IF(R12="E2.4",1,0)</f>
        <v>0</v>
      </c>
      <c r="AH12" s="103">
        <f t="shared" ref="AH12:AH18" si="20">IF(R12="E3.1",1,0)</f>
        <v>0</v>
      </c>
      <c r="AI12" s="103">
        <f t="shared" ref="AI12:AI18" si="21">IF(R12="E3.2",1,0)</f>
        <v>0</v>
      </c>
      <c r="AJ12" s="103">
        <f t="shared" ref="AJ12:AJ18" si="22">IF(R12="E3.3",1,0)</f>
        <v>1</v>
      </c>
    </row>
    <row r="13" spans="2:37" ht="20.25" x14ac:dyDescent="0.3">
      <c r="B13" s="41" t="s">
        <v>362</v>
      </c>
      <c r="C13" s="40" t="s">
        <v>227</v>
      </c>
      <c r="D13" s="93"/>
      <c r="E13" s="40" t="s">
        <v>182</v>
      </c>
      <c r="F13" s="40" t="s">
        <v>226</v>
      </c>
      <c r="G13" s="40" t="s">
        <v>242</v>
      </c>
      <c r="H13" s="42" t="s">
        <v>243</v>
      </c>
      <c r="I13" s="40" t="s">
        <v>193</v>
      </c>
      <c r="J13" s="38" t="s">
        <v>194</v>
      </c>
      <c r="K13" s="76"/>
      <c r="Q13" s="39" t="str">
        <f>HLOOKUP($AK$4,'Daten-Zusammensetzung Bauteil'!$B$4:$BC$12,Database!$B6,FALSE)</f>
        <v>Ausstellstoren [m2]</v>
      </c>
      <c r="R13" s="99" t="str">
        <f>HLOOKUP($AK$4,'Daten-Funktion'!$B$4:$BC$12,Database!$B6,FALSE)</f>
        <v>E3.3</v>
      </c>
      <c r="S13" s="39">
        <f>HLOOKUP($AK$4,'Daten-THGE'!$B$4:$BC$12,Database!$B6,FALSE)</f>
        <v>1.625</v>
      </c>
      <c r="T13" s="39">
        <f>HLOOKUP($AK$4,'Daten-Dichte'!$B$4:$BC$12,Database!$B6,FALSE)</f>
        <v>10</v>
      </c>
      <c r="U13" s="39">
        <f>HLOOKUP($AK$4,'Daten-Dicke'!$B$4:$BC$12,Database!$B6,FALSE)</f>
        <v>10</v>
      </c>
      <c r="V13" s="44"/>
      <c r="W13" s="49">
        <f t="shared" si="13"/>
        <v>1.625</v>
      </c>
      <c r="Z13" s="103">
        <v>0</v>
      </c>
      <c r="AA13" s="103">
        <v>0</v>
      </c>
      <c r="AB13" s="103">
        <f t="shared" si="14"/>
        <v>0</v>
      </c>
      <c r="AC13" s="103">
        <f t="shared" si="15"/>
        <v>0</v>
      </c>
      <c r="AD13" s="103">
        <f t="shared" si="16"/>
        <v>0</v>
      </c>
      <c r="AE13" s="103">
        <f t="shared" si="17"/>
        <v>0</v>
      </c>
      <c r="AF13" s="103">
        <f t="shared" si="18"/>
        <v>0</v>
      </c>
      <c r="AG13" s="103">
        <f t="shared" si="19"/>
        <v>0</v>
      </c>
      <c r="AH13" s="103">
        <f t="shared" si="20"/>
        <v>0</v>
      </c>
      <c r="AI13" s="103">
        <f t="shared" si="21"/>
        <v>0</v>
      </c>
      <c r="AJ13" s="103">
        <f t="shared" si="22"/>
        <v>1</v>
      </c>
    </row>
    <row r="14" spans="2:37" ht="15.75" x14ac:dyDescent="0.25">
      <c r="B14" s="40" t="s">
        <v>185</v>
      </c>
      <c r="C14" s="39" t="str">
        <f>IF($B$16=Database!$D$4,HLOOKUP(Database!$E$4,'Daten-Zusammensetzung Bauteil'!$B$4:$BC$11,Database!B4,FALSE),HLOOKUP(Database!$E$5,'Daten-Zusammensetzung Bauteil'!$B$4:$BC$11,Database!B4,FALSE))</f>
        <v>Hochbaubeton, 25 cm [kg]</v>
      </c>
      <c r="D14" s="99" t="str">
        <f>MID(IF($B$16=Database!$D$4,HLOOKUP(Database!$E$4,'Daten-Funktion'!$B$4:$BC$11,Database!B4,FALSE),HLOOKUP(Database!$E$5,'Daten-Funktion'!$B$4:$BC$11,Database!B4,FALSE)),1,2)</f>
        <v>C2</v>
      </c>
      <c r="E14" s="39">
        <f>IF($B$16=Database!$D$4,HLOOKUP(Database!$E$4,'Daten-THGE'!$B$4:$BC$11,Database!B4,FALSE),HLOOKUP(Database!$E$5,'Daten-THGE'!$B$4:$BC$11,Database!B4,FALSE))</f>
        <v>1.6533333333333333E-3</v>
      </c>
      <c r="F14" s="39">
        <f>IF($B$16=Database!$D$4,HLOOKUP(Database!$E$4,'Daten-Dichte'!$B$4:$BC$11,Database!B4,FALSE),HLOOKUP(Database!$E$5,'Daten-Dichte'!$B$4:$BC$11,Database!B4,FALSE))</f>
        <v>2300</v>
      </c>
      <c r="G14" s="39">
        <f>IF($B$16=Database!$D$4,HLOOKUP(Database!$E$4,'Daten-Dicke'!$B$4:$BC$11,Database!B4,FALSE),HLOOKUP(Database!$E$5,'Daten-Dicke'!$B$4:$BC$11,Database!B4,FALSE))</f>
        <v>24.689490445859871</v>
      </c>
      <c r="H14" s="43"/>
      <c r="I14" s="49">
        <f t="shared" ref="I14:I20" si="23">IF(H4=0,F4*G4/100*E4,E4*F4*H4/1000)</f>
        <v>0.93885902335456461</v>
      </c>
      <c r="J14" s="50">
        <f>IF($B$17=Database!$D$15,0,SUM(I14:I20)*B19)</f>
        <v>0</v>
      </c>
      <c r="K14" s="79" t="s">
        <v>244</v>
      </c>
      <c r="L14" s="129">
        <f>IF(D14="C2",1,0)</f>
        <v>1</v>
      </c>
      <c r="M14" s="129">
        <f>IF(D14="E1.2",1,0)</f>
        <v>0</v>
      </c>
      <c r="N14" s="129">
        <f>IF(D14="E1.3",1,0)</f>
        <v>0</v>
      </c>
      <c r="Q14" s="39">
        <f>HLOOKUP($AK$4,'Daten-Zusammensetzung Bauteil'!$B$4:$BC$12,Database!$B7,FALSE)</f>
        <v>0</v>
      </c>
      <c r="R14" s="99">
        <f>HLOOKUP($AK$4,'Daten-Funktion'!$B$4:$BC$12,Database!$B7,FALSE)</f>
        <v>0</v>
      </c>
      <c r="S14" s="39">
        <f>HLOOKUP($AK$4,'Daten-THGE'!$B$4:$BC$12,Database!$B7,FALSE)</f>
        <v>0</v>
      </c>
      <c r="T14" s="39">
        <f>HLOOKUP($AK$4,'Daten-Dichte'!$B$4:$BC$12,Database!$B7,FALSE)</f>
        <v>0</v>
      </c>
      <c r="U14" s="39">
        <f>HLOOKUP($AK$4,'Daten-Dicke'!$B$4:$BC$12,Database!$B7,FALSE)</f>
        <v>0</v>
      </c>
      <c r="V14" s="44"/>
      <c r="W14" s="49">
        <f t="shared" si="13"/>
        <v>0</v>
      </c>
      <c r="Z14" s="103">
        <v>0</v>
      </c>
      <c r="AA14" s="103">
        <v>0</v>
      </c>
      <c r="AB14" s="103">
        <f t="shared" si="14"/>
        <v>0</v>
      </c>
      <c r="AC14" s="103">
        <f t="shared" si="15"/>
        <v>0</v>
      </c>
      <c r="AD14" s="103">
        <f t="shared" si="16"/>
        <v>0</v>
      </c>
      <c r="AE14" s="103">
        <f t="shared" si="17"/>
        <v>0</v>
      </c>
      <c r="AF14" s="103">
        <f t="shared" si="18"/>
        <v>0</v>
      </c>
      <c r="AG14" s="103">
        <f t="shared" si="19"/>
        <v>0</v>
      </c>
      <c r="AH14" s="103">
        <f t="shared" si="20"/>
        <v>0</v>
      </c>
      <c r="AI14" s="103">
        <f t="shared" si="21"/>
        <v>0</v>
      </c>
      <c r="AJ14" s="103">
        <f t="shared" si="22"/>
        <v>0</v>
      </c>
    </row>
    <row r="15" spans="2:37" ht="15.75" x14ac:dyDescent="0.25">
      <c r="B15" s="42" t="s">
        <v>232</v>
      </c>
      <c r="C15" s="39" t="str">
        <f>IF($B$16=Database!$D$4,HLOOKUP(Database!$E$4,'Daten-Zusammensetzung Bauteil'!$B$4:$BC$11,Database!B5,FALSE),HLOOKUP(Database!$E$5,'Daten-Zusammensetzung Bauteil'!$B$4:$BC$11,Database!B5,FALSE))</f>
        <v>Armierungsstahl [kg]</v>
      </c>
      <c r="D15" s="99" t="str">
        <f>MID(IF($B$16=Database!$D$4,HLOOKUP(Database!$E$4,'Daten-Funktion'!$B$4:$BC$11,Database!B5,FALSE),HLOOKUP(Database!$E$5,'Daten-Funktion'!$B$4:$BC$11,Database!B5,FALSE)),1,2)</f>
        <v>C2</v>
      </c>
      <c r="E15" s="39">
        <f>IF($B$16=Database!$D$4,HLOOKUP(Database!$E$4,'Daten-THGE'!$B$4:$BC$11,Database!B5,FALSE),HLOOKUP(Database!$E$5,'Daten-THGE'!$B$4:$BC$11,Database!B5,FALSE))</f>
        <v>1.1366666666666667E-2</v>
      </c>
      <c r="F15" s="39">
        <f>IF($B$16=Database!$D$4,HLOOKUP(Database!$E$4,'Daten-Dichte'!$B$4:$BC$11,Database!B5,FALSE),HLOOKUP(Database!$E$5,'Daten-Dichte'!$B$4:$BC$11,Database!B5,FALSE))</f>
        <v>7850</v>
      </c>
      <c r="G15" s="39">
        <f>IF($B$16=Database!$D$4,HLOOKUP(Database!$E$4,'Daten-Dicke'!$B$4:$BC$11,Database!B5,FALSE),HLOOKUP(Database!$E$5,'Daten-Dicke'!$B$4:$BC$11,Database!B5,FALSE))</f>
        <v>0.31050955414012743</v>
      </c>
      <c r="H15" s="43"/>
      <c r="I15" s="49">
        <f t="shared" si="23"/>
        <v>0.27706250000000004</v>
      </c>
      <c r="J15" s="39"/>
      <c r="K15" s="76"/>
      <c r="L15" s="129">
        <f t="shared" ref="L15:L20" si="24">IF(D15="C2",1,0)</f>
        <v>1</v>
      </c>
      <c r="M15" s="129">
        <f t="shared" ref="M15:M20" si="25">IF(D15="E1.2",1,0)</f>
        <v>0</v>
      </c>
      <c r="N15" s="129">
        <f t="shared" ref="N15:N20" si="26">IF(D15="E1.3",1,0)</f>
        <v>0</v>
      </c>
      <c r="Q15" s="39">
        <f>HLOOKUP($AK$4,'Daten-Zusammensetzung Bauteil'!$B$4:$BC$12,Database!$B8,FALSE)</f>
        <v>0</v>
      </c>
      <c r="R15" s="99">
        <f>HLOOKUP($AK$4,'Daten-Funktion'!$B$4:$BC$12,Database!$B8,FALSE)</f>
        <v>0</v>
      </c>
      <c r="S15" s="39">
        <f>HLOOKUP($AK$4,'Daten-THGE'!$B$4:$BC$12,Database!$B8,FALSE)</f>
        <v>0</v>
      </c>
      <c r="T15" s="39">
        <f>HLOOKUP($AK$4,'Daten-Dichte'!$B$4:$BC$12,Database!$B8,FALSE)</f>
        <v>0</v>
      </c>
      <c r="U15" s="39">
        <f>HLOOKUP($AK$4,'Daten-Dicke'!$B$4:$BC$12,Database!$B8,FALSE)</f>
        <v>0</v>
      </c>
      <c r="V15" s="44"/>
      <c r="W15" s="49">
        <f t="shared" si="13"/>
        <v>0</v>
      </c>
      <c r="Z15" s="103">
        <v>0</v>
      </c>
      <c r="AA15" s="103">
        <v>0</v>
      </c>
      <c r="AB15" s="103">
        <f t="shared" si="14"/>
        <v>0</v>
      </c>
      <c r="AC15" s="103">
        <f t="shared" si="15"/>
        <v>0</v>
      </c>
      <c r="AD15" s="103">
        <f t="shared" si="16"/>
        <v>0</v>
      </c>
      <c r="AE15" s="103">
        <f t="shared" si="17"/>
        <v>0</v>
      </c>
      <c r="AF15" s="103">
        <f t="shared" si="18"/>
        <v>0</v>
      </c>
      <c r="AG15" s="103">
        <f t="shared" si="19"/>
        <v>0</v>
      </c>
      <c r="AH15" s="103">
        <f t="shared" si="20"/>
        <v>0</v>
      </c>
      <c r="AI15" s="103">
        <f t="shared" si="21"/>
        <v>0</v>
      </c>
      <c r="AJ15" s="103">
        <f t="shared" si="22"/>
        <v>0</v>
      </c>
    </row>
    <row r="16" spans="2:37" ht="15.75" x14ac:dyDescent="0.25">
      <c r="B16" s="42" t="s">
        <v>233</v>
      </c>
      <c r="C16" s="39" t="str">
        <f>IF($B$16=Database!$D$4,HLOOKUP(Database!$E$4,'Daten-Zusammensetzung Bauteil'!$B$4:$BC$11,Database!B6,FALSE),HLOOKUP(Database!$E$5,'Daten-Zusammensetzung Bauteil'!$B$4:$BC$11,Database!B6,FALSE))</f>
        <v>3-SP Schalung 2.5cm (Annahme 5xverwendet) [kg]</v>
      </c>
      <c r="D16" s="99" t="str">
        <f>MID(IF($B$16=Database!$D$4,HLOOKUP(Database!$E$4,'Daten-Funktion'!$B$4:$BC$11,Database!B6,FALSE),HLOOKUP(Database!$E$5,'Daten-Funktion'!$B$4:$BC$11,Database!B6,FALSE)),1,2)</f>
        <v>C2</v>
      </c>
      <c r="E16" s="39">
        <f>IF($B$16=Database!$D$4,HLOOKUP(Database!$E$4,'Daten-THGE'!$B$4:$BC$11,Database!B6,FALSE),HLOOKUP(Database!$E$5,'Daten-THGE'!$B$4:$BC$11,Database!B6,FALSE))</f>
        <v>8.7166666666666677E-3</v>
      </c>
      <c r="F16" s="39">
        <f>IF($B$16=Database!$D$4,HLOOKUP(Database!$E$4,'Daten-Dichte'!$B$4:$BC$11,Database!B6,FALSE),HLOOKUP(Database!$E$5,'Daten-Dichte'!$B$4:$BC$11,Database!B6,FALSE))</f>
        <v>470</v>
      </c>
      <c r="G16" s="39">
        <f>IF($B$16=Database!$D$4,HLOOKUP(Database!$E$4,'Daten-Dicke'!$B$4:$BC$11,Database!B6,FALSE),HLOOKUP(Database!$E$5,'Daten-Dicke'!$B$4:$BC$11,Database!B6,FALSE))</f>
        <v>1.0000000000000002</v>
      </c>
      <c r="H16" s="44"/>
      <c r="I16" s="49">
        <f t="shared" si="23"/>
        <v>4.096833333333335E-2</v>
      </c>
      <c r="J16" s="37"/>
      <c r="K16" s="76"/>
      <c r="L16" s="129">
        <f t="shared" si="24"/>
        <v>1</v>
      </c>
      <c r="M16" s="129">
        <f t="shared" si="25"/>
        <v>0</v>
      </c>
      <c r="N16" s="129">
        <f t="shared" si="26"/>
        <v>0</v>
      </c>
      <c r="Q16" s="39">
        <f>HLOOKUP($AK$4,'Daten-Zusammensetzung Bauteil'!$B$4:$BC$12,Database!$B9,FALSE)</f>
        <v>0</v>
      </c>
      <c r="R16" s="99">
        <f>HLOOKUP($AK$4,'Daten-Funktion'!$B$4:$BC$12,Database!$B9,FALSE)</f>
        <v>0</v>
      </c>
      <c r="S16" s="39">
        <f>HLOOKUP($AK$4,'Daten-THGE'!$B$4:$BC$12,Database!$B9,FALSE)</f>
        <v>0</v>
      </c>
      <c r="T16" s="39">
        <f>HLOOKUP($AK$4,'Daten-Dichte'!$B$4:$BC$12,Database!$B9,FALSE)</f>
        <v>0</v>
      </c>
      <c r="U16" s="39">
        <f>HLOOKUP($AK$4,'Daten-Dicke'!$B$4:$BC$12,Database!$B9,FALSE)</f>
        <v>0</v>
      </c>
      <c r="V16" s="44"/>
      <c r="W16" s="49">
        <f t="shared" si="13"/>
        <v>0</v>
      </c>
      <c r="Z16" s="103">
        <v>0</v>
      </c>
      <c r="AA16" s="103">
        <v>0</v>
      </c>
      <c r="AB16" s="103">
        <f t="shared" si="14"/>
        <v>0</v>
      </c>
      <c r="AC16" s="103">
        <f t="shared" si="15"/>
        <v>0</v>
      </c>
      <c r="AD16" s="103">
        <f t="shared" si="16"/>
        <v>0</v>
      </c>
      <c r="AE16" s="103">
        <f t="shared" si="17"/>
        <v>0</v>
      </c>
      <c r="AF16" s="103">
        <f t="shared" si="18"/>
        <v>0</v>
      </c>
      <c r="AG16" s="103">
        <f t="shared" si="19"/>
        <v>0</v>
      </c>
      <c r="AH16" s="103">
        <f t="shared" si="20"/>
        <v>0</v>
      </c>
      <c r="AI16" s="103">
        <f t="shared" si="21"/>
        <v>0</v>
      </c>
      <c r="AJ16" s="103">
        <f t="shared" si="22"/>
        <v>0</v>
      </c>
    </row>
    <row r="17" spans="2:38" ht="15.75" x14ac:dyDescent="0.25">
      <c r="B17" s="42" t="s">
        <v>234</v>
      </c>
      <c r="C17" s="39" t="str">
        <f>IF($B$16=Database!$D$4,HLOOKUP(Database!$E$4,'Daten-Zusammensetzung Bauteil'!$B$4:$BC$11,Database!B7,FALSE),HLOOKUP(Database!$E$5,'Daten-Zusammensetzung Bauteil'!$B$4:$BC$11,Database!B7,FALSE))</f>
        <v>Bitumenanstrich [m2]</v>
      </c>
      <c r="D17" s="99" t="str">
        <f>IF($B$16=Database!$D$4,HLOOKUP(Database!$E$4,'Daten-Funktion'!$B$4:$BC$11,Database!B7,FALSE),HLOOKUP(Database!$E$5,'Daten-Funktion'!$B$4:$BC$11,Database!B7,FALSE))</f>
        <v>E1.3</v>
      </c>
      <c r="E17" s="39">
        <f>IF($B$16=Database!$D$4,HLOOKUP(Database!$E$4,'Daten-THGE'!$B$4:$BC$11,Database!B7,FALSE),HLOOKUP(Database!$E$5,'Daten-THGE'!$B$4:$BC$11,Database!B7,FALSE))</f>
        <v>4.7066666666666666E-2</v>
      </c>
      <c r="F17" s="39">
        <f>IF($B$16=Database!$D$4,HLOOKUP(Database!$E$4,'Daten-Dichte'!$B$4:$BC$11,Database!B7,FALSE),HLOOKUP(Database!$E$5,'Daten-Dichte'!$B$4:$BC$11,Database!B7,FALSE))</f>
        <v>250</v>
      </c>
      <c r="G17" s="39">
        <f>IF($B$16=Database!$D$4,HLOOKUP(Database!$E$4,'Daten-Dicke'!$B$4:$BC$11,Database!B7,FALSE),HLOOKUP(Database!$E$5,'Daten-Dicke'!$B$4:$BC$11,Database!B7,FALSE))</f>
        <v>0.1</v>
      </c>
      <c r="H17" s="44"/>
      <c r="I17" s="49">
        <f t="shared" si="23"/>
        <v>1.1766666666666667E-2</v>
      </c>
      <c r="J17" s="37"/>
      <c r="K17" s="76"/>
      <c r="L17" s="129">
        <f t="shared" si="24"/>
        <v>0</v>
      </c>
      <c r="M17" s="129">
        <f t="shared" si="25"/>
        <v>0</v>
      </c>
      <c r="N17" s="129">
        <f t="shared" si="26"/>
        <v>1</v>
      </c>
      <c r="Q17" s="39">
        <f>HLOOKUP($AK$4,'Daten-Zusammensetzung Bauteil'!$B$4:$BC$12,Database!$B10,FALSE)</f>
        <v>0</v>
      </c>
      <c r="R17" s="99">
        <f>HLOOKUP($AK$4,'Daten-Funktion'!$B$4:$BC$12,Database!$B10,FALSE)</f>
        <v>0</v>
      </c>
      <c r="S17" s="39">
        <f>HLOOKUP($AK$4,'Daten-THGE'!$B$4:$BC$12,Database!$B10,FALSE)</f>
        <v>0</v>
      </c>
      <c r="T17" s="39">
        <f>HLOOKUP($AK$4,'Daten-Dichte'!$B$4:$BC$12,Database!$B10,FALSE)</f>
        <v>0</v>
      </c>
      <c r="U17" s="39">
        <f>HLOOKUP($AK$4,'Daten-Dicke'!$B$4:$BC$12,Database!$B10,FALSE)</f>
        <v>0</v>
      </c>
      <c r="V17" s="44"/>
      <c r="W17" s="49">
        <f t="shared" si="13"/>
        <v>0</v>
      </c>
      <c r="Z17" s="103">
        <v>0</v>
      </c>
      <c r="AA17" s="103">
        <v>0</v>
      </c>
      <c r="AB17" s="103">
        <f t="shared" si="14"/>
        <v>0</v>
      </c>
      <c r="AC17" s="103">
        <f t="shared" si="15"/>
        <v>0</v>
      </c>
      <c r="AD17" s="103">
        <f t="shared" si="16"/>
        <v>0</v>
      </c>
      <c r="AE17" s="103">
        <f t="shared" si="17"/>
        <v>0</v>
      </c>
      <c r="AF17" s="103">
        <f t="shared" si="18"/>
        <v>0</v>
      </c>
      <c r="AG17" s="103">
        <f t="shared" si="19"/>
        <v>0</v>
      </c>
      <c r="AH17" s="103">
        <f t="shared" si="20"/>
        <v>0</v>
      </c>
      <c r="AI17" s="103">
        <f t="shared" si="21"/>
        <v>0</v>
      </c>
      <c r="AJ17" s="103">
        <f t="shared" si="22"/>
        <v>0</v>
      </c>
    </row>
    <row r="18" spans="2:38" ht="15.75" x14ac:dyDescent="0.25">
      <c r="B18" s="42" t="s">
        <v>319</v>
      </c>
      <c r="C18" s="39" t="str">
        <f>IF($B$16=Database!$D$4,HLOOKUP(Database!$E$4,'Daten-Zusammensetzung Bauteil'!$B$4:$BC$11,Database!B8,FALSE),HLOOKUP(Database!$E$5,'Daten-Zusammensetzung Bauteil'!$B$4:$BC$11,Database!B8,FALSE))</f>
        <v>Noppenfolie PE [kg]</v>
      </c>
      <c r="D18" s="99" t="str">
        <f>IF($B$16=Database!$D$4,HLOOKUP(Database!$E$4,'Daten-Funktion'!$B$4:$BC$11,Database!B8,FALSE),HLOOKUP(Database!$E$5,'Daten-Funktion'!$B$4:$BC$11,Database!B8,FALSE))</f>
        <v>E1.3</v>
      </c>
      <c r="E18" s="39">
        <f>IF($B$16=Database!$D$4,HLOOKUP(Database!$E$4,'Daten-THGE'!$B$4:$BC$11,Database!B8,FALSE),HLOOKUP(Database!$E$5,'Daten-THGE'!$B$4:$BC$11,Database!B8,FALSE))</f>
        <v>9.0166666666666673E-2</v>
      </c>
      <c r="F18" s="39">
        <f>IF($B$16=Database!$D$4,HLOOKUP(Database!$E$4,'Daten-Dichte'!$B$4:$BC$11,Database!B8,FALSE),HLOOKUP(Database!$E$5,'Daten-Dichte'!$B$4:$BC$11,Database!B8,FALSE))</f>
        <v>960</v>
      </c>
      <c r="G18" s="39">
        <f>IF($B$16=Database!$D$4,HLOOKUP(Database!$E$4,'Daten-Dicke'!$B$4:$BC$11,Database!B8,FALSE),HLOOKUP(Database!$E$5,'Daten-Dicke'!$B$4:$BC$11,Database!B8,FALSE))</f>
        <v>0.26041666666666663</v>
      </c>
      <c r="H18" s="44"/>
      <c r="I18" s="49">
        <f t="shared" si="23"/>
        <v>0.22541666666666665</v>
      </c>
      <c r="J18" s="37"/>
      <c r="K18" s="76"/>
      <c r="L18" s="129">
        <f t="shared" si="24"/>
        <v>0</v>
      </c>
      <c r="M18" s="129">
        <f t="shared" si="25"/>
        <v>0</v>
      </c>
      <c r="N18" s="129">
        <f t="shared" si="26"/>
        <v>1</v>
      </c>
      <c r="Q18" s="39">
        <f>HLOOKUP($AK$4,'Daten-Zusammensetzung Bauteil'!$B$4:$BC$12,Database!$B11,FALSE)</f>
        <v>0</v>
      </c>
      <c r="R18" s="99">
        <f>HLOOKUP($AK$4,'Daten-Funktion'!$B$4:$BC$12,Database!$B11,FALSE)</f>
        <v>0</v>
      </c>
      <c r="S18" s="39">
        <f>HLOOKUP($AK$4,'Daten-THGE'!$B$4:$BC$12,Database!$B11,FALSE)</f>
        <v>0</v>
      </c>
      <c r="T18" s="39">
        <f>HLOOKUP($AK$4,'Daten-Dichte'!$B$4:$BC$12,Database!$B11,FALSE)</f>
        <v>0</v>
      </c>
      <c r="U18" s="39">
        <f>HLOOKUP($AK$4,'Daten-Dicke'!$B$4:$BC$12,Database!$B11,FALSE)</f>
        <v>0</v>
      </c>
      <c r="V18" s="44"/>
      <c r="W18" s="49">
        <f t="shared" si="13"/>
        <v>0</v>
      </c>
      <c r="Z18" s="103">
        <v>0</v>
      </c>
      <c r="AA18" s="103">
        <v>0</v>
      </c>
      <c r="AB18" s="103">
        <f t="shared" si="14"/>
        <v>0</v>
      </c>
      <c r="AC18" s="103">
        <f t="shared" si="15"/>
        <v>0</v>
      </c>
      <c r="AD18" s="103">
        <f t="shared" si="16"/>
        <v>0</v>
      </c>
      <c r="AE18" s="103">
        <f t="shared" si="17"/>
        <v>0</v>
      </c>
      <c r="AF18" s="103">
        <f t="shared" si="18"/>
        <v>0</v>
      </c>
      <c r="AG18" s="103">
        <f t="shared" si="19"/>
        <v>0</v>
      </c>
      <c r="AH18" s="103">
        <f t="shared" si="20"/>
        <v>0</v>
      </c>
      <c r="AI18" s="103">
        <f t="shared" si="21"/>
        <v>0</v>
      </c>
      <c r="AJ18" s="103">
        <f t="shared" si="22"/>
        <v>0</v>
      </c>
    </row>
    <row r="19" spans="2:38" ht="15.75" x14ac:dyDescent="0.25">
      <c r="B19" s="42"/>
      <c r="C19" s="39" t="str">
        <f>IF($B$16=Database!$D$4,HLOOKUP(Database!$E$4,'Daten-Zusammensetzung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19" s="99" t="str">
        <f>IF($B$16=Database!$D$4,HLOOKUP(Database!$E$4,'Daten-Funktion'!$B$4:$BC$11,Database!B9,FALSE),HLOOKUP(Database!$E$5,'Daten-Funktion'!$B$4:$BC$11,Database!B9,FALSE))</f>
        <v>E1.2</v>
      </c>
      <c r="E19" s="39">
        <f>IF($B$16=Database!$D$4,HLOOKUP(Database!$E$4,'Daten-THGE'!$B$4:$BC$11,Database!B9,FALSE),HLOOKUP(Database!$E$5,'Daten-THGE'!$B$4:$BC$11,Database!B9,FALSE))</f>
        <v>0.24166666666666667</v>
      </c>
      <c r="F19" s="39">
        <f>IF($B$16=Database!$D$4,HLOOKUP(Database!$E$4,'Daten-Dichte'!$B$4:$BC$11,Database!B9,FALSE),HLOOKUP(Database!$E$5,'Daten-Dichte'!$B$4:$BC$11,Database!B9,FALSE))</f>
        <v>33</v>
      </c>
      <c r="G19" s="39">
        <f>IF($B$16=Database!$D$4,HLOOKUP(Database!$E$4,'Daten-Dicke'!$B$4:$BC$11,Database!B9,FALSE),HLOOKUP(Database!$E$5,'Daten-Dicke'!$B$4:$BC$11,Database!B9,FALSE))</f>
        <v>20</v>
      </c>
      <c r="H19" s="44"/>
      <c r="I19" s="49">
        <f t="shared" si="23"/>
        <v>1.595</v>
      </c>
      <c r="J19" s="37"/>
      <c r="K19" s="76"/>
      <c r="L19" s="129">
        <f t="shared" si="24"/>
        <v>0</v>
      </c>
      <c r="M19" s="129">
        <f t="shared" si="25"/>
        <v>1</v>
      </c>
      <c r="N19" s="129">
        <f t="shared" si="26"/>
        <v>0</v>
      </c>
      <c r="Z19" s="104">
        <f>SUMPRODUCT(W4:W18*Z4:Z18)/SUM(W4:W18)</f>
        <v>0</v>
      </c>
      <c r="AA19" s="104">
        <f>SUMPRODUCT(W4:W18*AA4:AA18)/SUM(W4:W18)</f>
        <v>2.3181686628953754E-2</v>
      </c>
      <c r="AB19" s="104">
        <f>SUMPRODUCT(W4:W18*AB4:AB18)/SUM(W4:W18)</f>
        <v>0</v>
      </c>
      <c r="AC19" s="104">
        <f>SUMPRODUCT(W4:W18*AC4:AC18)/SUM(W4:W18)</f>
        <v>0</v>
      </c>
      <c r="AD19" s="104">
        <f>SUMPRODUCT(W4:W18*AD4:AD18)/SUM(W4:W18)</f>
        <v>0</v>
      </c>
      <c r="AE19" s="104">
        <f>SUMPRODUCT(W4:W18*AE4:AE18)/SUM(W4:W18)</f>
        <v>0</v>
      </c>
      <c r="AF19" s="104">
        <f>SUMPRODUCT(W4:W18*AF4:AF18)/SUM(W4:W18)</f>
        <v>0</v>
      </c>
      <c r="AG19" s="104">
        <f>SUMPRODUCT(W4:W18*AG4:AG18)/SUM(W4:W18)</f>
        <v>0.57705663284818276</v>
      </c>
      <c r="AH19" s="104">
        <f>SUMPRODUCT(W4:W18*AH4:AH18)/SUM(W4:W18)</f>
        <v>0</v>
      </c>
      <c r="AI19" s="104">
        <f>SUMPRODUCT(W4:W18*AI4:AI18)/SUM(W4:W18)</f>
        <v>0</v>
      </c>
      <c r="AJ19" s="104">
        <f>SUMPRODUCT(W4:W18*AJ4:AJ18)/SUM(W4:W18)</f>
        <v>0.399049332545862</v>
      </c>
      <c r="AL19" s="103">
        <f>SUM(Z19:AJ19)</f>
        <v>0.99928765202299852</v>
      </c>
    </row>
    <row r="20" spans="2:38" ht="15.75" x14ac:dyDescent="0.25">
      <c r="C20" s="39" t="str">
        <f>IF($B$16=Database!$D$4,HLOOKUP(Database!$E$4,'Daten-Zusammensetzung Bauteil'!$B$4:$BC$11,Database!B10,FALSE),HLOOKUP(Database!$E$5,'Daten-Zusammensetzung Bauteil'!$B$4:$BC$11,Database!B10,FALSE))</f>
        <v>Bitumenkleber [kg]</v>
      </c>
      <c r="D20" s="99" t="str">
        <f>IF($B$16=Database!$D$4,HLOOKUP(Database!$E$4,'Daten-Funktion'!$B$4:$BC$11,Database!B10,FALSE),HLOOKUP(Database!$E$5,'Daten-Funktion'!$B$4:$BC$11,Database!B10,FALSE))</f>
        <v>E1.2</v>
      </c>
      <c r="E20" s="39">
        <f>IF($B$16=Database!$D$4,HLOOKUP(Database!$E$4,'Daten-THGE'!$B$4:$BC$11,Database!B10,FALSE),HLOOKUP(Database!$E$5,'Daten-THGE'!$B$4:$BC$11,Database!B10,FALSE))</f>
        <v>5.1000000000000004E-2</v>
      </c>
      <c r="F20" s="39">
        <f>IF($B$16=Database!$D$4,HLOOKUP(Database!$E$4,'Daten-Dichte'!$B$4:$BC$11,Database!B10,FALSE),HLOOKUP(Database!$E$5,'Daten-Dichte'!$B$4:$BC$11,Database!B10,FALSE))</f>
        <v>1000</v>
      </c>
      <c r="G20" s="39">
        <f>IF($B$16=Database!$D$4,HLOOKUP(Database!$E$4,'Daten-Dicke'!$B$4:$BC$11,Database!B10,FALSE),HLOOKUP(Database!$E$5,'Daten-Dicke'!$B$4:$BC$11,Database!B10,FALSE))</f>
        <v>0.3</v>
      </c>
      <c r="H20" s="44"/>
      <c r="I20" s="49">
        <f t="shared" si="23"/>
        <v>0.15300000000000002</v>
      </c>
      <c r="J20" s="37"/>
      <c r="K20" s="76"/>
      <c r="L20" s="129">
        <f t="shared" si="24"/>
        <v>0</v>
      </c>
      <c r="M20" s="129">
        <f t="shared" si="25"/>
        <v>1</v>
      </c>
      <c r="N20" s="129">
        <f t="shared" si="26"/>
        <v>0</v>
      </c>
      <c r="O20" s="80" t="s">
        <v>241</v>
      </c>
      <c r="P20" s="47"/>
    </row>
    <row r="21" spans="2:38" ht="20.25" x14ac:dyDescent="0.3">
      <c r="B21" s="37"/>
      <c r="C21" s="39"/>
      <c r="D21" s="99"/>
      <c r="E21" s="39"/>
      <c r="F21" s="39"/>
      <c r="G21" s="39"/>
      <c r="H21" s="39"/>
      <c r="I21" s="39"/>
      <c r="J21" s="37"/>
      <c r="K21" s="76"/>
      <c r="L21" s="130">
        <f>IF(J14=0,0,SUMPRODUCT(I14:I20*L14:L20)/SUM(I14:I20))</f>
        <v>0</v>
      </c>
      <c r="M21" s="130">
        <f>IF(J14=0,0,SUMPRODUCT(I14:I20*M14:M20)/SUM(I14:I20))</f>
        <v>0</v>
      </c>
      <c r="N21" s="130">
        <f>IF(J14=0,0,SUMPRODUCT(I14:I20*N14:N20)/SUM(I14:I20))</f>
        <v>0</v>
      </c>
      <c r="O21" s="78" t="s">
        <v>362</v>
      </c>
      <c r="P21" s="41"/>
      <c r="Q21" s="40" t="s">
        <v>227</v>
      </c>
      <c r="R21" s="93"/>
      <c r="S21" s="40" t="s">
        <v>182</v>
      </c>
      <c r="T21" s="40" t="s">
        <v>226</v>
      </c>
      <c r="U21" s="40" t="s">
        <v>242</v>
      </c>
      <c r="V21" s="42" t="s">
        <v>243</v>
      </c>
      <c r="W21" s="40" t="s">
        <v>193</v>
      </c>
      <c r="X21" s="38" t="s">
        <v>194</v>
      </c>
      <c r="Y21" s="37"/>
    </row>
    <row r="22" spans="2:38" ht="20.25" x14ac:dyDescent="0.3">
      <c r="B22" s="41" t="s">
        <v>361</v>
      </c>
      <c r="C22" s="40" t="s">
        <v>227</v>
      </c>
      <c r="D22" s="93"/>
      <c r="E22" s="40" t="s">
        <v>182</v>
      </c>
      <c r="F22" s="40" t="s">
        <v>226</v>
      </c>
      <c r="G22" s="40" t="s">
        <v>242</v>
      </c>
      <c r="H22" s="42" t="s">
        <v>243</v>
      </c>
      <c r="I22" s="40" t="s">
        <v>193</v>
      </c>
      <c r="J22" s="38" t="s">
        <v>194</v>
      </c>
      <c r="K22" s="76"/>
      <c r="O22" s="79" t="s">
        <v>187</v>
      </c>
      <c r="P22" s="40" t="s">
        <v>252</v>
      </c>
      <c r="Q22" s="39" t="str">
        <f>HLOOKUP($AK$22,'Daten-Zusammensetzung Bauteil'!$B$4:$BC$10,Database!$B4,FALSE)</f>
        <v>Betonfertigteil, Normalbeton, ab Werk [kg]</v>
      </c>
      <c r="R22" s="99" t="str">
        <f>MID(HLOOKUP($AK$22,'Daten-Funktion'!$B$4:$BC$10,Database!$B4,FALSE),1,2)</f>
        <v>C3</v>
      </c>
      <c r="S22" s="39">
        <f>HLOOKUP($AK$22,'Daten-THGE'!$B$4:$BC$10,Database!$B4,FALSE)</f>
        <v>2.8666666666666662E-3</v>
      </c>
      <c r="T22" s="39">
        <f>HLOOKUP($AK$22,'Daten-Dichte'!$B$4:$BC$10,Database!$B4,FALSE)</f>
        <v>2500</v>
      </c>
      <c r="U22" s="39">
        <f>HLOOKUP($AK$22,'Daten-Dicke'!$B$4:$BC$10,Database!$B4,FALSE)</f>
        <v>1.2908704883227178</v>
      </c>
      <c r="V22" s="43"/>
      <c r="W22" s="49">
        <f>IF(V22=0,T22*U22/100*S22,S22*T22*V22/1000)</f>
        <v>9.2512384996461416E-2</v>
      </c>
      <c r="X22" s="48">
        <f>SUM(W22:W36)*Gebäude!$C$18</f>
        <v>2883.2525358697803</v>
      </c>
      <c r="Y22" s="40" t="s">
        <v>244</v>
      </c>
      <c r="AK22" t="str">
        <f>IF($O$23=Database!$H$4,VLOOKUP('Aussenwand unter &amp; über Terrain'!$O$24,Database!$D$16:$E$17,2,FALSE),VLOOKUP('Aussenwand unter &amp; über Terrain'!$O$23,Database!$H$5:$O$6,7,FALSE))</f>
        <v>1e</v>
      </c>
    </row>
    <row r="23" spans="2:38" ht="15.75" x14ac:dyDescent="0.25">
      <c r="B23" s="40" t="s">
        <v>185</v>
      </c>
      <c r="C23" s="39" t="str">
        <f>HLOOKUP($AK$40,'Daten-Zusammensetzung Bauteil'!$B$4:$BC$14,Database!$B4,FALSE)</f>
        <v>Hochbaubeton, 25 cm [kg]</v>
      </c>
      <c r="D23" s="99" t="str">
        <f>MID(HLOOKUP($AK$40,'Daten-Funktion'!$B$4:$BC$14,Database!$B4,FALSE),1,2)</f>
        <v>C2</v>
      </c>
      <c r="E23" s="39">
        <f>HLOOKUP($AK$40,'Daten-THGE'!$B$4:$BC$14,Database!$B4,FALSE)</f>
        <v>1.6533333333333333E-3</v>
      </c>
      <c r="F23" s="39">
        <f>HLOOKUP($AK$40,'Daten-Dichte'!$B$4:$BC$14,Database!$B4,FALSE)</f>
        <v>2300</v>
      </c>
      <c r="G23" s="39">
        <f>HLOOKUP($AK$40,'Daten-Dicke'!$B$4:$BC$14,Database!$B4,FALSE)</f>
        <v>24.71337579617834</v>
      </c>
      <c r="H23" s="43"/>
      <c r="I23" s="49">
        <f>IF(H23=0,F23*G23/100*E23,E23*F23*H23/1000)</f>
        <v>0.93976730360934158</v>
      </c>
      <c r="J23" s="50">
        <f>IF(B25=Database!$D$15,0,SUM(I23:I29)*Gebäude!$C$39)</f>
        <v>437.45879405520168</v>
      </c>
      <c r="K23" s="79" t="s">
        <v>244</v>
      </c>
      <c r="L23" s="129">
        <f>IF(D23="C2",1,0)</f>
        <v>1</v>
      </c>
      <c r="M23" s="129">
        <f>IF(D23="E1.2",1,0)</f>
        <v>0</v>
      </c>
      <c r="N23" s="129">
        <f>IF(D23="E1.3",1,0)</f>
        <v>0</v>
      </c>
      <c r="O23" s="81" t="s">
        <v>2</v>
      </c>
      <c r="P23" s="40"/>
      <c r="Q23" s="39" t="str">
        <f>HLOOKUP($AK$22,'Daten-Zusammensetzung Bauteil'!$B$4:$BC$10,Database!$B5,FALSE)</f>
        <v>Armierungsstahl [kg]</v>
      </c>
      <c r="R23" s="99" t="str">
        <f>MID(HLOOKUP($AK$22,'Daten-Funktion'!$B$4:$BC$10,Database!$B5,FALSE),1,2)</f>
        <v>C3</v>
      </c>
      <c r="S23" s="39">
        <f>HLOOKUP($AK$22,'Daten-THGE'!$B$4:$BC$10,Database!$B5,FALSE)</f>
        <v>1.1366666666666667E-2</v>
      </c>
      <c r="T23" s="39">
        <f>HLOOKUP($AK$22,'Daten-Dichte'!$B$4:$BC$10,Database!$B5,FALSE)</f>
        <v>7850</v>
      </c>
      <c r="U23" s="39">
        <f>HLOOKUP($AK$22,'Daten-Dicke'!$B$4:$BC$10,Database!$B5,FALSE)</f>
        <v>9.5541401273885357E-2</v>
      </c>
      <c r="V23" s="43"/>
      <c r="W23" s="49">
        <f t="shared" ref="W23:W27" si="27">IF(V23=0,T23*U23/100*S23,S23*T23*V23/1000)</f>
        <v>8.5250000000000006E-2</v>
      </c>
      <c r="X23" s="39"/>
      <c r="Y23" s="37"/>
      <c r="AK23" t="str">
        <f>VLOOKUP($O$23,Database!$H$4:$O$6,8,FALSE)</f>
        <v>2j</v>
      </c>
    </row>
    <row r="24" spans="2:38" ht="15.75" x14ac:dyDescent="0.25">
      <c r="B24" s="40" t="str">
        <f>Gebäude!$G$25</f>
        <v>Massivbauweise</v>
      </c>
      <c r="C24" s="39" t="str">
        <f>HLOOKUP($AK$40,'Daten-Zusammensetzung Bauteil'!$B$4:$BC$14,Database!$B5,FALSE)</f>
        <v>Armierungsstahl [kg]</v>
      </c>
      <c r="D24" s="99" t="str">
        <f>MID(HLOOKUP($AK$40,'Daten-Funktion'!$B$4:$BC$14,Database!$B5,FALSE),1,2)</f>
        <v>C2</v>
      </c>
      <c r="E24" s="39">
        <f>HLOOKUP($AK$40,'Daten-THGE'!$B$4:$BC$14,Database!$B5,FALSE)</f>
        <v>1.1366666666666667E-2</v>
      </c>
      <c r="F24" s="39">
        <f>HLOOKUP($AK$40,'Daten-Dichte'!$B$4:$BC$14,Database!$B5,FALSE)</f>
        <v>7850</v>
      </c>
      <c r="G24" s="39">
        <f>HLOOKUP($AK$40,'Daten-Dicke'!$B$4:$BC$14,Database!$B5,FALSE)</f>
        <v>0.28662420382165604</v>
      </c>
      <c r="H24" s="43"/>
      <c r="I24" s="49">
        <f t="shared" ref="I24:I29" si="28">IF(H24=0,F24*G24/100*E24,E24*F24*H24/1000)</f>
        <v>0.25575000000000003</v>
      </c>
      <c r="J24" s="39"/>
      <c r="K24" s="76"/>
      <c r="L24" s="129">
        <f t="shared" ref="L24:L29" si="29">IF(D24="C2",1,0)</f>
        <v>1</v>
      </c>
      <c r="M24" s="129">
        <f t="shared" ref="M24:M29" si="30">IF(D24="E1.2",1,0)</f>
        <v>0</v>
      </c>
      <c r="N24" s="129">
        <f t="shared" ref="N24:N29" si="31">IF(D24="E1.3",1,0)</f>
        <v>0</v>
      </c>
      <c r="O24" s="81" t="s">
        <v>304</v>
      </c>
      <c r="P24" s="40"/>
      <c r="Q24" s="39" t="str">
        <f>HLOOKUP($AK$22,'Daten-Zusammensetzung Bauteil'!$B$4:$BC$10,Database!$B6,FALSE)</f>
        <v>3-SP Schalung 2.5 cm (Annahme 5xverwendet) [kg]</v>
      </c>
      <c r="R24" s="99" t="str">
        <f>MID(HLOOKUP($AK$22,'Daten-Funktion'!$B$4:$BC$10,Database!$B6,FALSE),1,2)</f>
        <v>C3</v>
      </c>
      <c r="S24" s="39">
        <f>HLOOKUP($AK$22,'Daten-THGE'!$B$4:$BC$10,Database!$B6,FALSE)</f>
        <v>8.7166666666666677E-3</v>
      </c>
      <c r="T24" s="39">
        <f>HLOOKUP($AK$22,'Daten-Dichte'!$B$4:$BC$10,Database!$B6,FALSE)</f>
        <v>470</v>
      </c>
      <c r="U24" s="39">
        <f>HLOOKUP($AK$22,'Daten-Dicke'!$B$4:$BC$10,Database!$B6,FALSE)</f>
        <v>0.1333333333333333</v>
      </c>
      <c r="V24" s="44"/>
      <c r="W24" s="49">
        <f t="shared" si="27"/>
        <v>5.4624444444444434E-3</v>
      </c>
      <c r="X24" s="37"/>
      <c r="Y24" s="37"/>
    </row>
    <row r="25" spans="2:38" ht="15.75" x14ac:dyDescent="0.25">
      <c r="B25" s="40" t="str">
        <f>Gebäude!G26</f>
        <v>Mit UG</v>
      </c>
      <c r="C25" s="39" t="str">
        <f>HLOOKUP($AK$40,'Daten-Zusammensetzung Bauteil'!$B$4:$BC$14,Database!$B6,FALSE)</f>
        <v>3-SP Schalung 2.5cm (Annahme 5xverwendet) [kg]</v>
      </c>
      <c r="D25" s="99" t="str">
        <f>MID(HLOOKUP($AK$40,'Daten-Funktion'!$B$4:$BC$14,Database!$B6,FALSE),1,2)</f>
        <v>C2</v>
      </c>
      <c r="E25" s="39">
        <f>HLOOKUP($AK$40,'Daten-THGE'!$B$4:$BC$14,Database!$B6,FALSE)</f>
        <v>8.7166666666666677E-3</v>
      </c>
      <c r="F25" s="39">
        <f>HLOOKUP($AK$40,'Daten-Dichte'!$B$4:$BC$14,Database!$B6,FALSE)</f>
        <v>470</v>
      </c>
      <c r="G25" s="39">
        <f>HLOOKUP($AK$40,'Daten-Dicke'!$B$4:$BC$14,Database!$B6,FALSE)</f>
        <v>1.0000000000000002</v>
      </c>
      <c r="H25" s="44"/>
      <c r="I25" s="49">
        <f t="shared" si="28"/>
        <v>4.096833333333335E-2</v>
      </c>
      <c r="J25" s="37"/>
      <c r="K25" s="76"/>
      <c r="L25" s="129">
        <f t="shared" si="29"/>
        <v>1</v>
      </c>
      <c r="M25" s="129">
        <f t="shared" si="30"/>
        <v>0</v>
      </c>
      <c r="N25" s="129">
        <f t="shared" si="31"/>
        <v>0</v>
      </c>
      <c r="O25" s="76"/>
      <c r="P25" s="37"/>
      <c r="Q25" s="39">
        <f>HLOOKUP($AK$22,'Daten-Zusammensetzung Bauteil'!$B$4:$BC$10,Database!$B7,FALSE)</f>
        <v>0</v>
      </c>
      <c r="R25" s="99" t="str">
        <f>MID(HLOOKUP($AK$22,'Daten-Funktion'!$B$4:$BC$10,Database!$B7,FALSE),1,2)</f>
        <v/>
      </c>
      <c r="S25" s="39">
        <f>HLOOKUP($AK$22,'Daten-THGE'!$B$4:$BC$10,Database!$B7,FALSE)</f>
        <v>0</v>
      </c>
      <c r="T25" s="39">
        <f>HLOOKUP($AK$22,'Daten-Dichte'!$B$4:$BC$10,Database!$B7,FALSE)</f>
        <v>0</v>
      </c>
      <c r="U25" s="39">
        <f>HLOOKUP($AK$22,'Daten-Dicke'!$B$4:$BC$10,Database!$B7,FALSE)</f>
        <v>0</v>
      </c>
      <c r="V25" s="44"/>
      <c r="W25" s="49">
        <f t="shared" si="27"/>
        <v>0</v>
      </c>
      <c r="X25" s="37"/>
      <c r="Y25" s="37"/>
    </row>
    <row r="26" spans="2:38" ht="15.75" x14ac:dyDescent="0.25">
      <c r="B26" s="37"/>
      <c r="C26" s="39" t="str">
        <f>HLOOKUP($AK$40,'Daten-Zusammensetzung Bauteil'!$B$4:$BC$14,Database!$B7,FALSE)</f>
        <v>Bitumenanstrich [m2]</v>
      </c>
      <c r="D26" s="99" t="str">
        <f>(HLOOKUP($AK$40,'Daten-Funktion'!$B$4:$BC$14,Database!$B7,FALSE))</f>
        <v>E1.3</v>
      </c>
      <c r="E26" s="39">
        <f>HLOOKUP($AK$40,'Daten-THGE'!$B$4:$BC$14,Database!$B7,FALSE)</f>
        <v>4.7066666666666666E-2</v>
      </c>
      <c r="F26" s="39">
        <f>HLOOKUP($AK$40,'Daten-Dichte'!$B$4:$BC$14,Database!$B7,FALSE)</f>
        <v>250</v>
      </c>
      <c r="G26" s="39">
        <f>HLOOKUP($AK$40,'Daten-Dicke'!$B$4:$BC$14,Database!$B7,FALSE)</f>
        <v>0.1</v>
      </c>
      <c r="H26" s="44"/>
      <c r="I26" s="49">
        <f t="shared" si="28"/>
        <v>1.1766666666666667E-2</v>
      </c>
      <c r="J26" s="37"/>
      <c r="K26" s="76"/>
      <c r="L26" s="129">
        <f t="shared" si="29"/>
        <v>0</v>
      </c>
      <c r="M26" s="129">
        <f t="shared" si="30"/>
        <v>0</v>
      </c>
      <c r="N26" s="129">
        <f t="shared" si="31"/>
        <v>1</v>
      </c>
      <c r="O26" s="76"/>
      <c r="P26" s="37"/>
      <c r="Q26" s="39">
        <f>HLOOKUP($AK$22,'Daten-Zusammensetzung Bauteil'!$B$4:$BC$10,Database!$B8,FALSE)</f>
        <v>0</v>
      </c>
      <c r="R26" s="99" t="str">
        <f>MID(HLOOKUP($AK$22,'Daten-Funktion'!$B$4:$BC$10,Database!$B8,FALSE),1,2)</f>
        <v/>
      </c>
      <c r="S26" s="39">
        <f>HLOOKUP($AK$22,'Daten-THGE'!$B$4:$BC$10,Database!$B8,FALSE)</f>
        <v>0</v>
      </c>
      <c r="T26" s="39">
        <f>HLOOKUP($AK$22,'Daten-Dichte'!$B$4:$BC$10,Database!$B8,FALSE)</f>
        <v>0</v>
      </c>
      <c r="U26" s="39">
        <f>HLOOKUP($AK$22,'Daten-Dicke'!$B$4:$BC$10,Database!$B8,FALSE)</f>
        <v>0</v>
      </c>
      <c r="V26" s="44"/>
      <c r="W26" s="49">
        <f t="shared" si="27"/>
        <v>0</v>
      </c>
      <c r="X26" s="37"/>
      <c r="Y26" s="37"/>
    </row>
    <row r="27" spans="2:38" ht="15.75" x14ac:dyDescent="0.25">
      <c r="B27" s="37"/>
      <c r="C27" s="39" t="str">
        <f>HLOOKUP($AK$40,'Daten-Zusammensetzung Bauteil'!$B$4:$BC$14,Database!$B8,FALSE)</f>
        <v>Sickerplatte</v>
      </c>
      <c r="D27" s="99" t="str">
        <f>HLOOKUP($AK$40,'Daten-Funktion'!$B$4:$BC$14,Database!$B8,FALSE)</f>
        <v>E1.3</v>
      </c>
      <c r="E27" s="39">
        <f>HLOOKUP($AK$40,'Daten-THGE'!$B$4:$BC$14,Database!$B8,FALSE)</f>
        <v>9.0166666666666673E-2</v>
      </c>
      <c r="F27" s="39">
        <f>HLOOKUP($AK$40,'Daten-Dichte'!$B$4:$BC$14,Database!$B8,FALSE)</f>
        <v>960</v>
      </c>
      <c r="G27" s="39">
        <f>HLOOKUP($AK$40,'Daten-Dicke'!$B$4:$BC$14,Database!$B8,FALSE)</f>
        <v>0.26041666666666663</v>
      </c>
      <c r="H27" s="44"/>
      <c r="I27" s="49">
        <f t="shared" si="28"/>
        <v>0.22541666666666665</v>
      </c>
      <c r="J27" s="37"/>
      <c r="K27" s="76"/>
      <c r="L27" s="129">
        <f t="shared" si="29"/>
        <v>0</v>
      </c>
      <c r="M27" s="129">
        <f t="shared" si="30"/>
        <v>0</v>
      </c>
      <c r="N27" s="129">
        <f t="shared" si="31"/>
        <v>1</v>
      </c>
      <c r="O27" s="76"/>
      <c r="P27" s="37"/>
      <c r="Q27" s="39">
        <f>HLOOKUP($AK$22,'Daten-Zusammensetzung Bauteil'!$B$4:$BC$10,Database!$B9,FALSE)</f>
        <v>0</v>
      </c>
      <c r="R27" s="99" t="str">
        <f>MID(HLOOKUP($AK$22,'Daten-Funktion'!$B$4:$BC$10,Database!$B9,FALSE),1,2)</f>
        <v/>
      </c>
      <c r="S27" s="39">
        <f>HLOOKUP($AK$22,'Daten-THGE'!$B$4:$BC$10,Database!$B9,FALSE)</f>
        <v>0</v>
      </c>
      <c r="T27" s="39">
        <f>HLOOKUP($AK$22,'Daten-Dichte'!$B$4:$BC$10,Database!$B9,FALSE)</f>
        <v>0</v>
      </c>
      <c r="U27" s="39">
        <f>HLOOKUP($AK$22,'Daten-Dicke'!$B$4:$BC$10,Database!$B9,FALSE)</f>
        <v>0</v>
      </c>
      <c r="V27" s="44"/>
      <c r="W27" s="49">
        <f t="shared" si="27"/>
        <v>0</v>
      </c>
      <c r="X27" s="37"/>
      <c r="Y27" s="37"/>
    </row>
    <row r="28" spans="2:38" ht="15.75" x14ac:dyDescent="0.25">
      <c r="B28" s="37"/>
      <c r="C28" s="39" t="str">
        <f>HLOOKUP($AK$40,'Daten-Zusammensetzung Bauteil'!$B$4:$BC$14,Database!$B9,FALSE)</f>
        <v>Foamglas T4+, 115 kg/m3, lambdaD 0.041 W/mK, 25 cm [kg]</v>
      </c>
      <c r="D28" s="99" t="str">
        <f>HLOOKUP($AK$40,'Daten-Funktion'!$B$4:$BC$14,Database!$B9,FALSE)</f>
        <v>E1.2</v>
      </c>
      <c r="E28" s="39">
        <f>HLOOKUP($AK$40,'Daten-THGE'!$B$4:$BC$14,Database!$B9,FALSE)</f>
        <v>1.95E-2</v>
      </c>
      <c r="F28" s="39">
        <f>HLOOKUP($AK$40,'Daten-Dichte'!$B$4:$BC$14,Database!$B9,FALSE)</f>
        <v>115</v>
      </c>
      <c r="G28" s="39">
        <f>HLOOKUP($AK$40,'Daten-Dicke'!$B$4:$BC$14,Database!$B9,FALSE)</f>
        <v>25</v>
      </c>
      <c r="H28" s="44"/>
      <c r="I28" s="49">
        <f t="shared" si="28"/>
        <v>0.56062500000000004</v>
      </c>
      <c r="J28" s="37"/>
      <c r="K28" s="76"/>
      <c r="L28" s="129">
        <f t="shared" si="29"/>
        <v>0</v>
      </c>
      <c r="M28" s="129">
        <f t="shared" si="30"/>
        <v>1</v>
      </c>
      <c r="N28" s="129">
        <f t="shared" si="31"/>
        <v>0</v>
      </c>
      <c r="O28" s="76"/>
      <c r="P28" s="37"/>
      <c r="Q28" s="39"/>
      <c r="R28" s="99"/>
      <c r="S28" s="39"/>
      <c r="T28" s="39"/>
      <c r="U28" s="39"/>
      <c r="V28" s="39"/>
      <c r="W28" s="49"/>
      <c r="X28" s="37"/>
      <c r="Y28" s="37"/>
    </row>
    <row r="29" spans="2:38" ht="15.75" x14ac:dyDescent="0.25">
      <c r="B29" s="37"/>
      <c r="C29" s="39" t="str">
        <f>HLOOKUP($AK$40,'Daten-Zusammensetzung Bauteil'!$B$4:$BC$14,Database!$B10,FALSE)</f>
        <v>Bitumenkleber [kg]</v>
      </c>
      <c r="D29" s="99" t="str">
        <f>HLOOKUP($AK$40,'Daten-Funktion'!$B$4:$BC$14,Database!$B10,FALSE)</f>
        <v>E1.2</v>
      </c>
      <c r="E29" s="39">
        <f>HLOOKUP($AK$40,'Daten-THGE'!$B$4:$BC$14,Database!$B10,FALSE)</f>
        <v>5.1000000000000004E-2</v>
      </c>
      <c r="F29" s="39">
        <f>HLOOKUP($AK$40,'Daten-Dichte'!$B$4:$BC$14,Database!$B10,FALSE)</f>
        <v>1000</v>
      </c>
      <c r="G29" s="39">
        <f>HLOOKUP($AK$40,'Daten-Dicke'!$B$4:$BC$14,Database!$B10,FALSE)</f>
        <v>0.3</v>
      </c>
      <c r="H29" s="44"/>
      <c r="I29" s="49">
        <f t="shared" si="28"/>
        <v>0.15300000000000002</v>
      </c>
      <c r="J29" s="37"/>
      <c r="K29" s="76"/>
      <c r="L29" s="129">
        <f t="shared" si="29"/>
        <v>0</v>
      </c>
      <c r="M29" s="129">
        <f t="shared" si="30"/>
        <v>1</v>
      </c>
      <c r="N29" s="129">
        <f t="shared" si="31"/>
        <v>0</v>
      </c>
      <c r="O29" s="76"/>
      <c r="P29" s="40" t="s">
        <v>107</v>
      </c>
      <c r="Q29" s="39" t="str">
        <f>HLOOKUP($AK$23,'Daten-Zusammensetzung Bauteil'!$B$4:$BC$12,Database!$B4,FALSE)</f>
        <v>Pfostenriegel Alu/Glas [m2]</v>
      </c>
      <c r="R29" s="99" t="str">
        <f>HLOOKUP($AK$23,'Daten-Funktion'!$B$4:$BC$12,Database!$B4,FALSE)</f>
        <v>E2.4</v>
      </c>
      <c r="S29" s="39">
        <f>HLOOKUP($AK$23,'Daten-THGE'!$B$4:$BC$12,Database!$B4,FALSE)</f>
        <v>4.4249999999999998</v>
      </c>
      <c r="T29" s="39">
        <f>HLOOKUP($AK$23,'Daten-Dichte'!$B$4:$BC$12,Database!$B4,FALSE)</f>
        <v>10</v>
      </c>
      <c r="U29" s="39">
        <f>HLOOKUP($AK$23,'Daten-Dicke'!$B$4:$BC$12,Database!$B4,FALSE)</f>
        <v>10</v>
      </c>
      <c r="V29" s="44"/>
      <c r="W29" s="49">
        <f>IF(V29=0,T29*U29/100*S29,S29*T29*V29/1000)</f>
        <v>4.4249999999999998</v>
      </c>
      <c r="X29" s="37"/>
      <c r="Y29" s="37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2:38" ht="15.75" x14ac:dyDescent="0.25">
      <c r="L30" s="130">
        <f>IF(J23=0,0,SUMPRODUCT(I23:I29*L23:L29)/SUM(I23:I29))</f>
        <v>0.56530382003780055</v>
      </c>
      <c r="M30" s="130">
        <f>IF(J23=0,0,SUMPRODUCT(I23:I29*M23:M29)/SUM(I23:I29))</f>
        <v>0.32625930016620025</v>
      </c>
      <c r="N30" s="130">
        <f>IF(J23=0,0,SUMPRODUCT(I23:I29*N23:N29)/SUM(I23:I29))</f>
        <v>0.10843687979599918</v>
      </c>
      <c r="Q30" s="39" t="str">
        <f>HLOOKUP($AK$23,'Daten-Zusammensetzung Bauteil'!$B$4:$BC$12,Database!$B5,FALSE)</f>
        <v>Lamellenstoren [m2]</v>
      </c>
      <c r="R30" s="99" t="str">
        <f>HLOOKUP($AK$23,'Daten-Funktion'!$B$4:$BC$12,Database!$B5,FALSE)</f>
        <v>E3.3</v>
      </c>
      <c r="S30" s="39">
        <f>HLOOKUP($AK$23,'Daten-THGE'!$B$4:$BC$12,Database!$B5,FALSE)</f>
        <v>1.4350000000000001</v>
      </c>
      <c r="T30" s="39">
        <f>HLOOKUP($AK$23,'Daten-Dichte'!$B$4:$BC$12,Database!$B5,FALSE)</f>
        <v>10</v>
      </c>
      <c r="U30" s="39">
        <f>HLOOKUP($AK$23,'Daten-Dicke'!$B$4:$BC$12,Database!$B5,FALSE)</f>
        <v>10</v>
      </c>
      <c r="V30" s="44"/>
      <c r="W30" s="49">
        <f t="shared" ref="W30:W36" si="32">IF(V30=0,T30*U30/100*S30,S30*T30*V30/1000)</f>
        <v>1.4350000000000001</v>
      </c>
      <c r="X30" s="37"/>
      <c r="Y30" s="37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2:38" ht="15.75" x14ac:dyDescent="0.25">
      <c r="B31" s="47" t="s">
        <v>241</v>
      </c>
      <c r="Q31" s="39" t="str">
        <f>HLOOKUP($AK$23,'Daten-Zusammensetzung Bauteil'!$B$4:$BC$12,Database!$B6,FALSE)</f>
        <v>Ausstellstoren [m2]</v>
      </c>
      <c r="R31" s="99" t="str">
        <f>HLOOKUP($AK$23,'Daten-Funktion'!$B$4:$BC$12,Database!$B6,FALSE)</f>
        <v>E3.3</v>
      </c>
      <c r="S31" s="39">
        <f>HLOOKUP($AK$23,'Daten-THGE'!$B$4:$BC$12,Database!$B6,FALSE)</f>
        <v>1.625</v>
      </c>
      <c r="T31" s="39">
        <f>HLOOKUP($AK$23,'Daten-Dichte'!$B$4:$BC$12,Database!$B6,FALSE)</f>
        <v>10</v>
      </c>
      <c r="U31" s="39">
        <f>HLOOKUP($AK$23,'Daten-Dicke'!$B$4:$BC$12,Database!$B6,FALSE)</f>
        <v>10</v>
      </c>
      <c r="V31" s="44"/>
      <c r="W31" s="49">
        <f t="shared" si="32"/>
        <v>1.625</v>
      </c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2:38" ht="20.25" x14ac:dyDescent="0.3">
      <c r="B32" s="41" t="s">
        <v>361</v>
      </c>
      <c r="C32" s="40" t="s">
        <v>227</v>
      </c>
      <c r="D32" s="93"/>
      <c r="E32" s="40" t="s">
        <v>182</v>
      </c>
      <c r="F32" s="40" t="s">
        <v>226</v>
      </c>
      <c r="G32" s="40" t="s">
        <v>242</v>
      </c>
      <c r="H32" s="42" t="s">
        <v>243</v>
      </c>
      <c r="I32" s="40" t="s">
        <v>193</v>
      </c>
      <c r="J32" s="38" t="s">
        <v>194</v>
      </c>
      <c r="K32" s="76"/>
      <c r="Q32" s="39">
        <f>HLOOKUP($AK$23,'Daten-Zusammensetzung Bauteil'!$B$4:$BC$12,Database!$B7,FALSE)</f>
        <v>0</v>
      </c>
      <c r="R32" s="99">
        <f>HLOOKUP($AK$23,'Daten-Funktion'!$B$4:$BC$12,Database!$B7,FALSE)</f>
        <v>0</v>
      </c>
      <c r="S32" s="39">
        <f>HLOOKUP($AK$23,'Daten-THGE'!$B$4:$BC$12,Database!$B7,FALSE)</f>
        <v>0</v>
      </c>
      <c r="T32" s="39">
        <f>HLOOKUP($AK$23,'Daten-Dichte'!$B$4:$BC$12,Database!$B7,FALSE)</f>
        <v>0</v>
      </c>
      <c r="U32" s="39">
        <f>HLOOKUP($AK$23,'Daten-Dicke'!$B$4:$BC$12,Database!$B7,FALSE)</f>
        <v>0</v>
      </c>
      <c r="V32" s="44"/>
      <c r="W32" s="49">
        <f t="shared" si="32"/>
        <v>0</v>
      </c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2:38" ht="15.75" x14ac:dyDescent="0.25">
      <c r="B33" s="40" t="s">
        <v>185</v>
      </c>
      <c r="C33" s="39" t="str">
        <f>HLOOKUP($AK$57,'Daten-Zusammensetzung Bauteil'!$B$4:$BC$14,Database!$B4,FALSE)</f>
        <v>Hochbaubeton, 25 cm [kg]</v>
      </c>
      <c r="D33" s="99" t="str">
        <f>MID(HLOOKUP($AK$57,'Daten-Funktion'!$B$4:$BC$14,Database!$B4,FALSE),1,2)</f>
        <v>C2</v>
      </c>
      <c r="E33" s="39">
        <f>HLOOKUP($AK$57,'Daten-THGE'!$B$4:$BC$14,Database!$B4,FALSE)</f>
        <v>1.6533333333333333E-3</v>
      </c>
      <c r="F33" s="39">
        <f>HLOOKUP($AK$57,'Daten-Dichte'!$B$4:$BC$14,Database!$B4,FALSE)</f>
        <v>2300</v>
      </c>
      <c r="G33" s="39">
        <f>HLOOKUP($AK$57,'Daten-Dicke'!$B$4:$BC$14,Database!$B4,FALSE)</f>
        <v>24.71337579617834</v>
      </c>
      <c r="H33" s="43"/>
      <c r="I33" s="49">
        <f>IF(H33=0,F33*G33/100*E33,E33*F33*H33/1000)</f>
        <v>0.93976730360934158</v>
      </c>
      <c r="J33" s="50">
        <f>IF(B35=Database!$D$15,0,SUM(I33:I39)*B37)</f>
        <v>0</v>
      </c>
      <c r="K33" s="79" t="s">
        <v>244</v>
      </c>
      <c r="L33" s="129">
        <f>IF(D33="C2",1,0)</f>
        <v>1</v>
      </c>
      <c r="M33" s="129">
        <f>IF(D33="E1.2",1,0)</f>
        <v>0</v>
      </c>
      <c r="N33" s="129">
        <f>IF(D33="E1.3",1,0)</f>
        <v>0</v>
      </c>
      <c r="Q33" s="39">
        <f>HLOOKUP($AK$23,'Daten-Zusammensetzung Bauteil'!$B$4:$BC$12,Database!$B8,FALSE)</f>
        <v>0</v>
      </c>
      <c r="R33" s="99">
        <f>HLOOKUP($AK$23,'Daten-Funktion'!$B$4:$BC$12,Database!$B8,FALSE)</f>
        <v>0</v>
      </c>
      <c r="S33" s="39">
        <f>HLOOKUP($AK$23,'Daten-THGE'!$B$4:$BC$12,Database!$B8,FALSE)</f>
        <v>0</v>
      </c>
      <c r="T33" s="39">
        <f>HLOOKUP($AK$23,'Daten-Dichte'!$B$4:$BC$12,Database!$B8,FALSE)</f>
        <v>0</v>
      </c>
      <c r="U33" s="39">
        <f>HLOOKUP($AK$23,'Daten-Dicke'!$B$4:$BC$12,Database!$B8,FALSE)</f>
        <v>0</v>
      </c>
      <c r="V33" s="44"/>
      <c r="W33" s="49">
        <f t="shared" si="32"/>
        <v>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2:38" ht="15.75" x14ac:dyDescent="0.25">
      <c r="B34" s="42" t="s">
        <v>1</v>
      </c>
      <c r="C34" s="39" t="str">
        <f>HLOOKUP($AK$57,'Daten-Zusammensetzung Bauteil'!$B$4:$BC$14,Database!$B5,FALSE)</f>
        <v>Armierungsstahl [kg]</v>
      </c>
      <c r="D34" s="99" t="str">
        <f>MID(HLOOKUP($AK$57,'Daten-Funktion'!$B$4:$BC$14,Database!$B5,FALSE),1,2)</f>
        <v>C2</v>
      </c>
      <c r="E34" s="39">
        <f>HLOOKUP($AK$57,'Daten-THGE'!$B$4:$BC$14,Database!$B5,FALSE)</f>
        <v>1.1366666666666667E-2</v>
      </c>
      <c r="F34" s="39">
        <f>HLOOKUP($AK$57,'Daten-Dichte'!$B$4:$BC$14,Database!$B5,FALSE)</f>
        <v>7850</v>
      </c>
      <c r="G34" s="39">
        <f>HLOOKUP($AK$57,'Daten-Dicke'!$B$4:$BC$14,Database!$B5,FALSE)</f>
        <v>0.28662420382165604</v>
      </c>
      <c r="H34" s="43"/>
      <c r="I34" s="49">
        <f t="shared" ref="I34:I39" si="33">IF(H34=0,F34*G34/100*E34,E34*F34*H34/1000)</f>
        <v>0.25575000000000003</v>
      </c>
      <c r="J34" s="39"/>
      <c r="K34" s="76"/>
      <c r="L34" s="129">
        <f t="shared" ref="L34:L39" si="34">IF(D34="C2",1,0)</f>
        <v>1</v>
      </c>
      <c r="M34" s="129">
        <f t="shared" ref="M34:M39" si="35">IF(D34="E1.2",1,0)</f>
        <v>0</v>
      </c>
      <c r="N34" s="129">
        <f t="shared" ref="N34:N39" si="36">IF(D34="E1.3",1,0)</f>
        <v>0</v>
      </c>
      <c r="Q34" s="39">
        <f>HLOOKUP($AK$23,'Daten-Zusammensetzung Bauteil'!$B$4:$BC$12,Database!$B9,FALSE)</f>
        <v>0</v>
      </c>
      <c r="R34" s="99">
        <f>HLOOKUP($AK$23,'Daten-Funktion'!$B$4:$BC$12,Database!$B9,FALSE)</f>
        <v>0</v>
      </c>
      <c r="S34" s="39">
        <f>HLOOKUP($AK$23,'Daten-THGE'!$B$4:$BC$12,Database!$B9,FALSE)</f>
        <v>0</v>
      </c>
      <c r="T34" s="39">
        <f>HLOOKUP($AK$23,'Daten-Dichte'!$B$4:$BC$12,Database!$B9,FALSE)</f>
        <v>0</v>
      </c>
      <c r="U34" s="39">
        <f>HLOOKUP($AK$23,'Daten-Dicke'!$B$4:$BC$12,Database!$B9,FALSE)</f>
        <v>0</v>
      </c>
      <c r="V34" s="44"/>
      <c r="W34" s="49">
        <f t="shared" si="32"/>
        <v>0</v>
      </c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8" ht="15.75" x14ac:dyDescent="0.25">
      <c r="B35" s="42" t="s">
        <v>235</v>
      </c>
      <c r="C35" s="39" t="str">
        <f>HLOOKUP($AK$57,'Daten-Zusammensetzung Bauteil'!$B$4:$BC$14,Database!$B6,FALSE)</f>
        <v>3-SP Schalung 2.5cm (Annahme 5xverwendet) [kg]</v>
      </c>
      <c r="D35" s="99" t="str">
        <f>MID(HLOOKUP($AK$57,'Daten-Funktion'!$B$4:$BC$14,Database!$B6,FALSE),1,2)</f>
        <v>C2</v>
      </c>
      <c r="E35" s="39">
        <f>HLOOKUP($AK$57,'Daten-THGE'!$B$4:$BC$14,Database!$B6,FALSE)</f>
        <v>8.7166666666666677E-3</v>
      </c>
      <c r="F35" s="39">
        <f>HLOOKUP($AK$57,'Daten-Dichte'!$B$4:$BC$14,Database!$B6,FALSE)</f>
        <v>470</v>
      </c>
      <c r="G35" s="39">
        <f>HLOOKUP($AK$57,'Daten-Dicke'!$B$4:$BC$14,Database!$B6,FALSE)</f>
        <v>1.0000000000000002</v>
      </c>
      <c r="H35" s="44"/>
      <c r="I35" s="49">
        <f t="shared" si="33"/>
        <v>4.096833333333335E-2</v>
      </c>
      <c r="J35" s="37"/>
      <c r="K35" s="76"/>
      <c r="L35" s="129">
        <f t="shared" si="34"/>
        <v>1</v>
      </c>
      <c r="M35" s="129">
        <f t="shared" si="35"/>
        <v>0</v>
      </c>
      <c r="N35" s="129">
        <f t="shared" si="36"/>
        <v>0</v>
      </c>
      <c r="Q35" s="39">
        <f>HLOOKUP($AK$23,'Daten-Zusammensetzung Bauteil'!$B$4:$BC$12,Database!$B10,FALSE)</f>
        <v>0</v>
      </c>
      <c r="R35" s="99">
        <f>HLOOKUP($AK$23,'Daten-Funktion'!$B$4:$BC$12,Database!$B10,FALSE)</f>
        <v>0</v>
      </c>
      <c r="S35" s="39">
        <f>HLOOKUP($AK$23,'Daten-THGE'!$B$4:$BC$12,Database!$B10,FALSE)</f>
        <v>0</v>
      </c>
      <c r="T35" s="39">
        <f>HLOOKUP($AK$23,'Daten-Dichte'!$B$4:$BC$12,Database!$B10,FALSE)</f>
        <v>0</v>
      </c>
      <c r="U35" s="39">
        <f>HLOOKUP($AK$23,'Daten-Dicke'!$B$4:$BC$12,Database!$B10,FALSE)</f>
        <v>0</v>
      </c>
      <c r="V35" s="44"/>
      <c r="W35" s="49">
        <f t="shared" si="32"/>
        <v>0</v>
      </c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2:38" ht="15.75" x14ac:dyDescent="0.25">
      <c r="B36" s="42" t="s">
        <v>319</v>
      </c>
      <c r="C36" s="39" t="str">
        <f>HLOOKUP($AK$57,'Daten-Zusammensetzung Bauteil'!$B$4:$BC$14,Database!$B7,FALSE)</f>
        <v>Bitumenanstrich [m2]</v>
      </c>
      <c r="D36" s="99" t="str">
        <f>HLOOKUP($AK$57,'Daten-Funktion'!$B$4:$BC$14,Database!$B7,FALSE)</f>
        <v>E1.3</v>
      </c>
      <c r="E36" s="39">
        <f>HLOOKUP($AK$57,'Daten-THGE'!$B$4:$BC$14,Database!$B7,FALSE)</f>
        <v>4.7066666666666666E-2</v>
      </c>
      <c r="F36" s="39">
        <f>HLOOKUP($AK$57,'Daten-Dichte'!$B$4:$BC$14,Database!$B7,FALSE)</f>
        <v>250</v>
      </c>
      <c r="G36" s="39">
        <f>HLOOKUP($AK$57,'Daten-Dicke'!$B$4:$BC$14,Database!$B7,FALSE)</f>
        <v>0.1</v>
      </c>
      <c r="H36" s="44"/>
      <c r="I36" s="49">
        <f t="shared" si="33"/>
        <v>1.1766666666666667E-2</v>
      </c>
      <c r="J36" s="37"/>
      <c r="K36" s="76"/>
      <c r="L36" s="129">
        <f t="shared" si="34"/>
        <v>0</v>
      </c>
      <c r="M36" s="129">
        <f t="shared" si="35"/>
        <v>0</v>
      </c>
      <c r="N36" s="129">
        <f t="shared" si="36"/>
        <v>1</v>
      </c>
      <c r="Q36" s="39">
        <f>HLOOKUP($AK$23,'Daten-Zusammensetzung Bauteil'!$B$4:$BC$12,Database!$B11,FALSE)</f>
        <v>0</v>
      </c>
      <c r="R36" s="99">
        <f>HLOOKUP($AK$23,'Daten-Funktion'!$B$4:$BC$12,Database!$B11,FALSE)</f>
        <v>0</v>
      </c>
      <c r="S36" s="39">
        <f>HLOOKUP($AK$23,'Daten-THGE'!$B$4:$BC$12,Database!$B11,FALSE)</f>
        <v>0</v>
      </c>
      <c r="T36" s="39">
        <f>HLOOKUP($AK$23,'Daten-Dichte'!$B$4:$BC$12,Database!$B11,FALSE)</f>
        <v>0</v>
      </c>
      <c r="U36" s="39">
        <f>HLOOKUP($AK$23,'Daten-Dicke'!$B$4:$BC$12,Database!$B11,FALSE)</f>
        <v>0</v>
      </c>
      <c r="V36" s="44"/>
      <c r="W36" s="49">
        <f t="shared" si="32"/>
        <v>0</v>
      </c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2:38" ht="15.75" x14ac:dyDescent="0.25">
      <c r="B37" s="42"/>
      <c r="C37" s="39" t="str">
        <f>HLOOKUP($AK$57,'Daten-Zusammensetzung Bauteil'!$B$4:$BC$14,Database!$B8,FALSE)</f>
        <v>Sickerplatte</v>
      </c>
      <c r="D37" s="99" t="str">
        <f>HLOOKUP($AK$57,'Daten-Funktion'!$B$4:$BC$14,Database!$B8,FALSE)</f>
        <v>E1.3</v>
      </c>
      <c r="E37" s="39">
        <f>HLOOKUP($AK$57,'Daten-THGE'!$B$4:$BC$14,Database!$B8,FALSE)</f>
        <v>9.0166666666666673E-2</v>
      </c>
      <c r="F37" s="39">
        <f>HLOOKUP($AK$57,'Daten-Dichte'!$B$4:$BC$14,Database!$B8,FALSE)</f>
        <v>960</v>
      </c>
      <c r="G37" s="39">
        <f>HLOOKUP($AK$57,'Daten-Dicke'!$B$4:$BC$14,Database!$B8,FALSE)</f>
        <v>0.26041666666666663</v>
      </c>
      <c r="H37" s="44"/>
      <c r="I37" s="49">
        <f t="shared" si="33"/>
        <v>0.22541666666666665</v>
      </c>
      <c r="J37" s="37"/>
      <c r="K37" s="76"/>
      <c r="L37" s="129">
        <f t="shared" si="34"/>
        <v>0</v>
      </c>
      <c r="M37" s="129">
        <f t="shared" si="35"/>
        <v>0</v>
      </c>
      <c r="N37" s="129">
        <f t="shared" si="36"/>
        <v>1</v>
      </c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8" ht="20.25" x14ac:dyDescent="0.3">
      <c r="B38" s="37"/>
      <c r="C38" s="39" t="str">
        <f>HLOOKUP($AK$57,'Daten-Zusammensetzung Bauteil'!$B$4:$BC$14,Database!$B9,FALSE)</f>
        <v>Foamglas T4+, 115 kg/m3, lambdaD 0.041 W/mK, 25 cm [kg]</v>
      </c>
      <c r="D38" s="99" t="str">
        <f>HLOOKUP($AK$57,'Daten-Funktion'!$B$4:$BC$14,Database!$B9,FALSE)</f>
        <v>E1.2</v>
      </c>
      <c r="E38" s="39">
        <f>HLOOKUP($AK$57,'Daten-THGE'!$B$4:$BC$14,Database!$B9,FALSE)</f>
        <v>1.95E-2</v>
      </c>
      <c r="F38" s="39">
        <f>HLOOKUP($AK$57,'Daten-Dichte'!$B$4:$BC$14,Database!$B9,FALSE)</f>
        <v>115</v>
      </c>
      <c r="G38" s="39">
        <f>HLOOKUP($AK$57,'Daten-Dicke'!$B$4:$BC$14,Database!$B9,FALSE)</f>
        <v>25</v>
      </c>
      <c r="H38" s="44"/>
      <c r="I38" s="49">
        <f t="shared" si="33"/>
        <v>0.56062500000000004</v>
      </c>
      <c r="J38" s="37"/>
      <c r="K38" s="76"/>
      <c r="L38" s="129">
        <f t="shared" si="34"/>
        <v>0</v>
      </c>
      <c r="M38" s="129">
        <f t="shared" si="35"/>
        <v>1</v>
      </c>
      <c r="N38" s="129">
        <f t="shared" si="36"/>
        <v>0</v>
      </c>
      <c r="O38" s="78" t="s">
        <v>361</v>
      </c>
      <c r="P38" s="41"/>
      <c r="Q38" s="40" t="s">
        <v>227</v>
      </c>
      <c r="R38" s="93"/>
      <c r="S38" s="40" t="s">
        <v>182</v>
      </c>
      <c r="T38" s="40" t="s">
        <v>226</v>
      </c>
      <c r="U38" s="40" t="s">
        <v>242</v>
      </c>
      <c r="V38" s="42" t="s">
        <v>243</v>
      </c>
      <c r="W38" s="40" t="s">
        <v>193</v>
      </c>
      <c r="X38" s="38" t="s">
        <v>194</v>
      </c>
      <c r="Y38" s="37"/>
      <c r="Z38" s="107" t="s">
        <v>392</v>
      </c>
      <c r="AA38" s="107" t="s">
        <v>393</v>
      </c>
      <c r="AB38" s="107" t="s">
        <v>436</v>
      </c>
      <c r="AC38" s="107" t="s">
        <v>437</v>
      </c>
      <c r="AD38" s="107" t="s">
        <v>403</v>
      </c>
      <c r="AE38" s="107" t="s">
        <v>404</v>
      </c>
      <c r="AF38" s="107" t="s">
        <v>405</v>
      </c>
      <c r="AG38" s="107" t="s">
        <v>406</v>
      </c>
      <c r="AH38" s="107" t="s">
        <v>407</v>
      </c>
      <c r="AI38" s="107" t="s">
        <v>408</v>
      </c>
      <c r="AJ38" s="107" t="s">
        <v>409</v>
      </c>
    </row>
    <row r="39" spans="2:38" ht="15.75" x14ac:dyDescent="0.25">
      <c r="B39" s="37"/>
      <c r="C39" s="39" t="str">
        <f>HLOOKUP($AK$57,'Daten-Zusammensetzung Bauteil'!$B$4:$BC$14,Database!$B10,FALSE)</f>
        <v>Bitumenkleber [kg]</v>
      </c>
      <c r="D39" s="99" t="str">
        <f>HLOOKUP($AK$57,'Daten-Funktion'!$B$4:$BC$14,Database!$B10,FALSE)</f>
        <v>E1.2</v>
      </c>
      <c r="E39" s="39">
        <f>HLOOKUP($AK$57,'Daten-THGE'!$B$4:$BC$14,Database!$B10,FALSE)</f>
        <v>5.1000000000000004E-2</v>
      </c>
      <c r="F39" s="39">
        <f>HLOOKUP($AK$57,'Daten-Dichte'!$B$4:$BC$14,Database!$B10,FALSE)</f>
        <v>1000</v>
      </c>
      <c r="G39" s="39">
        <f>HLOOKUP($AK$57,'Daten-Dicke'!$B$4:$BC$14,Database!$B10,FALSE)</f>
        <v>0.3</v>
      </c>
      <c r="H39" s="44"/>
      <c r="I39" s="49">
        <f t="shared" si="33"/>
        <v>0.15300000000000002</v>
      </c>
      <c r="J39" s="37"/>
      <c r="K39" s="76"/>
      <c r="L39" s="129">
        <f t="shared" si="34"/>
        <v>0</v>
      </c>
      <c r="M39" s="129">
        <f t="shared" si="35"/>
        <v>1</v>
      </c>
      <c r="N39" s="129">
        <f t="shared" si="36"/>
        <v>0</v>
      </c>
      <c r="O39" s="79" t="s">
        <v>187</v>
      </c>
      <c r="P39" s="40" t="s">
        <v>252</v>
      </c>
      <c r="Q39" s="39" t="str">
        <f>HLOOKUP($AL$40,'Daten-Zusammensetzung Bauteil'!$B$4:$BC$14,Database!$B4,FALSE)</f>
        <v>Backstein [kg]</v>
      </c>
      <c r="R39" s="99" t="str">
        <f>MID(HLOOKUP($AL$40,'Daten-Funktion'!$B$4:$BC$14,Database!$B4,FALSE),1,2)</f>
        <v>C2</v>
      </c>
      <c r="S39" s="39">
        <f>HLOOKUP($AL$40,'Daten-THGE'!$B$4:$BC$14,Database!$B4,FALSE)</f>
        <v>4.3E-3</v>
      </c>
      <c r="T39" s="39">
        <f>HLOOKUP($AL$40,'Daten-Dichte'!$B$4:$BC$14,Database!$B4,FALSE)</f>
        <v>900</v>
      </c>
      <c r="U39" s="39">
        <f>HLOOKUP($AL$40,'Daten-Dicke'!$B$4:$BC$14,Database!$B4,FALSE)</f>
        <v>17.5</v>
      </c>
      <c r="V39" s="43"/>
      <c r="W39" s="49">
        <f>IF(V39=0,T39*U39/100*S39,S39*T39*V39/1000)</f>
        <v>0.67725000000000002</v>
      </c>
      <c r="X39" s="50">
        <f>SUM(W39:W53)*Gebäude!$C$40</f>
        <v>1151.9551166666665</v>
      </c>
      <c r="Y39" s="40" t="s">
        <v>244</v>
      </c>
      <c r="Z39" s="103">
        <f>IF(R39="C2",1,0)</f>
        <v>1</v>
      </c>
      <c r="AA39" s="103">
        <f>IF(R39="C3",1,0)</f>
        <v>0</v>
      </c>
      <c r="AB39" s="103">
        <f t="shared" ref="AB39:AB43" si="37">IF(R39="G3.1",1,0)</f>
        <v>0</v>
      </c>
      <c r="AC39" s="103">
        <f>IF(R39="G3.2",1,0)</f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</row>
    <row r="40" spans="2:38" ht="15.75" x14ac:dyDescent="0.25">
      <c r="L40" s="130">
        <f>IF(J33=0,0,SUMPRODUCT(I33:I39*L33:L39)/SUM(I33:I39))</f>
        <v>0</v>
      </c>
      <c r="M40" s="130">
        <f>IF(J33=0,0,SUMPRODUCT(I33:I39*M33:M39)/SUM(I33:I39))</f>
        <v>0</v>
      </c>
      <c r="N40" s="130">
        <f>IF(J33=0,0,SUMPRODUCT(I33:I39*N33:N39)/SUM(I33:I39))</f>
        <v>0</v>
      </c>
      <c r="O40" s="79" t="str">
        <f>Gebäude!$G$25</f>
        <v>Massivbauweise</v>
      </c>
      <c r="P40" s="40"/>
      <c r="Q40" s="39" t="str">
        <f>HLOOKUP($AL$40,'Daten-Zusammensetzung Bauteil'!$B$4:$BC$14,Database!$B5,FALSE)</f>
        <v>Mörtel [kg]</v>
      </c>
      <c r="R40" s="99" t="str">
        <f>MID(HLOOKUP($AL$40,'Daten-Funktion'!$B$4:$BC$14,Database!$B5,FALSE),1,2)</f>
        <v>C2</v>
      </c>
      <c r="S40" s="39">
        <f>HLOOKUP($AL$40,'Daten-THGE'!$B$4:$BC$14,Database!$B5,FALSE)</f>
        <v>4.483333333333334E-3</v>
      </c>
      <c r="T40" s="39">
        <f>HLOOKUP($AL$40,'Daten-Dichte'!$B$4:$BC$14,Database!$B5,FALSE)</f>
        <v>1550</v>
      </c>
      <c r="U40" s="39">
        <f>HLOOKUP($AL$40,'Daten-Dicke'!$B$4:$BC$14,Database!$B5,FALSE)</f>
        <v>3.3290322580645162</v>
      </c>
      <c r="V40" s="43"/>
      <c r="W40" s="49">
        <f t="shared" ref="W40:W53" si="38">IF(V40=0,T40*U40/100*S40,S40*T40*V40/1000)</f>
        <v>0.23134000000000005</v>
      </c>
      <c r="X40" s="39"/>
      <c r="Y40" s="37"/>
      <c r="Z40" s="103">
        <f t="shared" ref="Z40:Z44" si="39">IF(R40="C2",1,0)</f>
        <v>1</v>
      </c>
      <c r="AA40" s="103">
        <f t="shared" ref="AA40:AA44" si="40">IF(R40="C3",1,0)</f>
        <v>0</v>
      </c>
      <c r="AB40" s="103">
        <f t="shared" si="37"/>
        <v>0</v>
      </c>
      <c r="AC40" s="103">
        <f t="shared" ref="AC40:AC44" si="41">IF(R40="G3.2",1,0)</f>
        <v>0</v>
      </c>
      <c r="AD40" s="103">
        <f>IF(R40="E2.1",1,0)</f>
        <v>0</v>
      </c>
      <c r="AE40" s="103">
        <f>IF(R40="E2.2",1,0)</f>
        <v>0</v>
      </c>
      <c r="AF40" s="103">
        <f>IF(R40="E2.3",1,0)</f>
        <v>0</v>
      </c>
      <c r="AG40" s="103">
        <f>IF(R40="E2.3",1,0)</f>
        <v>0</v>
      </c>
      <c r="AH40" s="103">
        <v>0</v>
      </c>
      <c r="AI40" s="103">
        <v>0</v>
      </c>
      <c r="AJ40" s="103">
        <v>0</v>
      </c>
      <c r="AK40" t="str">
        <f>VLOOKUP($B$24,Database!$Y$29:$AD$31,3,FALSE)</f>
        <v>7c</v>
      </c>
      <c r="AL40" t="str">
        <f>IF($O$40=Database!$Y$29,HLOOKUP($O$41,Database!$T$51:$U$52,2,FALSE),IF($O$40=Database!$S$67,VLOOKUP($O$42,Database!$S$72:$T$76,2,FALSE),VLOOKUP($O$42,Database!$S$87:$T$94,2,FALSE)))</f>
        <v>1b</v>
      </c>
    </row>
    <row r="41" spans="2:38" ht="15.75" x14ac:dyDescent="0.25">
      <c r="O41" s="79" t="str">
        <f>Gebäude!$G$32</f>
        <v>Backsteinwand</v>
      </c>
      <c r="P41" s="40"/>
      <c r="Q41" s="39" t="str">
        <f>HLOOKUP($AL$40,'Daten-Zusammensetzung Bauteil'!$B$4:$BC$14,Database!$B6,FALSE)</f>
        <v>Kalk-Zementgrundputz [kg]</v>
      </c>
      <c r="R41" s="99" t="str">
        <f>HLOOKUP($AL$40,'Daten-Funktion'!$B$4:$BC$14,Database!$B6,FALSE)</f>
        <v>G3.1</v>
      </c>
      <c r="S41" s="39">
        <f>HLOOKUP($AL$40,'Daten-THGE'!$B$4:$BC$14,Database!$B6,FALSE)</f>
        <v>8.2333333333333338E-3</v>
      </c>
      <c r="T41" s="39">
        <f>HLOOKUP($AL$40,'Daten-Dichte'!$B$4:$BC$14,Database!$B6,FALSE)</f>
        <v>1550</v>
      </c>
      <c r="U41" s="39">
        <f>HLOOKUP($AL$40,'Daten-Dicke'!$B$4:$BC$14,Database!$B6,FALSE)</f>
        <v>1.1612903225806452</v>
      </c>
      <c r="V41" s="44"/>
      <c r="W41" s="49">
        <f t="shared" si="38"/>
        <v>0.14820000000000003</v>
      </c>
      <c r="X41" s="37"/>
      <c r="Y41" s="37"/>
      <c r="Z41" s="103">
        <f t="shared" si="39"/>
        <v>0</v>
      </c>
      <c r="AA41" s="103">
        <f t="shared" si="40"/>
        <v>0</v>
      </c>
      <c r="AB41" s="103">
        <f t="shared" si="37"/>
        <v>1</v>
      </c>
      <c r="AC41" s="103">
        <f t="shared" si="41"/>
        <v>0</v>
      </c>
      <c r="AD41" s="103">
        <f t="shared" ref="AD41:AD44" si="42">IF(R41="E2.1",1,0)</f>
        <v>0</v>
      </c>
      <c r="AE41" s="103">
        <f t="shared" ref="AE41:AE44" si="43">IF(R41="E2.2",1,0)</f>
        <v>0</v>
      </c>
      <c r="AF41" s="103">
        <f t="shared" ref="AF41:AF44" si="44">IF(R41="E2.3",1,0)</f>
        <v>0</v>
      </c>
      <c r="AG41" s="103">
        <f t="shared" ref="AG41:AG44" si="45">IF(R41="E2.3",1,0)</f>
        <v>0</v>
      </c>
      <c r="AH41" s="103">
        <v>0</v>
      </c>
      <c r="AI41" s="103">
        <v>0</v>
      </c>
      <c r="AJ41" s="103">
        <v>0</v>
      </c>
      <c r="AL41" t="str">
        <f>IF($O$40=Database!$Y$29,VLOOKUP($O$43,Database!$S$51:$T$60,2,FALSE),IF($O$40=Database!$S$67,VLOOKUP($O$43,Database!$S$72:$T$76,2,FALSE),VLOOKUP($O$43,Database!$S$87:$T$94,2,FALSE)))</f>
        <v>2g</v>
      </c>
    </row>
    <row r="42" spans="2:38" ht="15.75" x14ac:dyDescent="0.25">
      <c r="O42" s="79" t="str">
        <f>Gebäude!$G$33</f>
        <v>Aussenwand über Terrain 1</v>
      </c>
      <c r="P42" s="37"/>
      <c r="Q42" s="39" t="str">
        <f>HLOOKUP($AL$40,'Daten-Zusammensetzung Bauteil'!$B$4:$BC$14,Database!$B7,FALSE)</f>
        <v>Deckputz (Weissputz) [kg]</v>
      </c>
      <c r="R42" s="99" t="str">
        <f>HLOOKUP($AL$40,'Daten-Funktion'!$B$4:$BC$14,Database!$B7,FALSE)</f>
        <v>G3.2</v>
      </c>
      <c r="S42" s="39">
        <f>HLOOKUP($AL$40,'Daten-THGE'!$B$4:$BC$14,Database!$B7,FALSE)</f>
        <v>4.8999999999999998E-3</v>
      </c>
      <c r="T42" s="39">
        <f>HLOOKUP($AL$40,'Daten-Dichte'!$B$4:$BC$14,Database!$B7,FALSE)</f>
        <v>1100</v>
      </c>
      <c r="U42" s="39">
        <f>HLOOKUP($AL$40,'Daten-Dicke'!$B$4:$BC$14,Database!$B7,FALSE)</f>
        <v>0.31818181818181818</v>
      </c>
      <c r="V42" s="44"/>
      <c r="W42" s="49">
        <f t="shared" si="38"/>
        <v>1.7149999999999999E-2</v>
      </c>
      <c r="X42" s="37"/>
      <c r="Y42" s="37"/>
      <c r="Z42" s="103">
        <f t="shared" si="39"/>
        <v>0</v>
      </c>
      <c r="AA42" s="103">
        <f t="shared" si="40"/>
        <v>0</v>
      </c>
      <c r="AB42" s="103">
        <f t="shared" si="37"/>
        <v>0</v>
      </c>
      <c r="AC42" s="103">
        <f t="shared" si="41"/>
        <v>1</v>
      </c>
      <c r="AD42" s="103">
        <f t="shared" si="42"/>
        <v>0</v>
      </c>
      <c r="AE42" s="103">
        <f t="shared" si="43"/>
        <v>0</v>
      </c>
      <c r="AF42" s="103">
        <f t="shared" si="44"/>
        <v>0</v>
      </c>
      <c r="AG42" s="103">
        <f t="shared" si="45"/>
        <v>0</v>
      </c>
      <c r="AH42" s="103">
        <v>0</v>
      </c>
      <c r="AI42" s="103">
        <v>0</v>
      </c>
      <c r="AJ42" s="103">
        <v>0</v>
      </c>
    </row>
    <row r="43" spans="2:38" ht="15.75" x14ac:dyDescent="0.25">
      <c r="O43" s="79" t="str">
        <f>Gebäude!$G$34</f>
        <v>Aussenwand über Terrain Bekleidung 5</v>
      </c>
      <c r="P43" s="37"/>
      <c r="Q43" s="39" t="str">
        <f>HLOOKUP($AL$40,'Daten-Zusammensetzung Bauteil'!$B$4:$BC$14,Database!$B8,FALSE)</f>
        <v>Wanddispersion [m2]</v>
      </c>
      <c r="R43" s="99" t="str">
        <f>HLOOKUP($AL$40,'Daten-Funktion'!$B$4:$BC$14,Database!$B8,FALSE)</f>
        <v>G3.2</v>
      </c>
      <c r="S43" s="39">
        <f>HLOOKUP($AL$40,'Daten-THGE'!$B$4:$BC$14,Database!$B8,FALSE)</f>
        <v>0.15111111111111114</v>
      </c>
      <c r="T43" s="39">
        <f>HLOOKUP($AL$40,'Daten-Dichte'!$B$4:$BC$14,Database!$B8,FALSE)</f>
        <v>150</v>
      </c>
      <c r="U43" s="39">
        <f>HLOOKUP($AL$40,'Daten-Dicke'!$B$4:$BC$14,Database!$B8,FALSE)</f>
        <v>0.2</v>
      </c>
      <c r="V43" s="44"/>
      <c r="W43" s="49">
        <f t="shared" si="38"/>
        <v>4.5333333333333344E-2</v>
      </c>
      <c r="X43" s="37"/>
      <c r="Y43" s="37"/>
      <c r="Z43" s="103">
        <f t="shared" si="39"/>
        <v>0</v>
      </c>
      <c r="AA43" s="103">
        <f t="shared" si="40"/>
        <v>0</v>
      </c>
      <c r="AB43" s="103">
        <f t="shared" si="37"/>
        <v>0</v>
      </c>
      <c r="AC43" s="103">
        <f t="shared" si="41"/>
        <v>1</v>
      </c>
      <c r="AD43" s="103">
        <f t="shared" si="42"/>
        <v>0</v>
      </c>
      <c r="AE43" s="103">
        <f t="shared" si="43"/>
        <v>0</v>
      </c>
      <c r="AF43" s="103">
        <f t="shared" si="44"/>
        <v>0</v>
      </c>
      <c r="AG43" s="103">
        <f t="shared" si="45"/>
        <v>0</v>
      </c>
      <c r="AH43" s="103">
        <v>0</v>
      </c>
      <c r="AI43" s="103">
        <v>0</v>
      </c>
      <c r="AJ43" s="103">
        <v>0</v>
      </c>
    </row>
    <row r="44" spans="2:38" ht="15.75" x14ac:dyDescent="0.25">
      <c r="O44" s="76"/>
      <c r="P44" s="37"/>
      <c r="Q44" s="39">
        <f>HLOOKUP($AL$40,'Daten-Zusammensetzung Bauteil'!$B$4:$BC$14,Database!$B9,FALSE)</f>
        <v>0</v>
      </c>
      <c r="R44" s="99">
        <f>HLOOKUP($AL$40,'Daten-Funktion'!$B$4:$BC$14,Database!$B9,FALSE)</f>
        <v>0</v>
      </c>
      <c r="S44" s="39">
        <f>HLOOKUP($AL$40,'Daten-THGE'!$B$4:$BC$14,Database!$B9,FALSE)</f>
        <v>0</v>
      </c>
      <c r="T44" s="39">
        <f>HLOOKUP($AL$40,'Daten-Dichte'!$B$4:$BC$14,Database!$B9,FALSE)</f>
        <v>0</v>
      </c>
      <c r="U44" s="39">
        <f>HLOOKUP($AL$40,'Daten-Dicke'!$B$4:$BC$14,Database!$B9,FALSE)</f>
        <v>0</v>
      </c>
      <c r="V44" s="44"/>
      <c r="W44" s="49">
        <f t="shared" si="38"/>
        <v>0</v>
      </c>
      <c r="X44" s="37"/>
      <c r="Y44" s="37"/>
      <c r="Z44" s="103">
        <f t="shared" si="39"/>
        <v>0</v>
      </c>
      <c r="AA44" s="103">
        <f t="shared" si="40"/>
        <v>0</v>
      </c>
      <c r="AB44" s="103">
        <f>IF(R44="G3.1",1,0)</f>
        <v>0</v>
      </c>
      <c r="AC44" s="103">
        <f t="shared" si="41"/>
        <v>0</v>
      </c>
      <c r="AD44" s="103">
        <f t="shared" si="42"/>
        <v>0</v>
      </c>
      <c r="AE44" s="103">
        <f t="shared" si="43"/>
        <v>0</v>
      </c>
      <c r="AF44" s="103">
        <f t="shared" si="44"/>
        <v>0</v>
      </c>
      <c r="AG44" s="103">
        <f t="shared" si="45"/>
        <v>0</v>
      </c>
      <c r="AH44" s="103">
        <v>0</v>
      </c>
      <c r="AI44" s="103">
        <v>0</v>
      </c>
      <c r="AJ44" s="103">
        <v>0</v>
      </c>
    </row>
    <row r="45" spans="2:38" ht="15.75" x14ac:dyDescent="0.25">
      <c r="O45" s="76"/>
      <c r="P45" s="37"/>
      <c r="Q45" s="39"/>
      <c r="R45" s="99"/>
      <c r="S45" s="39"/>
      <c r="T45" s="39"/>
      <c r="U45" s="39"/>
      <c r="W45" s="49"/>
      <c r="X45" s="37"/>
      <c r="Y45" s="121"/>
      <c r="Z45" s="105"/>
      <c r="AA45" s="105"/>
      <c r="AB45" s="127"/>
      <c r="AD45" s="105"/>
      <c r="AH45" s="117"/>
    </row>
    <row r="46" spans="2:38" ht="15.75" x14ac:dyDescent="0.25">
      <c r="O46" s="76"/>
      <c r="P46" s="40" t="s">
        <v>107</v>
      </c>
      <c r="Q46" s="39" t="str">
        <f>HLOOKUP($AL$41,'Daten-Zusammensetzung Bauteil'!$B$4:$BC$14,Database!$B4,FALSE)</f>
        <v>Fassadenplatte, Aluverbund, 4 mm</v>
      </c>
      <c r="R46" s="99" t="str">
        <f>HLOOKUP($AL$41,'Daten-Funktion'!$B$4:$BC$14,Database!$B4,FALSE)</f>
        <v>E2.3</v>
      </c>
      <c r="S46" s="39">
        <f>HLOOKUP($AL$41,'Daten-THGE'!$B$4:$BC$14,Database!$B4,FALSE)</f>
        <v>0.15598591549295776</v>
      </c>
      <c r="T46" s="39">
        <f>HLOOKUP($AL$41,'Daten-Dichte'!$B$4:$BC$14,Database!$B4,FALSE)</f>
        <v>1774.9999999999998</v>
      </c>
      <c r="U46" s="39">
        <f>HLOOKUP($AL$41,'Daten-Dicke'!$B$4:$BC$14,Database!$B4,FALSE)</f>
        <v>0.4</v>
      </c>
      <c r="V46" s="44"/>
      <c r="W46" s="49">
        <f t="shared" si="38"/>
        <v>1.1075000000000002</v>
      </c>
      <c r="X46" s="37"/>
      <c r="Y46" s="37"/>
      <c r="Z46" s="103">
        <v>0</v>
      </c>
      <c r="AA46" s="103">
        <v>0</v>
      </c>
      <c r="AB46" s="103">
        <f>IF(R46="G3.1",1,0)</f>
        <v>0</v>
      </c>
      <c r="AC46" s="103">
        <f>IF(R46="G3.2",1,0)</f>
        <v>0</v>
      </c>
      <c r="AD46" s="103">
        <f>IF(R46="E2.1",1,0)</f>
        <v>0</v>
      </c>
      <c r="AE46" s="103">
        <f>IF(R46="E2.2",1,0)</f>
        <v>0</v>
      </c>
      <c r="AF46" s="103">
        <f>IF(R46="E2.3",1,0)</f>
        <v>1</v>
      </c>
      <c r="AG46" s="103">
        <f>IF(R46="E2.4",1,0)</f>
        <v>0</v>
      </c>
      <c r="AH46" s="103">
        <f>IF(R46="E3.1",1,0)</f>
        <v>0</v>
      </c>
      <c r="AI46" s="103">
        <f>IF(R46="E3.2",1,0)</f>
        <v>0</v>
      </c>
      <c r="AJ46" s="103">
        <f>IF(R46="E3.3",1,0)</f>
        <v>0</v>
      </c>
    </row>
    <row r="47" spans="2:38" ht="15.75" x14ac:dyDescent="0.25">
      <c r="O47" s="76"/>
      <c r="P47" s="37"/>
      <c r="Q47" s="39" t="str">
        <f>HLOOKUP($AL$41,'Daten-Zusammensetzung Bauteil'!$B$4:$BC$14,Database!$B5,FALSE)</f>
        <v>Aluminiumunterkonstruktion [kg]</v>
      </c>
      <c r="R47" s="99" t="str">
        <f>HLOOKUP($AL$41,'Daten-Funktion'!$B$4:$BC$14,Database!$B5,FALSE)</f>
        <v>E2.4</v>
      </c>
      <c r="S47" s="39">
        <f>HLOOKUP($AL$41,'Daten-THGE'!$B$4:$BC$14,Database!$B5,FALSE)</f>
        <v>0.14274999999999999</v>
      </c>
      <c r="T47" s="39">
        <f>HLOOKUP($AL$41,'Daten-Dichte'!$B$4:$BC$14,Database!$B5,FALSE)</f>
        <v>2690</v>
      </c>
      <c r="U47" s="39">
        <f>HLOOKUP($AL$41,'Daten-Dicke'!$B$4:$BC$14,Database!$B5,FALSE)</f>
        <v>0.12484510532837656</v>
      </c>
      <c r="V47" s="44"/>
      <c r="W47" s="49">
        <f t="shared" si="38"/>
        <v>0.47940208333333278</v>
      </c>
      <c r="X47" s="37"/>
      <c r="Y47" s="37"/>
      <c r="Z47" s="103">
        <v>0</v>
      </c>
      <c r="AA47" s="103">
        <v>0</v>
      </c>
      <c r="AB47" s="103">
        <f t="shared" ref="AB47:AB53" si="46">IF(R47="G3.1",1,0)</f>
        <v>0</v>
      </c>
      <c r="AC47" s="103">
        <f t="shared" ref="AC47:AC53" si="47">IF(R47="G3.2",1,0)</f>
        <v>0</v>
      </c>
      <c r="AD47" s="103">
        <f t="shared" ref="AD47:AD53" si="48">IF(R47="E2.1",1,0)</f>
        <v>0</v>
      </c>
      <c r="AE47" s="103">
        <f t="shared" ref="AE47:AE53" si="49">IF(R47="E2.2",1,0)</f>
        <v>0</v>
      </c>
      <c r="AF47" s="103">
        <f t="shared" ref="AF47:AF53" si="50">IF(R47="E2.3",1,0)</f>
        <v>0</v>
      </c>
      <c r="AG47" s="103">
        <f t="shared" ref="AG47:AG53" si="51">IF(R47="E2.4",1,0)</f>
        <v>1</v>
      </c>
      <c r="AH47" s="103">
        <f t="shared" ref="AH47:AH53" si="52">IF(R47="E3.1",1,0)</f>
        <v>0</v>
      </c>
      <c r="AI47" s="103">
        <f t="shared" ref="AI47:AI53" si="53">IF(R47="E3.2",1,0)</f>
        <v>0</v>
      </c>
      <c r="AJ47" s="103">
        <f t="shared" ref="AJ47:AJ53" si="54">IF(R47="E3.3",1,0)</f>
        <v>0</v>
      </c>
    </row>
    <row r="48" spans="2:38" ht="15.75" x14ac:dyDescent="0.25">
      <c r="Q48" s="39" t="str">
        <f>HLOOKUP($AL$41,'Daten-Zusammensetzung Bauteil'!$B$4:$BC$14,Database!$B6,FALSE)</f>
        <v>Dämmstoffdübel [kg]</v>
      </c>
      <c r="R48" s="99" t="str">
        <f>HLOOKUP($AL$41,'Daten-Funktion'!$B$4:$BC$14,Database!$B6,FALSE)</f>
        <v>E2.2</v>
      </c>
      <c r="S48" s="39">
        <f>HLOOKUP($AL$41,'Daten-THGE'!$B$4:$BC$14,Database!$B6,FALSE)</f>
        <v>0.24</v>
      </c>
      <c r="T48" s="39">
        <f>HLOOKUP($AL$41,'Daten-Dichte'!$B$4:$BC$14,Database!$B6,FALSE)</f>
        <v>1450</v>
      </c>
      <c r="U48" s="39">
        <f>HLOOKUP($AL$41,'Daten-Dicke'!$B$4:$BC$14,Database!$B6,FALSE)</f>
        <v>8.2758620689655175E-3</v>
      </c>
      <c r="V48" s="44"/>
      <c r="W48" s="49">
        <f t="shared" si="38"/>
        <v>2.8799999999999999E-2</v>
      </c>
      <c r="Z48" s="103">
        <v>0</v>
      </c>
      <c r="AA48" s="103">
        <v>0</v>
      </c>
      <c r="AB48" s="103">
        <f t="shared" si="46"/>
        <v>0</v>
      </c>
      <c r="AC48" s="103">
        <f t="shared" si="47"/>
        <v>0</v>
      </c>
      <c r="AD48" s="103">
        <f t="shared" si="48"/>
        <v>0</v>
      </c>
      <c r="AE48" s="103">
        <f t="shared" si="49"/>
        <v>1</v>
      </c>
      <c r="AF48" s="103">
        <f t="shared" si="50"/>
        <v>0</v>
      </c>
      <c r="AG48" s="103">
        <f t="shared" si="51"/>
        <v>0</v>
      </c>
      <c r="AH48" s="103">
        <f t="shared" si="52"/>
        <v>0</v>
      </c>
      <c r="AI48" s="103">
        <f t="shared" si="53"/>
        <v>0</v>
      </c>
      <c r="AJ48" s="103">
        <f t="shared" si="54"/>
        <v>0</v>
      </c>
    </row>
    <row r="49" spans="15:38" ht="15.75" x14ac:dyDescent="0.25">
      <c r="Q49" s="39" t="str">
        <f>HLOOKUP($AL$41,'Daten-Zusammensetzung Bauteil'!$B$4:$BC$14,Database!$B7,FALSE)</f>
        <v>22 cm Steinwolle (48 kg/m3, 0.034 W/mK) [kg]</v>
      </c>
      <c r="R49" s="99" t="str">
        <f>HLOOKUP($AL$41,'Daten-Funktion'!$B$4:$BC$14,Database!$B7,FALSE)</f>
        <v>E2.2</v>
      </c>
      <c r="S49" s="39">
        <f>HLOOKUP($AL$41,'Daten-THGE'!$B$4:$BC$14,Database!$B7,FALSE)</f>
        <v>2.8249999999999997E-2</v>
      </c>
      <c r="T49" s="39">
        <f>HLOOKUP($AL$41,'Daten-Dichte'!$B$4:$BC$14,Database!$B7,FALSE)</f>
        <v>48</v>
      </c>
      <c r="U49" s="39">
        <f>HLOOKUP($AL$41,'Daten-Dicke'!$B$4:$BC$14,Database!$B7,FALSE)</f>
        <v>22</v>
      </c>
      <c r="V49" s="44"/>
      <c r="W49" s="49">
        <f t="shared" si="38"/>
        <v>0.29831999999999997</v>
      </c>
      <c r="Z49" s="103">
        <v>0</v>
      </c>
      <c r="AA49" s="103">
        <v>0</v>
      </c>
      <c r="AB49" s="103">
        <f t="shared" si="46"/>
        <v>0</v>
      </c>
      <c r="AC49" s="103">
        <f t="shared" si="47"/>
        <v>0</v>
      </c>
      <c r="AD49" s="103">
        <f t="shared" si="48"/>
        <v>0</v>
      </c>
      <c r="AE49" s="103">
        <f t="shared" si="49"/>
        <v>1</v>
      </c>
      <c r="AF49" s="103">
        <f t="shared" si="50"/>
        <v>0</v>
      </c>
      <c r="AG49" s="103">
        <f t="shared" si="51"/>
        <v>0</v>
      </c>
      <c r="AH49" s="103">
        <f t="shared" si="52"/>
        <v>0</v>
      </c>
      <c r="AI49" s="103">
        <f t="shared" si="53"/>
        <v>0</v>
      </c>
      <c r="AJ49" s="103">
        <f t="shared" si="54"/>
        <v>0</v>
      </c>
    </row>
    <row r="50" spans="15:38" ht="15.75" x14ac:dyDescent="0.25">
      <c r="Q50" s="39" t="str">
        <f>HLOOKUP($AL$41,'Daten-Zusammensetzung Bauteil'!$B$4:$BC$14,Database!$B8,FALSE)</f>
        <v>Winpapier (PE Spinnvlies) [kg]</v>
      </c>
      <c r="R50" s="99" t="str">
        <f>HLOOKUP($AL$41,'Daten-Funktion'!$B$4:$BC$14,Database!$B8,FALSE)</f>
        <v>E2.1</v>
      </c>
      <c r="S50" s="39">
        <f>HLOOKUP($AL$41,'Daten-THGE'!$B$4:$BC$14,Database!$B8,FALSE)</f>
        <v>0.13825000000000001</v>
      </c>
      <c r="T50" s="39">
        <f>HLOOKUP($AL$41,'Daten-Dichte'!$B$4:$BC$14,Database!$B8,FALSE)</f>
        <v>920</v>
      </c>
      <c r="U50" s="39">
        <f>HLOOKUP($AL$41,'Daten-Dicke'!$B$4:$BC$14,Database!$B8,FALSE)</f>
        <v>2.391304347826087E-2</v>
      </c>
      <c r="V50" s="44"/>
      <c r="W50" s="49">
        <f t="shared" si="38"/>
        <v>3.0415000000000001E-2</v>
      </c>
      <c r="Z50" s="103">
        <v>0</v>
      </c>
      <c r="AA50" s="103">
        <v>0</v>
      </c>
      <c r="AB50" s="103">
        <f t="shared" si="46"/>
        <v>0</v>
      </c>
      <c r="AC50" s="103">
        <f t="shared" si="47"/>
        <v>0</v>
      </c>
      <c r="AD50" s="103">
        <f t="shared" si="48"/>
        <v>1</v>
      </c>
      <c r="AE50" s="103">
        <f t="shared" si="49"/>
        <v>0</v>
      </c>
      <c r="AF50" s="103">
        <f t="shared" si="50"/>
        <v>0</v>
      </c>
      <c r="AG50" s="103">
        <f t="shared" si="51"/>
        <v>0</v>
      </c>
      <c r="AH50" s="103">
        <f t="shared" si="52"/>
        <v>0</v>
      </c>
      <c r="AI50" s="103">
        <f t="shared" si="53"/>
        <v>0</v>
      </c>
      <c r="AJ50" s="103">
        <f t="shared" si="54"/>
        <v>0</v>
      </c>
    </row>
    <row r="51" spans="15:38" ht="15.75" x14ac:dyDescent="0.25">
      <c r="Q51" s="39">
        <f>HLOOKUP($AL$41,'Daten-Zusammensetzung Bauteil'!$B$4:$BC$14,Database!$B9,FALSE)</f>
        <v>0</v>
      </c>
      <c r="R51" s="99">
        <f>HLOOKUP($AL$41,'Daten-Funktion'!$B$4:$BC$14,Database!$B9,FALSE)</f>
        <v>0</v>
      </c>
      <c r="S51" s="39">
        <f>HLOOKUP($AL$41,'Daten-THGE'!$B$4:$BC$14,Database!$B9,FALSE)</f>
        <v>0</v>
      </c>
      <c r="T51" s="39">
        <f>HLOOKUP($AL$41,'Daten-Dichte'!$B$4:$BC$14,Database!$B9,FALSE)</f>
        <v>0</v>
      </c>
      <c r="U51" s="39">
        <f>HLOOKUP($AL$41,'Daten-Dicke'!$B$4:$BC$14,Database!$B9,FALSE)</f>
        <v>0</v>
      </c>
      <c r="V51" s="44"/>
      <c r="W51" s="49">
        <f t="shared" si="38"/>
        <v>0</v>
      </c>
      <c r="Z51" s="103">
        <v>0</v>
      </c>
      <c r="AA51" s="103">
        <v>0</v>
      </c>
      <c r="AB51" s="103">
        <f t="shared" si="46"/>
        <v>0</v>
      </c>
      <c r="AC51" s="103">
        <f t="shared" si="47"/>
        <v>0</v>
      </c>
      <c r="AD51" s="103">
        <f t="shared" si="48"/>
        <v>0</v>
      </c>
      <c r="AE51" s="103">
        <f t="shared" si="49"/>
        <v>0</v>
      </c>
      <c r="AF51" s="103">
        <f t="shared" si="50"/>
        <v>0</v>
      </c>
      <c r="AG51" s="103">
        <f t="shared" si="51"/>
        <v>0</v>
      </c>
      <c r="AH51" s="103">
        <f t="shared" si="52"/>
        <v>0</v>
      </c>
      <c r="AI51" s="103">
        <f t="shared" si="53"/>
        <v>0</v>
      </c>
      <c r="AJ51" s="103">
        <f t="shared" si="54"/>
        <v>0</v>
      </c>
    </row>
    <row r="52" spans="15:38" ht="15.75" x14ac:dyDescent="0.25">
      <c r="Q52" s="39">
        <f>HLOOKUP($AL$41,'Daten-Zusammensetzung Bauteil'!$B$4:$BC$14,Database!$B10,FALSE)</f>
        <v>0</v>
      </c>
      <c r="R52" s="99">
        <f>HLOOKUP($AL$41,'Daten-Funktion'!$B$4:$BC$14,Database!$B10,FALSE)</f>
        <v>0</v>
      </c>
      <c r="S52" s="39">
        <f>HLOOKUP($AL$41,'Daten-THGE'!$B$4:$BC$14,Database!$B10,FALSE)</f>
        <v>0</v>
      </c>
      <c r="T52" s="39">
        <f>HLOOKUP($AL$41,'Daten-Dichte'!$B$4:$BC$14,Database!$B10,FALSE)</f>
        <v>0</v>
      </c>
      <c r="U52" s="39">
        <f>HLOOKUP($AL$41,'Daten-Dicke'!$B$4:$BC$14,Database!$B10,FALSE)</f>
        <v>0</v>
      </c>
      <c r="V52" s="44"/>
      <c r="W52" s="49">
        <f t="shared" si="38"/>
        <v>0</v>
      </c>
      <c r="Z52" s="103">
        <v>0</v>
      </c>
      <c r="AA52" s="103">
        <v>0</v>
      </c>
      <c r="AB52" s="103">
        <f t="shared" si="46"/>
        <v>0</v>
      </c>
      <c r="AC52" s="103">
        <f t="shared" si="47"/>
        <v>0</v>
      </c>
      <c r="AD52" s="103">
        <f t="shared" si="48"/>
        <v>0</v>
      </c>
      <c r="AE52" s="103">
        <f t="shared" si="49"/>
        <v>0</v>
      </c>
      <c r="AF52" s="103">
        <f t="shared" si="50"/>
        <v>0</v>
      </c>
      <c r="AG52" s="103">
        <f t="shared" si="51"/>
        <v>0</v>
      </c>
      <c r="AH52" s="103">
        <f t="shared" si="52"/>
        <v>0</v>
      </c>
      <c r="AI52" s="103">
        <f t="shared" si="53"/>
        <v>0</v>
      </c>
      <c r="AJ52" s="103">
        <f t="shared" si="54"/>
        <v>0</v>
      </c>
    </row>
    <row r="53" spans="15:38" ht="15.75" x14ac:dyDescent="0.25">
      <c r="Q53" s="39">
        <f>HLOOKUP($AL$41,'Daten-Zusammensetzung Bauteil'!$B$4:$BC$14,Database!$B11,FALSE)</f>
        <v>0</v>
      </c>
      <c r="R53" s="99">
        <f>HLOOKUP($AL$41,'Daten-Funktion'!$B$4:$BC$14,Database!$B11,FALSE)</f>
        <v>0</v>
      </c>
      <c r="S53" s="39">
        <f>HLOOKUP($AL$41,'Daten-THGE'!$B$4:$BC$14,Database!$B11,FALSE)</f>
        <v>0</v>
      </c>
      <c r="T53" s="39">
        <f>HLOOKUP($AL$41,'Daten-Dichte'!$B$4:$BC$14,Database!$B11,FALSE)</f>
        <v>0</v>
      </c>
      <c r="U53" s="39">
        <f>HLOOKUP($AL$41,'Daten-Dicke'!$B$4:$BC$14,Database!$B11,FALSE)</f>
        <v>0</v>
      </c>
      <c r="V53" s="44"/>
      <c r="W53" s="49">
        <f t="shared" si="38"/>
        <v>0</v>
      </c>
      <c r="Z53" s="103">
        <v>0</v>
      </c>
      <c r="AA53" s="103">
        <v>0</v>
      </c>
      <c r="AB53" s="103">
        <f t="shared" si="46"/>
        <v>0</v>
      </c>
      <c r="AC53" s="103">
        <f t="shared" si="47"/>
        <v>0</v>
      </c>
      <c r="AD53" s="103">
        <f t="shared" si="48"/>
        <v>0</v>
      </c>
      <c r="AE53" s="103">
        <f t="shared" si="49"/>
        <v>0</v>
      </c>
      <c r="AF53" s="103">
        <f t="shared" si="50"/>
        <v>0</v>
      </c>
      <c r="AG53" s="103">
        <f t="shared" si="51"/>
        <v>0</v>
      </c>
      <c r="AH53" s="103">
        <f t="shared" si="52"/>
        <v>0</v>
      </c>
      <c r="AI53" s="103">
        <f t="shared" si="53"/>
        <v>0</v>
      </c>
      <c r="AJ53" s="103">
        <f t="shared" si="54"/>
        <v>0</v>
      </c>
    </row>
    <row r="54" spans="15:38" x14ac:dyDescent="0.25">
      <c r="Z54" s="104">
        <f>SUMPRODUCT(W39:W53*Z39:Z53)/SUM(W39:W53)</f>
        <v>0.29656523510095673</v>
      </c>
      <c r="AA54" s="104">
        <f>SUMPRODUCT(W39:W53*AA39:AA53)/SUM(W39:W53)</f>
        <v>0</v>
      </c>
      <c r="AB54" s="104">
        <f>SUMPRODUCT(W39:W53*AB39:AB53)/SUM(W39:W53)</f>
        <v>4.8372717993772539E-2</v>
      </c>
      <c r="AC54" s="104">
        <f>SUMPRODUCT(W39:W53*AC39:AC53)/SUM(W39:W53)</f>
        <v>2.0394660341728887E-2</v>
      </c>
      <c r="AD54" s="104">
        <f>SUMPRODUCT(W39:W53*AD39:AD53)/SUM(W39:W53)</f>
        <v>9.9275048433238311E-3</v>
      </c>
      <c r="AE54" s="104">
        <f>SUMPRODUCT(W39:W53*AE39:AE53)/SUM(W39:W53)</f>
        <v>0.10677249332066713</v>
      </c>
      <c r="AF54" s="104">
        <f>SUMPRODUCT(W39:W53*AF39:AF53)/SUM(W39:W53)</f>
        <v>0.36148977852971043</v>
      </c>
      <c r="AG54" s="104">
        <f>SUMPRODUCT(W39:W53*AG39:AG53)/SUM(W39:W53)</f>
        <v>0.15647760986984038</v>
      </c>
      <c r="AH54" s="104">
        <f>SUMPRODUCT(W39:W53*AH39:AH53)/SUM(W39:W53)</f>
        <v>0</v>
      </c>
      <c r="AI54" s="104">
        <f>SUMPRODUCT(W39:W53*AI39:AI53)/SUM(W39:W53)</f>
        <v>0</v>
      </c>
      <c r="AJ54" s="104">
        <f>SUMPRODUCT(W39:W53*AJ39:AJ53)/SUM(W39:W53)</f>
        <v>0</v>
      </c>
      <c r="AL54" s="103">
        <f>SUM(Z54:AJ54)</f>
        <v>0.99999999999999989</v>
      </c>
    </row>
    <row r="55" spans="15:38" x14ac:dyDescent="0.25">
      <c r="O55" s="80" t="s">
        <v>241</v>
      </c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</row>
    <row r="56" spans="15:38" ht="20.25" x14ac:dyDescent="0.3">
      <c r="O56" s="78" t="s">
        <v>361</v>
      </c>
      <c r="P56" s="41"/>
      <c r="Q56" s="40" t="s">
        <v>227</v>
      </c>
      <c r="R56" s="93"/>
      <c r="S56" s="40" t="s">
        <v>182</v>
      </c>
      <c r="T56" s="40" t="s">
        <v>226</v>
      </c>
      <c r="U56" s="40" t="s">
        <v>242</v>
      </c>
      <c r="V56" s="42" t="s">
        <v>243</v>
      </c>
      <c r="W56" s="40" t="s">
        <v>193</v>
      </c>
      <c r="X56" s="38" t="s">
        <v>194</v>
      </c>
      <c r="Y56" s="37"/>
    </row>
    <row r="57" spans="15:38" ht="15.75" x14ac:dyDescent="0.25">
      <c r="O57" s="79" t="s">
        <v>187</v>
      </c>
      <c r="P57" s="40" t="s">
        <v>252</v>
      </c>
      <c r="Q57" s="39" t="str">
        <f>HLOOKUP($AL$57,'Daten-Zusammensetzung Bauteil'!$B$4:$BC$14,Database!$B4,FALSE)</f>
        <v>Backstein [kg]</v>
      </c>
      <c r="R57" s="99" t="str">
        <f>MID(HLOOKUP($AL$57,'Daten-Funktion'!$B$4:$BC$14,Database!$B4,FALSE),1,2)</f>
        <v>C2</v>
      </c>
      <c r="S57" s="39">
        <f>HLOOKUP($AL$57,'Daten-THGE'!$B$4:$BC$14,Database!$B4,FALSE)</f>
        <v>4.3E-3</v>
      </c>
      <c r="T57" s="39">
        <f>HLOOKUP($AL$57,'Daten-Dichte'!$B$4:$BC$14,Database!$B4,FALSE)</f>
        <v>900</v>
      </c>
      <c r="U57" s="39">
        <f>HLOOKUP($AL$57,'Daten-Dicke'!$B$4:$BC$14,Database!$B4,FALSE)</f>
        <v>17.5</v>
      </c>
      <c r="V57" s="43"/>
      <c r="W57" s="49">
        <f>IF(V57=0,T57*U57/100*S57,S57*T57*V57/1000)</f>
        <v>0.67725000000000002</v>
      </c>
      <c r="X57" s="50">
        <f>SUM(W57:W71)*Gebäude!$C$40</f>
        <v>1151.9551166666665</v>
      </c>
      <c r="Y57" s="40" t="s">
        <v>244</v>
      </c>
      <c r="AK57" t="str">
        <f>VLOOKUP($B$34,Database!$Y$29:$AD$31,3,FALSE)</f>
        <v>7c</v>
      </c>
      <c r="AL57" t="str">
        <f>IF($O$58=Database!$Y$29,HLOOKUP($O$59,Database!$T$51:$U$52,2,FALSE),IF($O$58=Database!$S$67,VLOOKUP($O$60,Database!$S$72:$T$76,2,FALSE),VLOOKUP($O$60,Database!$S$87:$T$94,2,FALSE)))</f>
        <v>1b</v>
      </c>
    </row>
    <row r="58" spans="15:38" ht="15.75" x14ac:dyDescent="0.25">
      <c r="O58" s="81" t="s">
        <v>232</v>
      </c>
      <c r="P58" s="40"/>
      <c r="Q58" s="39" t="str">
        <f>HLOOKUP($AL$57,'Daten-Zusammensetzung Bauteil'!$B$4:$BC$14,Database!$B5,FALSE)</f>
        <v>Mörtel [kg]</v>
      </c>
      <c r="R58" s="99" t="str">
        <f>MID(HLOOKUP($AL$57,'Daten-Funktion'!$B$4:$BC$14,Database!$B5,FALSE),1,2)</f>
        <v>C2</v>
      </c>
      <c r="S58" s="39">
        <f>HLOOKUP($AL$57,'Daten-THGE'!$B$4:$BC$14,Database!$B5,FALSE)</f>
        <v>4.483333333333334E-3</v>
      </c>
      <c r="T58" s="39">
        <f>HLOOKUP($AL$57,'Daten-Dichte'!$B$4:$BC$14,Database!$B5,FALSE)</f>
        <v>1550</v>
      </c>
      <c r="U58" s="39">
        <f>HLOOKUP($AL$57,'Daten-Dicke'!$B$4:$BC$14,Database!$B5,FALSE)</f>
        <v>3.3290322580645162</v>
      </c>
      <c r="V58" s="43"/>
      <c r="W58" s="49">
        <f t="shared" ref="W58:W62" si="55">IF(V58=0,T58*U58/100*S58,S58*T58*V58/1000)</f>
        <v>0.23134000000000005</v>
      </c>
      <c r="X58" s="39"/>
      <c r="Y58" s="37"/>
      <c r="AL58" t="str">
        <f>IF($O$58=Database!$Y$29,VLOOKUP($O$61,Database!$S$51:$T$60,2,FALSE),IF($O$58=Database!$S$67,VLOOKUP($O$61,Database!$S$72:$T$76,2,FALSE),VLOOKUP($O$61,Database!$S$87:$T$94,2,FALSE)))</f>
        <v>2g</v>
      </c>
    </row>
    <row r="59" spans="15:38" ht="15.75" x14ac:dyDescent="0.25">
      <c r="O59" s="81" t="s">
        <v>304</v>
      </c>
      <c r="P59" s="40"/>
      <c r="Q59" s="39" t="str">
        <f>HLOOKUP($AL$57,'Daten-Zusammensetzung Bauteil'!$B$4:$BC$14,Database!$B6,FALSE)</f>
        <v>Kalk-Zementgrundputz [kg]</v>
      </c>
      <c r="R59" s="99" t="str">
        <f>MID(HLOOKUP($AL$57,'Daten-Funktion'!$B$4:$BC$14,Database!$B6,FALSE),1,2)</f>
        <v>G3</v>
      </c>
      <c r="S59" s="39">
        <f>HLOOKUP($AL$57,'Daten-THGE'!$B$4:$BC$14,Database!$B6,FALSE)</f>
        <v>8.2333333333333338E-3</v>
      </c>
      <c r="T59" s="39">
        <f>HLOOKUP($AL$57,'Daten-Dichte'!$B$4:$BC$14,Database!$B6,FALSE)</f>
        <v>1550</v>
      </c>
      <c r="U59" s="39">
        <f>HLOOKUP($AL$57,'Daten-Dicke'!$B$4:$BC$14,Database!$B6,FALSE)</f>
        <v>1.1612903225806452</v>
      </c>
      <c r="V59" s="44"/>
      <c r="W59" s="49">
        <f t="shared" si="55"/>
        <v>0.14820000000000003</v>
      </c>
      <c r="X59" s="37"/>
      <c r="Y59" s="37"/>
    </row>
    <row r="60" spans="15:38" ht="15.75" x14ac:dyDescent="0.25">
      <c r="O60" s="81" t="s">
        <v>272</v>
      </c>
      <c r="P60" s="37"/>
      <c r="Q60" s="39" t="str">
        <f>HLOOKUP($AL$57,'Daten-Zusammensetzung Bauteil'!$B$4:$BC$14,Database!$B7,FALSE)</f>
        <v>Deckputz (Weissputz) [kg]</v>
      </c>
      <c r="R60" s="99" t="str">
        <f>MID(HLOOKUP($AL$57,'Daten-Funktion'!$B$4:$BC$14,Database!$B7,FALSE),1,2)</f>
        <v>G3</v>
      </c>
      <c r="S60" s="39">
        <f>HLOOKUP($AL$57,'Daten-THGE'!$B$4:$BC$14,Database!$B7,FALSE)</f>
        <v>4.8999999999999998E-3</v>
      </c>
      <c r="T60" s="39">
        <f>HLOOKUP($AL$57,'Daten-Dichte'!$B$4:$BC$14,Database!$B7,FALSE)</f>
        <v>1100</v>
      </c>
      <c r="U60" s="39">
        <f>HLOOKUP($AL$57,'Daten-Dicke'!$B$4:$BC$14,Database!$B7,FALSE)</f>
        <v>0.31818181818181818</v>
      </c>
      <c r="V60" s="44"/>
      <c r="W60" s="49">
        <f t="shared" si="55"/>
        <v>1.7149999999999999E-2</v>
      </c>
      <c r="X60" s="37"/>
      <c r="Y60" s="37"/>
    </row>
    <row r="61" spans="15:38" ht="15.75" x14ac:dyDescent="0.25">
      <c r="O61" s="81" t="s">
        <v>268</v>
      </c>
      <c r="P61" s="37"/>
      <c r="Q61" s="39" t="str">
        <f>HLOOKUP($AL$57,'Daten-Zusammensetzung Bauteil'!$B$4:$BC$14,Database!$B8,FALSE)</f>
        <v>Wanddispersion [m2]</v>
      </c>
      <c r="R61" s="99" t="str">
        <f>MID(HLOOKUP($AL$57,'Daten-Funktion'!$B$4:$BC$14,Database!$B8,FALSE),1,2)</f>
        <v>G3</v>
      </c>
      <c r="S61" s="39">
        <f>HLOOKUP($AL$57,'Daten-THGE'!$B$4:$BC$14,Database!$B8,FALSE)</f>
        <v>0.15111111111111114</v>
      </c>
      <c r="T61" s="39">
        <f>HLOOKUP($AL$57,'Daten-Dichte'!$B$4:$BC$14,Database!$B8,FALSE)</f>
        <v>150</v>
      </c>
      <c r="U61" s="39">
        <f>HLOOKUP($AL$57,'Daten-Dicke'!$B$4:$BC$14,Database!$B8,FALSE)</f>
        <v>0.2</v>
      </c>
      <c r="V61" s="44"/>
      <c r="W61" s="49">
        <f t="shared" si="55"/>
        <v>4.5333333333333344E-2</v>
      </c>
      <c r="X61" s="37"/>
      <c r="Y61" s="37"/>
    </row>
    <row r="62" spans="15:38" ht="15.75" x14ac:dyDescent="0.25">
      <c r="O62" s="76"/>
      <c r="P62" s="37"/>
      <c r="Q62" s="39">
        <f>HLOOKUP($AL$57,'Daten-Zusammensetzung Bauteil'!$B$4:$BC$14,Database!$B9,FALSE)</f>
        <v>0</v>
      </c>
      <c r="R62" s="99" t="str">
        <f>MID(HLOOKUP($AL$57,'Daten-Funktion'!$B$4:$BC$14,Database!$B9,FALSE),1,2)</f>
        <v/>
      </c>
      <c r="S62" s="39">
        <f>HLOOKUP($AL$57,'Daten-THGE'!$B$4:$BC$14,Database!$B9,FALSE)</f>
        <v>0</v>
      </c>
      <c r="T62" s="39">
        <f>HLOOKUP($AL$57,'Daten-Dichte'!$B$4:$BC$14,Database!$B9,FALSE)</f>
        <v>0</v>
      </c>
      <c r="U62" s="39">
        <f>HLOOKUP($AL$57,'Daten-Dicke'!$B$4:$BC$14,Database!$B9,FALSE)</f>
        <v>0</v>
      </c>
      <c r="V62" s="44"/>
      <c r="W62" s="49">
        <f t="shared" si="55"/>
        <v>0</v>
      </c>
      <c r="X62" s="37"/>
      <c r="Y62" s="37"/>
    </row>
    <row r="63" spans="15:38" ht="15.75" x14ac:dyDescent="0.25">
      <c r="O63" s="76"/>
      <c r="P63" s="37"/>
      <c r="Q63" s="39"/>
      <c r="R63" s="99"/>
      <c r="S63" s="39"/>
      <c r="T63" s="39"/>
      <c r="U63" s="39"/>
      <c r="W63" s="49"/>
      <c r="X63" s="37"/>
      <c r="Y63" s="37"/>
    </row>
    <row r="64" spans="15:38" ht="15.75" x14ac:dyDescent="0.25">
      <c r="O64" s="76"/>
      <c r="P64" s="40" t="s">
        <v>107</v>
      </c>
      <c r="Q64" s="39" t="str">
        <f>HLOOKUP($AL$58,'Daten-Zusammensetzung Bauteil'!$B$4:$BC$14,Database!$B4,FALSE)</f>
        <v>Fassadenplatte, Aluverbund, 4 mm</v>
      </c>
      <c r="R64" s="99" t="str">
        <f>HLOOKUP($AL$58,'Daten-Funktion'!$B$4:$BC$14,Database!$B4,FALSE)</f>
        <v>E2.3</v>
      </c>
      <c r="S64" s="39">
        <f>HLOOKUP($AL$58,'Daten-THGE'!$B$4:$BC$14,Database!$B4,FALSE)</f>
        <v>0.15598591549295776</v>
      </c>
      <c r="T64" s="39">
        <f>HLOOKUP($AL$58,'Daten-Dichte'!$B$4:$BC$14,Database!$B4,FALSE)</f>
        <v>1774.9999999999998</v>
      </c>
      <c r="U64" s="39">
        <f>HLOOKUP($AL$58,'Daten-Dicke'!$B$4:$BC$14,Database!$B4,FALSE)</f>
        <v>0.4</v>
      </c>
      <c r="V64" s="44"/>
      <c r="W64" s="49">
        <f t="shared" ref="W64:W71" si="56">IF(V64=0,T64*U64/100*S64,S64*T64*V64/1000)</f>
        <v>1.1075000000000002</v>
      </c>
      <c r="X64" s="37"/>
      <c r="Y64" s="37"/>
    </row>
    <row r="65" spans="15:36" ht="15.75" x14ac:dyDescent="0.25">
      <c r="O65" s="76"/>
      <c r="P65" s="37"/>
      <c r="Q65" s="39" t="str">
        <f>HLOOKUP($AL$58,'Daten-Zusammensetzung Bauteil'!$B$4:$BC$14,Database!$B5,FALSE)</f>
        <v>Aluminiumunterkonstruktion [kg]</v>
      </c>
      <c r="R65" s="99" t="str">
        <f>HLOOKUP($AL$58,'Daten-Funktion'!$B$4:$BC$14,Database!$B5,FALSE)</f>
        <v>E2.4</v>
      </c>
      <c r="S65" s="39">
        <f>HLOOKUP($AL$58,'Daten-THGE'!$B$4:$BC$14,Database!$B5,FALSE)</f>
        <v>0.14274999999999999</v>
      </c>
      <c r="T65" s="39">
        <f>HLOOKUP($AL$58,'Daten-Dichte'!$B$4:$BC$14,Database!$B5,FALSE)</f>
        <v>2690</v>
      </c>
      <c r="U65" s="39">
        <f>HLOOKUP($AL$58,'Daten-Dicke'!$B$4:$BC$14,Database!$B5,FALSE)</f>
        <v>0.12484510532837656</v>
      </c>
      <c r="V65" s="44"/>
      <c r="W65" s="49">
        <f t="shared" si="56"/>
        <v>0.47940208333333278</v>
      </c>
      <c r="X65" s="37"/>
      <c r="Y65" s="37"/>
    </row>
    <row r="66" spans="15:36" ht="15.75" x14ac:dyDescent="0.25">
      <c r="Q66" s="39" t="str">
        <f>HLOOKUP($AL$58,'Daten-Zusammensetzung Bauteil'!$B$4:$BC$14,Database!$B6,FALSE)</f>
        <v>Dämmstoffdübel [kg]</v>
      </c>
      <c r="R66" s="99" t="str">
        <f>HLOOKUP($AL$58,'Daten-Funktion'!$B$4:$BC$14,Database!$B6,FALSE)</f>
        <v>E2.2</v>
      </c>
      <c r="S66" s="39">
        <f>HLOOKUP($AL$58,'Daten-THGE'!$B$4:$BC$14,Database!$B6,FALSE)</f>
        <v>0.24</v>
      </c>
      <c r="T66" s="39">
        <f>HLOOKUP($AL$58,'Daten-Dichte'!$B$4:$BC$14,Database!$B6,FALSE)</f>
        <v>1450</v>
      </c>
      <c r="U66" s="39">
        <f>HLOOKUP($AL$58,'Daten-Dicke'!$B$4:$BC$14,Database!$B6,FALSE)</f>
        <v>8.2758620689655175E-3</v>
      </c>
      <c r="V66" s="44"/>
      <c r="W66" s="49">
        <f t="shared" si="56"/>
        <v>2.8799999999999999E-2</v>
      </c>
    </row>
    <row r="67" spans="15:36" ht="15.75" x14ac:dyDescent="0.25">
      <c r="Q67" s="39" t="str">
        <f>HLOOKUP($AL$58,'Daten-Zusammensetzung Bauteil'!$B$4:$BC$14,Database!$B7,FALSE)</f>
        <v>22 cm Steinwolle (48 kg/m3, 0.034 W/mK) [kg]</v>
      </c>
      <c r="R67" s="99" t="str">
        <f>HLOOKUP($AL$58,'Daten-Funktion'!$B$4:$BC$14,Database!$B7,FALSE)</f>
        <v>E2.2</v>
      </c>
      <c r="S67" s="39">
        <f>HLOOKUP($AL$58,'Daten-THGE'!$B$4:$BC$14,Database!$B7,FALSE)</f>
        <v>2.8249999999999997E-2</v>
      </c>
      <c r="T67" s="39">
        <f>HLOOKUP($AL$58,'Daten-Dichte'!$B$4:$BC$14,Database!$B7,FALSE)</f>
        <v>48</v>
      </c>
      <c r="U67" s="39">
        <f>HLOOKUP($AL$58,'Daten-Dicke'!$B$4:$BC$14,Database!$B7,FALSE)</f>
        <v>22</v>
      </c>
      <c r="V67" s="44"/>
      <c r="W67" s="49">
        <f t="shared" si="56"/>
        <v>0.29831999999999997</v>
      </c>
    </row>
    <row r="68" spans="15:36" ht="15.75" x14ac:dyDescent="0.25">
      <c r="Q68" s="39" t="str">
        <f>HLOOKUP($AL$58,'Daten-Zusammensetzung Bauteil'!$B$4:$BC$14,Database!$B8,FALSE)</f>
        <v>Winpapier (PE Spinnvlies) [kg]</v>
      </c>
      <c r="R68" s="99" t="str">
        <f>HLOOKUP($AL$58,'Daten-Funktion'!$B$4:$BC$14,Database!$B8,FALSE)</f>
        <v>E2.1</v>
      </c>
      <c r="S68" s="39">
        <f>HLOOKUP($AL$58,'Daten-THGE'!$B$4:$BC$14,Database!$B8,FALSE)</f>
        <v>0.13825000000000001</v>
      </c>
      <c r="T68" s="39">
        <f>HLOOKUP($AL$58,'Daten-Dichte'!$B$4:$BC$14,Database!$B8,FALSE)</f>
        <v>920</v>
      </c>
      <c r="U68" s="39">
        <f>HLOOKUP($AL$58,'Daten-Dicke'!$B$4:$BC$14,Database!$B8,FALSE)</f>
        <v>2.391304347826087E-2</v>
      </c>
      <c r="V68" s="44"/>
      <c r="W68" s="49">
        <f t="shared" si="56"/>
        <v>3.0415000000000001E-2</v>
      </c>
    </row>
    <row r="69" spans="15:36" ht="15.75" x14ac:dyDescent="0.25">
      <c r="Q69" s="39">
        <f>HLOOKUP($AL$58,'Daten-Zusammensetzung Bauteil'!$B$4:$BC$14,Database!$B9,FALSE)</f>
        <v>0</v>
      </c>
      <c r="R69" s="99">
        <f>HLOOKUP($AL$58,'Daten-Funktion'!$B$4:$BC$14,Database!$B9,FALSE)</f>
        <v>0</v>
      </c>
      <c r="S69" s="39">
        <f>HLOOKUP($AL$58,'Daten-THGE'!$B$4:$BC$14,Database!$B9,FALSE)</f>
        <v>0</v>
      </c>
      <c r="T69" s="39">
        <f>HLOOKUP($AL$58,'Daten-Dichte'!$B$4:$BC$14,Database!$B9,FALSE)</f>
        <v>0</v>
      </c>
      <c r="U69" s="39">
        <f>HLOOKUP($AL$58,'Daten-Dicke'!$B$4:$BC$14,Database!$B9,FALSE)</f>
        <v>0</v>
      </c>
      <c r="V69" s="44"/>
      <c r="W69" s="49">
        <f t="shared" si="56"/>
        <v>0</v>
      </c>
    </row>
    <row r="70" spans="15:36" ht="15.75" x14ac:dyDescent="0.25">
      <c r="Q70" s="39">
        <f>HLOOKUP($AL$58,'Daten-Zusammensetzung Bauteil'!$B$4:$BC$14,Database!$B10,FALSE)</f>
        <v>0</v>
      </c>
      <c r="R70" s="99">
        <f>HLOOKUP($AL$58,'Daten-Funktion'!$B$4:$BC$14,Database!$B10,FALSE)</f>
        <v>0</v>
      </c>
      <c r="S70" s="39">
        <f>HLOOKUP($AL$58,'Daten-THGE'!$B$4:$BC$14,Database!$B10,FALSE)</f>
        <v>0</v>
      </c>
      <c r="T70" s="39">
        <f>HLOOKUP($AL$58,'Daten-Dichte'!$B$4:$BC$14,Database!$B10,FALSE)</f>
        <v>0</v>
      </c>
      <c r="U70" s="39">
        <f>HLOOKUP($AL$58,'Daten-Dicke'!$B$4:$BC$14,Database!$B10,FALSE)</f>
        <v>0</v>
      </c>
      <c r="V70" s="44"/>
      <c r="W70" s="49">
        <f t="shared" si="56"/>
        <v>0</v>
      </c>
    </row>
    <row r="71" spans="15:36" ht="15.75" x14ac:dyDescent="0.25">
      <c r="Q71" s="39">
        <f>HLOOKUP($AL$58,'Daten-Zusammensetzung Bauteil'!$B$4:$BC$14,Database!$B11,FALSE)</f>
        <v>0</v>
      </c>
      <c r="R71" s="99">
        <f>HLOOKUP($AL$58,'Daten-Funktion'!$B$4:$BC$14,Database!$B11,FALSE)</f>
        <v>0</v>
      </c>
      <c r="S71" s="39">
        <f>HLOOKUP($AL$58,'Daten-THGE'!$B$4:$BC$14,Database!$B11,FALSE)</f>
        <v>0</v>
      </c>
      <c r="T71" s="39">
        <f>HLOOKUP($AL$58,'Daten-Dichte'!$B$4:$BC$14,Database!$B11,FALSE)</f>
        <v>0</v>
      </c>
      <c r="U71" s="39">
        <f>HLOOKUP($AL$58,'Daten-Dicke'!$B$4:$BC$14,Database!$B11,FALSE)</f>
        <v>0</v>
      </c>
      <c r="V71" s="44"/>
      <c r="W71" s="49">
        <f t="shared" si="56"/>
        <v>0</v>
      </c>
    </row>
    <row r="73" spans="15:36" x14ac:dyDescent="0.25"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500-000000000000}">
          <x14:formula1>
            <xm:f>Database!$H$4:$H$6</xm:f>
          </x14:formula1>
          <xm:sqref>B15 O23 B34 O58</xm:sqref>
        </x14:dataValidation>
        <x14:dataValidation type="list" allowBlank="1" showInputMessage="1" showErrorMessage="1" xr:uid="{00000000-0002-0000-0500-000001000000}">
          <x14:formula1>
            <xm:f>Database!$D$4:$D$5</xm:f>
          </x14:formula1>
          <xm:sqref>B16</xm:sqref>
        </x14:dataValidation>
        <x14:dataValidation type="list" allowBlank="1" showInputMessage="1" showErrorMessage="1" xr:uid="{00000000-0002-0000-0500-000002000000}">
          <x14:formula1>
            <xm:f>IF($O$58=Database!$S$28,Database!$S$53:$S$60,IF($O$58=Database!$S$67,Database!$S$73:$S$76,Database!$S$90:$S$94))</xm:f>
          </x14:formula1>
          <xm:sqref>O61</xm:sqref>
        </x14:dataValidation>
        <x14:dataValidation type="list" allowBlank="1" showInputMessage="1" showErrorMessage="1" xr:uid="{00000000-0002-0000-0500-000003000000}">
          <x14:formula1>
            <xm:f>Database!$D$16:$D$17</xm:f>
          </x14:formula1>
          <xm:sqref>O24 O59</xm:sqref>
        </x14:dataValidation>
        <x14:dataValidation type="list" allowBlank="1" showInputMessage="1" showErrorMessage="1" xr:uid="{00000000-0002-0000-0500-000004000000}">
          <x14:formula1>
            <xm:f>Database!$D$14:$D$15</xm:f>
          </x14:formula1>
          <xm:sqref>B17 B35</xm:sqref>
        </x14:dataValidation>
        <x14:dataValidation type="list" allowBlank="1" showInputMessage="1" showErrorMessage="1" xr:uid="{00000000-0002-0000-0500-000005000000}">
          <x14:formula1>
            <xm:f>IF($C$27=Database!$S$81,Database!$S$87:$S$89,Database!$S$87)</xm:f>
          </x14:formula1>
          <xm:sqref>O60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theme="2" tint="-9.9978637043366805E-2"/>
  </sheetPr>
  <dimension ref="B2:AK91"/>
  <sheetViews>
    <sheetView topLeftCell="A28" zoomScale="70" zoomScaleNormal="70" workbookViewId="0">
      <selection activeCell="O36" sqref="O36"/>
    </sheetView>
  </sheetViews>
  <sheetFormatPr defaultColWidth="9.140625" defaultRowHeight="15" x14ac:dyDescent="0.25"/>
  <cols>
    <col min="2" max="2" width="34.42578125" bestFit="1" customWidth="1"/>
    <col min="3" max="3" width="18.42578125" bestFit="1" customWidth="1"/>
    <col min="4" max="4" width="45.140625" bestFit="1" customWidth="1"/>
    <col min="5" max="5" width="9.42578125" style="94" bestFit="1" customWidth="1"/>
    <col min="6" max="6" width="15.42578125" bestFit="1" customWidth="1"/>
    <col min="7" max="7" width="13.42578125" bestFit="1" customWidth="1"/>
    <col min="8" max="8" width="10.42578125" bestFit="1" customWidth="1"/>
    <col min="9" max="9" width="19.85546875" bestFit="1" customWidth="1"/>
    <col min="10" max="10" width="17.42578125" bestFit="1" customWidth="1"/>
    <col min="11" max="11" width="18.85546875" bestFit="1" customWidth="1"/>
    <col min="12" max="12" width="11.85546875" bestFit="1" customWidth="1"/>
    <col min="13" max="13" width="28.28515625" style="98" bestFit="1" customWidth="1"/>
    <col min="14" max="14" width="27.85546875" style="98" bestFit="1" customWidth="1"/>
    <col min="15" max="15" width="27.140625" style="98" bestFit="1" customWidth="1"/>
    <col min="16" max="16" width="30.140625" style="117" bestFit="1" customWidth="1"/>
    <col min="17" max="17" width="18.85546875" style="117" bestFit="1" customWidth="1"/>
    <col min="18" max="18" width="20.7109375" customWidth="1"/>
    <col min="19" max="19" width="34.42578125" bestFit="1" customWidth="1"/>
    <col min="20" max="20" width="18.42578125" bestFit="1" customWidth="1"/>
    <col min="21" max="21" width="45.140625" bestFit="1" customWidth="1"/>
    <col min="22" max="22" width="9.42578125" style="94" bestFit="1" customWidth="1"/>
    <col min="23" max="23" width="15.42578125" bestFit="1" customWidth="1"/>
    <col min="24" max="24" width="13.42578125" bestFit="1" customWidth="1"/>
    <col min="25" max="25" width="10.42578125" bestFit="1" customWidth="1"/>
    <col min="26" max="26" width="19.85546875" bestFit="1" customWidth="1"/>
    <col min="27" max="27" width="17.42578125" bestFit="1" customWidth="1"/>
    <col min="28" max="28" width="18.85546875" bestFit="1" customWidth="1"/>
    <col min="29" max="29" width="11.85546875" customWidth="1"/>
    <col min="30" max="31" width="30" bestFit="1" customWidth="1"/>
    <col min="32" max="32" width="28.42578125" bestFit="1" customWidth="1"/>
    <col min="33" max="33" width="32.42578125" bestFit="1" customWidth="1"/>
    <col min="34" max="34" width="18.85546875" bestFit="1" customWidth="1"/>
    <col min="35" max="35" width="9.140625" style="98" customWidth="1"/>
    <col min="36" max="37" width="5.85546875" customWidth="1"/>
  </cols>
  <sheetData>
    <row r="2" spans="2:37" x14ac:dyDescent="0.25">
      <c r="M2" s="107" t="s">
        <v>394</v>
      </c>
      <c r="N2" s="107" t="s">
        <v>410</v>
      </c>
      <c r="O2" s="107" t="s">
        <v>442</v>
      </c>
      <c r="P2" s="107" t="s">
        <v>412</v>
      </c>
      <c r="Q2" s="107" t="s">
        <v>413</v>
      </c>
      <c r="R2" s="107"/>
      <c r="AD2" s="107" t="s">
        <v>394</v>
      </c>
      <c r="AE2" s="107" t="s">
        <v>410</v>
      </c>
      <c r="AF2" s="107" t="s">
        <v>411</v>
      </c>
      <c r="AG2" s="107" t="s">
        <v>412</v>
      </c>
      <c r="AH2" s="107" t="s">
        <v>413</v>
      </c>
    </row>
    <row r="3" spans="2:37" ht="20.25" x14ac:dyDescent="0.3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M3" s="109"/>
      <c r="N3" s="109"/>
      <c r="O3" s="109"/>
      <c r="P3" s="109"/>
      <c r="Q3" s="109"/>
      <c r="R3" s="37"/>
      <c r="S3" s="41" t="s">
        <v>362</v>
      </c>
      <c r="U3" s="40" t="s">
        <v>227</v>
      </c>
      <c r="V3" s="93" t="s">
        <v>307</v>
      </c>
      <c r="W3" s="40" t="s">
        <v>182</v>
      </c>
      <c r="X3" s="40" t="s">
        <v>226</v>
      </c>
      <c r="Y3" s="40" t="s">
        <v>242</v>
      </c>
      <c r="Z3" s="42" t="s">
        <v>243</v>
      </c>
      <c r="AA3" s="40" t="s">
        <v>193</v>
      </c>
      <c r="AB3" s="38" t="s">
        <v>194</v>
      </c>
      <c r="AC3" s="37"/>
      <c r="AD3" s="109"/>
      <c r="AE3" s="109"/>
      <c r="AF3" s="109"/>
      <c r="AG3" s="109"/>
      <c r="AH3" s="109"/>
      <c r="AJ3" s="12" t="str">
        <f>VLOOKUP($B$5,Database!$H$4:$K$6,4,FALSE)</f>
        <v>10c</v>
      </c>
      <c r="AK3" s="12" t="str">
        <f>VLOOKUP($S$5,Database!$H$4:$K$6,4,FALSE)</f>
        <v>10c</v>
      </c>
    </row>
    <row r="4" spans="2:37" ht="15.75" x14ac:dyDescent="0.25">
      <c r="B4" s="40" t="s">
        <v>229</v>
      </c>
      <c r="C4" s="40" t="s">
        <v>246</v>
      </c>
      <c r="D4" s="39" t="str">
        <f>HLOOKUP($AJ$3,'Daten-Zusammensetzung Bauteil'!$B$4:$BC$11,Database!$B4,FALSE)</f>
        <v>Hochbaubeton 9cm [kg]</v>
      </c>
      <c r="E4" s="99" t="str">
        <f>MID(HLOOKUP($AJ$3,'Daten-Funktion'!$B$4:$BC$11,Database!$B4,FALSE),1,2)</f>
        <v>C4</v>
      </c>
      <c r="F4" s="39">
        <f>HLOOKUP($AJ$3,'Daten-THGE'!$B$4:$BC$11,Database!$B4,FALSE)</f>
        <v>1.6533333333333333E-3</v>
      </c>
      <c r="G4" s="39">
        <f>HLOOKUP($AJ$3,'Daten-Dichte'!$B$4:$BC$11,Database!$B4,FALSE)</f>
        <v>2300</v>
      </c>
      <c r="H4" s="39">
        <f>HLOOKUP($AJ$3,'Daten-Dicke'!$B$4:$BC$11,Database!$B4,FALSE)</f>
        <v>8.9656050955414006</v>
      </c>
      <c r="I4" s="43"/>
      <c r="J4" s="49">
        <f>IF(I4=0,G4*H4/100*F4,F4*G4*I4/1000)</f>
        <v>0.34093207643312101</v>
      </c>
      <c r="K4" s="50">
        <f>SUM(J4:J21)*Gebäude!$C$14*(Gebäude!$C$10-1)</f>
        <v>1770.1840496815284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IF(E4="G2.1",1,0)</f>
        <v>0</v>
      </c>
      <c r="Q4" s="103">
        <f>IF(E4="G2.2",1,0)</f>
        <v>0</v>
      </c>
      <c r="S4" s="40" t="s">
        <v>245</v>
      </c>
      <c r="T4" s="40" t="s">
        <v>246</v>
      </c>
      <c r="U4" s="39" t="str">
        <f>HLOOKUP($AK$3,'Daten-Zusammensetzung Bauteil'!$B$4:$BC$11,Database!$B4,FALSE)</f>
        <v>Hochbaubeton 9cm [kg]</v>
      </c>
      <c r="V4" s="99" t="str">
        <f>MID(HLOOKUP($AK$3,'Daten-Funktion'!$B$4:$BC$11,Database!$B4,FALSE),1,2)</f>
        <v>C4</v>
      </c>
      <c r="W4" s="39">
        <f>HLOOKUP($AK$3,'Daten-THGE'!$B$4:$BC$11,Database!$B4,FALSE)</f>
        <v>1.6533333333333333E-3</v>
      </c>
      <c r="X4" s="39">
        <f>HLOOKUP($AK$3,'Daten-Dichte'!$B$4:$BC$11,Database!$B4,FALSE)</f>
        <v>2300</v>
      </c>
      <c r="Y4" s="39">
        <f>HLOOKUP($AK$3,'Daten-Dicke'!$B$4:$BC$11,Database!$B4,FALSE)</f>
        <v>8.9656050955414006</v>
      </c>
      <c r="Z4" s="43"/>
      <c r="AA4" s="49">
        <f>IF(Z4=0,X4*Y4/100*W4,W4*X4*Z4/1000)</f>
        <v>0.34093207643312101</v>
      </c>
      <c r="AB4" s="50">
        <f>IF($AK$7=0,0,SUM(AA4:AA10)*Gebäude!$C$13*Gebäude!$C$9+SUM('Decke unter &amp; über Terrain'!AA12:AA15)*Gebäude!$C$13+SUM('Decke unter &amp; über Terrain'!AA17:AA21)*Gebäude!$C$13*Gebäude!$C$9)</f>
        <v>0</v>
      </c>
      <c r="AC4" s="40" t="s">
        <v>244</v>
      </c>
      <c r="AD4" s="103">
        <f>IF(V4="C4",1,0)</f>
        <v>1</v>
      </c>
      <c r="AE4" s="103">
        <f>IF(V4="G4.1",1,0)</f>
        <v>0</v>
      </c>
      <c r="AF4" s="103">
        <f>IF(V4="G4.2",1,0)</f>
        <v>0</v>
      </c>
      <c r="AG4" s="103">
        <f>IF(V4="G2.1",1,0)</f>
        <v>0</v>
      </c>
      <c r="AH4" s="103">
        <v>0</v>
      </c>
      <c r="AI4"/>
      <c r="AJ4" s="65" t="str">
        <f>IF(AND($B$5=Database!$H$6,B6="Mit abgehängte Installationsdecke-Mischbau"),"11c",IF($B$6=Database!$D$8,0,VLOOKUP($B$6,Database!D6:E8,2,FALSE)))</f>
        <v>11c</v>
      </c>
      <c r="AK4" s="12" t="str">
        <f>IF(AND($S$5=Database!$H$6,$S$6=Database!$D$7),"11c",IF(AND($S$6=Database!$D$8,'Decke unter &amp; über Terrain'!$S$8=Database!$D$10,$S$5&lt;&gt;Database!$H$6),"11a",VLOOKUP($S$6,Database!$D$6:$E$15,2,FALSE)))</f>
        <v>11c</v>
      </c>
    </row>
    <row r="5" spans="2:37" ht="15.75" x14ac:dyDescent="0.25">
      <c r="B5" s="40" t="str">
        <f>Gebäude!$G$4</f>
        <v>Mischbauweise</v>
      </c>
      <c r="C5" s="40"/>
      <c r="D5" s="39" t="str">
        <f>HLOOKUP($AJ$3,'Daten-Zusammensetzung Bauteil'!$B$4:$BC$11,Database!$B5,FALSE)</f>
        <v>Armierungsstahl [kg]</v>
      </c>
      <c r="E5" s="99" t="str">
        <f>MID(HLOOKUP($AJ$3,'Daten-Funktion'!$B$4:$BC$11,Database!$B5,FALSE),1,2)</f>
        <v>C4</v>
      </c>
      <c r="F5" s="39">
        <f>HLOOKUP($AJ$3,'Daten-THGE'!$B$4:$BC$11,Database!$B5,FALSE)</f>
        <v>1.1366666666666667E-2</v>
      </c>
      <c r="G5" s="39">
        <f>HLOOKUP($AJ$3,'Daten-Dichte'!$B$4:$BC$11,Database!$B5,FALSE)</f>
        <v>7850</v>
      </c>
      <c r="H5" s="39">
        <f>HLOOKUP($AJ$3,'Daten-Dicke'!$B$4:$BC$11,Database!$B5,FALSE)</f>
        <v>3.4394904458598725E-2</v>
      </c>
      <c r="I5" s="43"/>
      <c r="J5" s="49">
        <f t="shared" ref="J5:J10" si="0">IF(I5=0,G5*H5/100*F5,F5*G5*I5/1000)</f>
        <v>3.0690000000000002E-2</v>
      </c>
      <c r="K5" s="39"/>
      <c r="L5" s="37"/>
      <c r="M5" s="103">
        <f t="shared" ref="M5:M10" si="1">IF(E5="C4",1,0)</f>
        <v>1</v>
      </c>
      <c r="N5" s="103">
        <f t="shared" ref="N5:N21" si="2">IF(E5="G4.1",1,0)</f>
        <v>0</v>
      </c>
      <c r="O5" s="103">
        <f t="shared" ref="O5:O21" si="3">IF(E5="G4.2",1,0)</f>
        <v>0</v>
      </c>
      <c r="P5" s="103">
        <f t="shared" ref="P5:P21" si="4">IF(E5="G2.1",1,0)</f>
        <v>0</v>
      </c>
      <c r="Q5" s="103">
        <f t="shared" ref="Q5:Q21" si="5">IF(E5="G2.2",1,0)</f>
        <v>0</v>
      </c>
      <c r="S5" s="40" t="str">
        <f>Gebäude!$G$4</f>
        <v>Mischbauweise</v>
      </c>
      <c r="T5" s="40"/>
      <c r="U5" s="39" t="str">
        <f>HLOOKUP($AK$3,'Daten-Zusammensetzung Bauteil'!$B$4:$BC$11,Database!$B5,FALSE)</f>
        <v>Armierungsstahl [kg]</v>
      </c>
      <c r="V5" s="99" t="str">
        <f>MID(HLOOKUP($AK$3,'Daten-Funktion'!$B$4:$BC$11,Database!$B5,FALSE),1,2)</f>
        <v>C4</v>
      </c>
      <c r="W5" s="39">
        <f>HLOOKUP($AK$3,'Daten-THGE'!$B$4:$BC$11,Database!$B5,FALSE)</f>
        <v>1.1366666666666667E-2</v>
      </c>
      <c r="X5" s="39">
        <f>HLOOKUP($AK$3,'Daten-Dichte'!$B$4:$BC$11,Database!$B5,FALSE)</f>
        <v>7850</v>
      </c>
      <c r="Y5" s="39">
        <f>HLOOKUP($AK$3,'Daten-Dicke'!$B$4:$BC$11,Database!$B5,FALSE)</f>
        <v>3.4394904458598725E-2</v>
      </c>
      <c r="Z5" s="43"/>
      <c r="AA5" s="49">
        <f t="shared" ref="AA5:AA10" si="6">IF(Z5=0,X5*Y5/100*W5,W5*X5*Z5/1000)</f>
        <v>3.0690000000000002E-2</v>
      </c>
      <c r="AB5" s="39"/>
      <c r="AC5" s="37"/>
      <c r="AD5" s="103">
        <f t="shared" ref="AD5:AD10" si="7">IF(V5="C4",1,0)</f>
        <v>1</v>
      </c>
      <c r="AE5" s="103">
        <f t="shared" ref="AE5:AE10" si="8">IF(V5="G4.1",1,0)</f>
        <v>0</v>
      </c>
      <c r="AF5" s="103">
        <f t="shared" ref="AF5:AF10" si="9">IF(V5="G4.2",1,0)</f>
        <v>0</v>
      </c>
      <c r="AG5" s="103">
        <f t="shared" ref="AG5:AG21" si="10">IF(V5="G2.1",1,0)</f>
        <v>0</v>
      </c>
      <c r="AH5" s="103">
        <v>0</v>
      </c>
      <c r="AI5"/>
      <c r="AJ5" s="12" t="str">
        <f>VLOOKUP($B$7,Database!$D$6:$E$15,2,FALSE)</f>
        <v>12d</v>
      </c>
      <c r="AK5" s="12" t="str">
        <f>VLOOKUP($S$7,Database!$D$6:$E$15,2,FALSE)</f>
        <v>12d</v>
      </c>
    </row>
    <row r="6" spans="2:37" ht="15.75" x14ac:dyDescent="0.25">
      <c r="B6" s="37" t="str">
        <f>Gebäude!G7</f>
        <v>Mit abgehängte Installationsdecke-Mischbau</v>
      </c>
      <c r="C6" s="37"/>
      <c r="D6" s="39" t="str">
        <f>HLOOKUP($AJ$3,'Daten-Zusammensetzung Bauteil'!$B$4:$BC$11,Database!$B6,FALSE)</f>
        <v>Nadelschnittholz [kg]</v>
      </c>
      <c r="E6" s="99" t="str">
        <f>MID(HLOOKUP($AJ$3,'Daten-Funktion'!$B$4:$BC$11,Database!$B6,FALSE),1,2)</f>
        <v>C4</v>
      </c>
      <c r="F6" s="39">
        <f>HLOOKUP($AJ$3,'Daten-THGE'!$B$4:$BC$11,Database!$B6,FALSE)</f>
        <v>1.6833333333333333E-3</v>
      </c>
      <c r="G6" s="39">
        <f>HLOOKUP($AJ$3,'Daten-Dichte'!$B$4:$BC$11,Database!$B6,FALSE)</f>
        <v>485</v>
      </c>
      <c r="H6" s="39">
        <f>HLOOKUP($AJ$3,'Daten-Dicke'!$B$4:$BC$11,Database!$B6,FALSE)</f>
        <v>13</v>
      </c>
      <c r="I6" s="44"/>
      <c r="J6" s="49">
        <f t="shared" si="0"/>
        <v>0.10613416666666667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S6" s="37" t="str">
        <f>Gebäude!G8</f>
        <v>Mit abgehängte Installationsdecke-Mischbau</v>
      </c>
      <c r="T6" s="37"/>
      <c r="U6" s="39" t="str">
        <f>HLOOKUP($AK$3,'Daten-Zusammensetzung Bauteil'!$B$4:$BC$11,Database!$B6,FALSE)</f>
        <v>Nadelschnittholz [kg]</v>
      </c>
      <c r="V6" s="99" t="str">
        <f>MID(HLOOKUP($AK$3,'Daten-Funktion'!$B$4:$BC$11,Database!$B6,FALSE),1,2)</f>
        <v>C4</v>
      </c>
      <c r="W6" s="39">
        <f>HLOOKUP($AK$3,'Daten-THGE'!$B$4:$BC$11,Database!$B6,FALSE)</f>
        <v>1.6833333333333333E-3</v>
      </c>
      <c r="X6" s="39">
        <f>HLOOKUP($AK$3,'Daten-Dichte'!$B$4:$BC$11,Database!$B6,FALSE)</f>
        <v>485</v>
      </c>
      <c r="Y6" s="39">
        <f>HLOOKUP($AK$3,'Daten-Dicke'!$B$4:$BC$11,Database!$B6,FALSE)</f>
        <v>13</v>
      </c>
      <c r="Z6" s="44"/>
      <c r="AA6" s="49">
        <f t="shared" si="6"/>
        <v>0.10613416666666667</v>
      </c>
      <c r="AB6" s="37"/>
      <c r="AC6" s="37"/>
      <c r="AD6" s="103">
        <f t="shared" si="7"/>
        <v>1</v>
      </c>
      <c r="AE6" s="103">
        <f t="shared" si="8"/>
        <v>0</v>
      </c>
      <c r="AF6" s="103">
        <f t="shared" si="9"/>
        <v>0</v>
      </c>
      <c r="AG6" s="103">
        <f t="shared" si="10"/>
        <v>0</v>
      </c>
      <c r="AH6" s="103">
        <v>0</v>
      </c>
      <c r="AI6"/>
      <c r="AJ6" s="12"/>
      <c r="AK6" s="12"/>
    </row>
    <row r="7" spans="2:37" ht="15.75" x14ac:dyDescent="0.25">
      <c r="B7" s="37" t="str">
        <f>Gebäude!G9</f>
        <v>Bodenbelag mit Keramik</v>
      </c>
      <c r="C7" s="37"/>
      <c r="D7" s="39" t="str">
        <f>HLOOKUP($AJ$3,'Daten-Zusammensetzung Bauteil'!$B$4:$BC$11,Database!$B7,FALSE)</f>
        <v>Nadelschnittholz [kg]</v>
      </c>
      <c r="E7" s="99" t="str">
        <f>HLOOKUP($AJ$3,'Daten-Funktion'!$B$4:$BC$11,Database!$B7,FALSE)</f>
        <v>G4.1</v>
      </c>
      <c r="F7" s="39">
        <f>HLOOKUP($AJ$3,'Daten-THGE'!$B$4:$BC$11,Database!$B7,FALSE)</f>
        <v>3.3666666666666667E-3</v>
      </c>
      <c r="G7" s="39">
        <f>HLOOKUP($AJ$3,'Daten-Dichte'!$B$4:$BC$11,Database!$B7,FALSE)</f>
        <v>485</v>
      </c>
      <c r="H7" s="39">
        <f>HLOOKUP($AJ$3,'Daten-Dicke'!$B$4:$BC$11,Database!$B7,FALSE)</f>
        <v>0.4</v>
      </c>
      <c r="I7" s="44"/>
      <c r="J7" s="49">
        <f t="shared" si="0"/>
        <v>6.5313333333333334E-3</v>
      </c>
      <c r="K7" s="37"/>
      <c r="L7" s="37"/>
      <c r="M7" s="103">
        <f t="shared" si="1"/>
        <v>0</v>
      </c>
      <c r="N7" s="103">
        <f t="shared" si="2"/>
        <v>1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S7" s="37" t="str">
        <f>Gebäude!G10</f>
        <v>Bodenbelag mit Keramik</v>
      </c>
      <c r="T7" s="37"/>
      <c r="U7" s="39" t="str">
        <f>HLOOKUP($AK$3,'Daten-Zusammensetzung Bauteil'!$B$4:$BC$11,Database!$B7,FALSE)</f>
        <v>Nadelschnittholz [kg]</v>
      </c>
      <c r="V7" s="99" t="str">
        <f>HLOOKUP($AK$3,'Daten-Funktion'!$B$4:$BC$11,Database!$B7,FALSE)</f>
        <v>G4.1</v>
      </c>
      <c r="W7" s="39">
        <f>HLOOKUP($AK$3,'Daten-THGE'!$B$4:$BC$11,Database!$B7,FALSE)</f>
        <v>3.3666666666666667E-3</v>
      </c>
      <c r="X7" s="39">
        <f>HLOOKUP($AK$3,'Daten-Dichte'!$B$4:$BC$11,Database!$B7,FALSE)</f>
        <v>485</v>
      </c>
      <c r="Y7" s="39">
        <f>HLOOKUP($AK$3,'Daten-Dicke'!$B$4:$BC$11,Database!$B7,FALSE)</f>
        <v>0.4</v>
      </c>
      <c r="Z7" s="44"/>
      <c r="AA7" s="49">
        <f t="shared" si="6"/>
        <v>6.5313333333333334E-3</v>
      </c>
      <c r="AB7" s="37"/>
      <c r="AC7" s="37"/>
      <c r="AD7" s="103">
        <f t="shared" si="7"/>
        <v>0</v>
      </c>
      <c r="AE7" s="103">
        <f t="shared" si="8"/>
        <v>1</v>
      </c>
      <c r="AF7" s="103">
        <f t="shared" si="9"/>
        <v>0</v>
      </c>
      <c r="AG7" s="103">
        <f t="shared" si="10"/>
        <v>0</v>
      </c>
      <c r="AH7" s="103">
        <v>0</v>
      </c>
      <c r="AI7"/>
      <c r="AJ7" s="12">
        <f>IF($B$8=Database!$D$14,1,0)</f>
        <v>0</v>
      </c>
      <c r="AK7" s="12">
        <f>IF($S$9=Database!$D$14,1,0)</f>
        <v>0</v>
      </c>
    </row>
    <row r="8" spans="2:37" ht="15.75" x14ac:dyDescent="0.25">
      <c r="B8" s="37" t="str">
        <f>Gebäude!G5</f>
        <v>Ohne UG</v>
      </c>
      <c r="C8" s="37"/>
      <c r="D8" s="39" t="str">
        <f>HLOOKUP($AJ$3,'Daten-Zusammensetzung Bauteil'!$B$4:$BC$11,Database!$B8,FALSE)</f>
        <v>Gipskartonplatte [kg]</v>
      </c>
      <c r="E8" s="99" t="str">
        <f>HLOOKUP($AJ$3,'Daten-Funktion'!$B$4:$BC$11,Database!$B8,FALSE)</f>
        <v>G4.1</v>
      </c>
      <c r="F8" s="39">
        <f>HLOOKUP($AJ$3,'Daten-THGE'!$B$4:$BC$11,Database!$B8,FALSE)</f>
        <v>9.7666666666666666E-3</v>
      </c>
      <c r="G8" s="39">
        <f>HLOOKUP($AJ$3,'Daten-Dichte'!$B$4:$BC$11,Database!$B8,FALSE)</f>
        <v>850</v>
      </c>
      <c r="H8" s="39">
        <f>HLOOKUP($AJ$3,'Daten-Dicke'!$B$4:$BC$11,Database!$B8,FALSE)</f>
        <v>1.25</v>
      </c>
      <c r="I8" s="44"/>
      <c r="J8" s="49">
        <f t="shared" si="0"/>
        <v>0.10377083333333333</v>
      </c>
      <c r="K8" s="37"/>
      <c r="L8" s="37"/>
      <c r="M8" s="103">
        <f t="shared" si="1"/>
        <v>0</v>
      </c>
      <c r="N8" s="103">
        <f t="shared" si="2"/>
        <v>1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S8" s="37" t="str">
        <f>Gebäude!G11</f>
        <v>Mit Dämmung</v>
      </c>
      <c r="T8" s="37"/>
      <c r="U8" s="39" t="str">
        <f>HLOOKUP($AK$3,'Daten-Zusammensetzung Bauteil'!$B$4:$BC$11,Database!$B8,FALSE)</f>
        <v>Gipskartonplatte [kg]</v>
      </c>
      <c r="V8" s="99" t="str">
        <f>HLOOKUP($AK$3,'Daten-Funktion'!$B$4:$BC$11,Database!$B8,FALSE)</f>
        <v>G4.1</v>
      </c>
      <c r="W8" s="39">
        <f>HLOOKUP($AK$3,'Daten-THGE'!$B$4:$BC$11,Database!$B8,FALSE)</f>
        <v>9.7666666666666666E-3</v>
      </c>
      <c r="X8" s="39">
        <f>HLOOKUP($AK$3,'Daten-Dichte'!$B$4:$BC$11,Database!$B8,FALSE)</f>
        <v>850</v>
      </c>
      <c r="Y8" s="39">
        <f>HLOOKUP($AK$3,'Daten-Dicke'!$B$4:$BC$11,Database!$B8,FALSE)</f>
        <v>1.25</v>
      </c>
      <c r="Z8" s="44"/>
      <c r="AA8" s="49">
        <f t="shared" si="6"/>
        <v>0.10377083333333333</v>
      </c>
      <c r="AB8" s="37"/>
      <c r="AC8" s="37"/>
      <c r="AD8" s="103">
        <f t="shared" si="7"/>
        <v>0</v>
      </c>
      <c r="AE8" s="103">
        <f t="shared" si="8"/>
        <v>1</v>
      </c>
      <c r="AF8" s="103">
        <f t="shared" si="9"/>
        <v>0</v>
      </c>
      <c r="AG8" s="103">
        <f t="shared" si="10"/>
        <v>0</v>
      </c>
      <c r="AH8" s="103">
        <v>0</v>
      </c>
      <c r="AI8"/>
      <c r="AJ8" s="12"/>
      <c r="AK8" s="12"/>
    </row>
    <row r="9" spans="2:37" ht="15.75" x14ac:dyDescent="0.25">
      <c r="C9" s="37"/>
      <c r="D9" s="39" t="str">
        <f>HLOOKUP($AJ$3,'Daten-Zusammensetzung Bauteil'!$B$4:$BC$11,Database!$B9,FALSE)</f>
        <v>Spachtel [kg]</v>
      </c>
      <c r="E9" s="99" t="str">
        <f>HLOOKUP($AJ$3,'Daten-Funktion'!$B$4:$BC$11,Database!$B9,FALSE)</f>
        <v>G4.2</v>
      </c>
      <c r="F9" s="39">
        <f>HLOOKUP($AJ$3,'Daten-THGE'!$B$4:$BC$11,Database!$B9,FALSE)</f>
        <v>5.1666666666666666E-3</v>
      </c>
      <c r="G9" s="39">
        <f>HLOOKUP($AJ$3,'Daten-Dichte'!$B$4:$BC$11,Database!$B9,FALSE)</f>
        <v>925</v>
      </c>
      <c r="H9" s="39">
        <f>HLOOKUP($AJ$3,'Daten-Dicke'!$B$4:$BC$11,Database!$B9,FALSE)</f>
        <v>0.60540540540540544</v>
      </c>
      <c r="I9" s="44"/>
      <c r="J9" s="49">
        <f t="shared" si="0"/>
        <v>2.8933333333333332E-2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1</v>
      </c>
      <c r="P9" s="103">
        <f t="shared" si="4"/>
        <v>0</v>
      </c>
      <c r="Q9" s="103">
        <f t="shared" si="5"/>
        <v>0</v>
      </c>
      <c r="S9" s="37" t="str">
        <f>Gebäude!G5</f>
        <v>Ohne UG</v>
      </c>
      <c r="T9" s="37"/>
      <c r="U9" s="39" t="str">
        <f>HLOOKUP($AK$3,'Daten-Zusammensetzung Bauteil'!$B$4:$BC$11,Database!$B9,FALSE)</f>
        <v>Spachtel [kg]</v>
      </c>
      <c r="V9" s="99" t="str">
        <f>HLOOKUP($AK$3,'Daten-Funktion'!$B$4:$BC$11,Database!$B9,FALSE)</f>
        <v>G4.2</v>
      </c>
      <c r="W9" s="39">
        <f>HLOOKUP($AK$3,'Daten-THGE'!$B$4:$BC$11,Database!$B9,FALSE)</f>
        <v>5.1666666666666666E-3</v>
      </c>
      <c r="X9" s="39">
        <f>HLOOKUP($AK$3,'Daten-Dichte'!$B$4:$BC$11,Database!$B9,FALSE)</f>
        <v>925</v>
      </c>
      <c r="Y9" s="39">
        <f>HLOOKUP($AK$3,'Daten-Dicke'!$B$4:$BC$11,Database!$B9,FALSE)</f>
        <v>0.60540540540540544</v>
      </c>
      <c r="Z9" s="44"/>
      <c r="AA9" s="49">
        <f t="shared" si="6"/>
        <v>2.8933333333333332E-2</v>
      </c>
      <c r="AB9" s="37"/>
      <c r="AC9" s="37"/>
      <c r="AD9" s="103">
        <f t="shared" si="7"/>
        <v>0</v>
      </c>
      <c r="AE9" s="103">
        <f t="shared" si="8"/>
        <v>0</v>
      </c>
      <c r="AF9" s="103">
        <f t="shared" si="9"/>
        <v>1</v>
      </c>
      <c r="AG9" s="103">
        <f t="shared" si="10"/>
        <v>0</v>
      </c>
      <c r="AH9" s="103">
        <v>0</v>
      </c>
      <c r="AI9"/>
      <c r="AJ9" s="12"/>
      <c r="AK9" s="12"/>
    </row>
    <row r="10" spans="2:37" ht="15.75" x14ac:dyDescent="0.25">
      <c r="B10" s="37"/>
      <c r="C10" s="37"/>
      <c r="D10" s="39" t="str">
        <f>HLOOKUP($AJ$3,'Daten-Zusammensetzung Bauteil'!$B$4:$BC$11,Database!$B10,FALSE)</f>
        <v>Wanddispersion [m2]</v>
      </c>
      <c r="E10" s="99" t="str">
        <f>HLOOKUP($AJ$3,'Daten-Funktion'!$B$4:$BC$11,Database!$B10,FALSE)</f>
        <v>G4.2</v>
      </c>
      <c r="F10" s="39">
        <f>HLOOKUP($AJ$3,'Daten-THGE'!$B$4:$BC$11,Database!$B10,FALSE)</f>
        <v>0.15111111111111114</v>
      </c>
      <c r="G10" s="39">
        <f>HLOOKUP($AJ$3,'Daten-Dichte'!$B$4:$BC$11,Database!$B10,FALSE)</f>
        <v>150</v>
      </c>
      <c r="H10" s="39">
        <f>HLOOKUP($AJ$3,'Daten-Dicke'!$B$4:$BC$11,Database!$B10,FALSE)</f>
        <v>0.2</v>
      </c>
      <c r="I10" s="44"/>
      <c r="J10" s="49">
        <f t="shared" si="0"/>
        <v>4.5333333333333344E-2</v>
      </c>
      <c r="K10" s="37"/>
      <c r="L10" s="37"/>
      <c r="M10" s="103">
        <f t="shared" si="1"/>
        <v>0</v>
      </c>
      <c r="N10" s="103">
        <f t="shared" si="2"/>
        <v>0</v>
      </c>
      <c r="O10" s="103">
        <f t="shared" si="3"/>
        <v>1</v>
      </c>
      <c r="P10" s="103">
        <f t="shared" si="4"/>
        <v>0</v>
      </c>
      <c r="Q10" s="103">
        <f t="shared" si="5"/>
        <v>0</v>
      </c>
      <c r="S10" s="37"/>
      <c r="T10" s="37"/>
      <c r="U10" s="39" t="str">
        <f>HLOOKUP($AK$3,'Daten-Zusammensetzung Bauteil'!$B$4:$BC$11,Database!$B10,FALSE)</f>
        <v>Wanddispersion [m2]</v>
      </c>
      <c r="V10" s="99" t="str">
        <f>HLOOKUP($AK$3,'Daten-Funktion'!$B$4:$BC$11,Database!$B10,FALSE)</f>
        <v>G4.2</v>
      </c>
      <c r="W10" s="39">
        <f>HLOOKUP($AK$3,'Daten-THGE'!$B$4:$BC$11,Database!$B10,FALSE)</f>
        <v>0.15111111111111114</v>
      </c>
      <c r="X10" s="39">
        <f>HLOOKUP($AK$3,'Daten-Dichte'!$B$4:$BC$11,Database!$B10,FALSE)</f>
        <v>150</v>
      </c>
      <c r="Y10" s="39">
        <f>HLOOKUP($AK$3,'Daten-Dicke'!$B$4:$BC$11,Database!$B10,FALSE)</f>
        <v>0.2</v>
      </c>
      <c r="Z10" s="44"/>
      <c r="AA10" s="49">
        <f t="shared" si="6"/>
        <v>4.5333333333333344E-2</v>
      </c>
      <c r="AB10" s="37"/>
      <c r="AC10" s="37"/>
      <c r="AD10" s="103">
        <f t="shared" si="7"/>
        <v>0</v>
      </c>
      <c r="AE10" s="103">
        <f t="shared" si="8"/>
        <v>0</v>
      </c>
      <c r="AF10" s="103">
        <f t="shared" si="9"/>
        <v>1</v>
      </c>
      <c r="AG10" s="103">
        <f t="shared" si="10"/>
        <v>0</v>
      </c>
      <c r="AH10" s="103">
        <v>0</v>
      </c>
      <c r="AI10"/>
      <c r="AJ10" s="12"/>
      <c r="AK10" s="12"/>
    </row>
    <row r="11" spans="2:37" ht="15.75" x14ac:dyDescent="0.25">
      <c r="B11" s="37"/>
      <c r="F11" s="39"/>
      <c r="G11" s="39"/>
      <c r="H11" s="39"/>
      <c r="I11" s="39"/>
      <c r="J11" s="49"/>
      <c r="K11" s="37"/>
      <c r="L11" s="37"/>
      <c r="M11" s="109"/>
      <c r="N11" s="117"/>
      <c r="O11" s="117"/>
      <c r="R11" s="37"/>
      <c r="S11" s="37"/>
      <c r="U11" s="39"/>
      <c r="V11" s="99"/>
      <c r="W11" s="39"/>
      <c r="X11" s="39"/>
      <c r="Y11" s="39"/>
      <c r="Z11" s="39"/>
      <c r="AA11" s="49"/>
      <c r="AB11" s="37"/>
      <c r="AC11" s="37"/>
      <c r="AD11" s="109"/>
      <c r="AE11" s="117"/>
      <c r="AF11" s="117"/>
      <c r="AG11" s="117"/>
      <c r="AH11" s="117"/>
      <c r="AI11" s="37"/>
      <c r="AJ11" s="12"/>
      <c r="AK11" s="12"/>
    </row>
    <row r="12" spans="2:37" ht="15.75" x14ac:dyDescent="0.25">
      <c r="B12" s="37"/>
      <c r="C12" s="40" t="s">
        <v>247</v>
      </c>
      <c r="D12" s="39" t="str">
        <f>IF($AJ$4=0,0,HLOOKUP($AJ$4,'Daten-Zusammensetzung Bauteil'!$B$4:$BC$8,Database!$B4,FALSE))</f>
        <v>Stahlblech verzinkt [kg]</v>
      </c>
      <c r="E12" s="99" t="str">
        <f>IF($AJ$4=0,0,HLOOKUP($AJ$4,'Daten-Funktion'!$B$4:$BC$8,Database!$B4,FALSE))</f>
        <v>G4.2</v>
      </c>
      <c r="F12" s="39">
        <f>IF($AJ$4=0,0,HLOOKUP($AJ$4,'Daten-THGE'!$B$4:$BC$8,Database!$B4,FALSE))</f>
        <v>0.11699999999999999</v>
      </c>
      <c r="G12" s="39">
        <f>IF($AJ$4=0,0,HLOOKUP($AJ$4,'Daten-Dichte'!$B$4:$BC$8,Database!$B4,FALSE))</f>
        <v>7850</v>
      </c>
      <c r="H12" s="39">
        <f>IF($AJ$4=0,0,HLOOKUP($AJ$4,'Daten-Dicke'!$B$4:$BC$8,Database!$B4,FALSE))</f>
        <v>0.06</v>
      </c>
      <c r="I12" s="44"/>
      <c r="J12" s="49">
        <f>IF(I12=0,G12*H12/100*F12,F12*G12*I12/1000)</f>
        <v>0.55106999999999995</v>
      </c>
      <c r="K12" s="37"/>
      <c r="L12" s="37"/>
      <c r="M12" s="103">
        <f>IF(E12="Rohbau",1,0)</f>
        <v>0</v>
      </c>
      <c r="N12" s="103">
        <f t="shared" si="2"/>
        <v>0</v>
      </c>
      <c r="O12" s="103">
        <f t="shared" si="3"/>
        <v>1</v>
      </c>
      <c r="P12" s="103">
        <f t="shared" si="4"/>
        <v>0</v>
      </c>
      <c r="Q12" s="103">
        <f t="shared" si="5"/>
        <v>0</v>
      </c>
      <c r="S12" s="37"/>
      <c r="T12" s="40" t="s">
        <v>247</v>
      </c>
      <c r="U12" s="39" t="str">
        <f>IF($AK$4=0,0,HLOOKUP($AK$4,'Daten-Zusammensetzung Bauteil'!$B$4:$BC$8,Database!$B4,FALSE))</f>
        <v>Stahlblech verzinkt [kg]</v>
      </c>
      <c r="V12" s="99" t="str">
        <f>IF($AK$4=0,0,HLOOKUP($AK$4,'Daten-Funktion'!$B$4:$BC$8,Database!$B4,FALSE))</f>
        <v>G4.2</v>
      </c>
      <c r="W12" s="39">
        <f>IF($AK$4=0,0,HLOOKUP($AK$4,'Daten-THGE'!$B$4:$BC$8,Database!$B4,FALSE))</f>
        <v>0.11699999999999999</v>
      </c>
      <c r="X12" s="39">
        <f>IF($AK$4=0,0,HLOOKUP($AK$4,'Daten-Dichte'!$B$4:$BC$8,Database!$B4,FALSE))</f>
        <v>7850</v>
      </c>
      <c r="Y12" s="39">
        <f>IF($AK$4=0,0,HLOOKUP($AK$4,'Daten-Dicke'!$B$4:$BC$8,Database!$B4,FALSE))</f>
        <v>0.06</v>
      </c>
      <c r="Z12" s="44"/>
      <c r="AA12" s="49">
        <f>IF(Z12=0,X12*Y12/100*W12,W12*X12*Z12/1000)</f>
        <v>0.55106999999999995</v>
      </c>
      <c r="AB12" s="37"/>
      <c r="AC12" s="37"/>
      <c r="AD12" s="103">
        <f>IF(V12="Rohbau",1,0)</f>
        <v>0</v>
      </c>
      <c r="AE12" s="103">
        <f>IF(V12="G4.1",1,0)</f>
        <v>0</v>
      </c>
      <c r="AF12" s="103">
        <f>IF(V12="G4.2",1,0)</f>
        <v>1</v>
      </c>
      <c r="AG12" s="103">
        <f t="shared" si="10"/>
        <v>0</v>
      </c>
      <c r="AH12" s="103">
        <v>0</v>
      </c>
      <c r="AI12"/>
      <c r="AJ12" s="12"/>
      <c r="AK12" s="12"/>
    </row>
    <row r="13" spans="2:37" ht="15.75" x14ac:dyDescent="0.25">
      <c r="B13" s="37"/>
      <c r="D13" s="39" t="str">
        <f>IF($AJ$4=0,0,HLOOKUP($AJ$4,'Daten-Zusammensetzung Bauteil'!$B$4:$BC$8,Database!$B5,FALSE))</f>
        <v>Pulverbeschichten Stahl [m2]</v>
      </c>
      <c r="E13" s="99" t="str">
        <f>IF($AJ$4=0,0,HLOOKUP($AJ$4,'Daten-Funktion'!$B$4:$BC$8,Database!$B5,FALSE))</f>
        <v>G4.2</v>
      </c>
      <c r="F13" s="39">
        <f>IF($AJ$4=0,0,HLOOKUP($AJ$4,'Daten-THGE'!$B$4:$BC$8,Database!$B5,FALSE))</f>
        <v>1.5</v>
      </c>
      <c r="G13" s="39">
        <f>IF($AJ$4=0,0,HLOOKUP($AJ$4,'Daten-Dichte'!$B$4:$BC$8,Database!$B5,FALSE))</f>
        <v>1000</v>
      </c>
      <c r="H13" s="39">
        <f>IF($AJ$4=0,0,HLOOKUP($AJ$4,'Daten-Dicke'!$B$4:$BC$8,Database!$B5,FALSE))</f>
        <v>0.01</v>
      </c>
      <c r="I13" s="44"/>
      <c r="J13" s="49">
        <f t="shared" ref="J13:J15" si="11">IF(I13=0,G13*H13/100*F13,F13*G13*I13/1000)</f>
        <v>0.15000000000000002</v>
      </c>
      <c r="K13" s="37"/>
      <c r="L13" s="37"/>
      <c r="M13" s="103">
        <f t="shared" ref="M13:M15" si="12">IF(E13="Rohbau",1,0)</f>
        <v>0</v>
      </c>
      <c r="N13" s="103">
        <f t="shared" si="2"/>
        <v>0</v>
      </c>
      <c r="O13" s="103">
        <f t="shared" si="3"/>
        <v>1</v>
      </c>
      <c r="P13" s="103">
        <f t="shared" si="4"/>
        <v>0</v>
      </c>
      <c r="Q13" s="103">
        <f t="shared" si="5"/>
        <v>0</v>
      </c>
      <c r="S13" s="37"/>
      <c r="U13" s="39" t="str">
        <f>IF($AK$4=0,0,HLOOKUP($AK$4,'Daten-Zusammensetzung Bauteil'!$B$4:$BC$8,Database!$B5,FALSE))</f>
        <v>Pulverbeschichten Stahl [m2]</v>
      </c>
      <c r="V13" s="99" t="str">
        <f>IF($AK$4=0,0,HLOOKUP($AK$4,'Daten-Funktion'!$B$4:$BC$8,Database!$B5,FALSE))</f>
        <v>G4.2</v>
      </c>
      <c r="W13" s="39">
        <f>IF($AK$4=0,0,HLOOKUP($AK$4,'Daten-THGE'!$B$4:$BC$8,Database!$B5,FALSE))</f>
        <v>1.5</v>
      </c>
      <c r="X13" s="39">
        <f>IF($AK$4=0,0,HLOOKUP($AK$4,'Daten-Dichte'!$B$4:$BC$8,Database!$B5,FALSE))</f>
        <v>1000</v>
      </c>
      <c r="Y13" s="39">
        <f>IF($AK$4=0,0,HLOOKUP($AK$4,'Daten-Dicke'!$B$4:$BC$8,Database!$B5,FALSE))</f>
        <v>0.01</v>
      </c>
      <c r="Z13" s="44"/>
      <c r="AA13" s="49">
        <f t="shared" ref="AA13:AA15" si="13">IF(Z13=0,X13*Y13/100*W13,W13*X13*Z13/1000)</f>
        <v>0.15000000000000002</v>
      </c>
      <c r="AB13" s="37"/>
      <c r="AC13" s="37"/>
      <c r="AD13" s="103">
        <f t="shared" ref="AD13:AD15" si="14">IF(V13="Rohbau",1,0)</f>
        <v>0</v>
      </c>
      <c r="AE13" s="103">
        <f t="shared" ref="AE13:AE15" si="15">IF(V13="G4.1",1,0)</f>
        <v>0</v>
      </c>
      <c r="AF13" s="103">
        <f t="shared" ref="AF13:AF15" si="16">IF(V13="G4.2",1,0)</f>
        <v>1</v>
      </c>
      <c r="AG13" s="103">
        <f t="shared" si="10"/>
        <v>0</v>
      </c>
      <c r="AH13" s="103">
        <v>0</v>
      </c>
      <c r="AI13"/>
      <c r="AJ13" s="12"/>
      <c r="AK13" s="12"/>
    </row>
    <row r="14" spans="2:37" ht="15.75" x14ac:dyDescent="0.25">
      <c r="B14" s="37"/>
      <c r="C14" s="37"/>
      <c r="D14" s="39" t="str">
        <f>IF($AJ$4=0,0,HLOOKUP($AJ$4,'Daten-Zusammensetzung Bauteil'!$B$4:$BC$8,Database!$B6,FALSE))</f>
        <v>Akustikvlies [kg]</v>
      </c>
      <c r="E14" s="99" t="str">
        <f>IF($AJ$4=0,0,HLOOKUP($AJ$4,'Daten-Funktion'!$B$4:$BC$8,Database!$B6,FALSE))</f>
        <v>G4.2</v>
      </c>
      <c r="F14" s="39">
        <f>IF($AJ$4=0,0,HLOOKUP($AJ$4,'Daten-THGE'!$B$4:$BC$8,Database!$B6,FALSE))</f>
        <v>0.18433333333333335</v>
      </c>
      <c r="G14" s="39">
        <f>IF($AJ$4=0,0,HLOOKUP($AJ$4,'Daten-Dichte'!$B$4:$BC$8,Database!$B6,FALSE))</f>
        <v>920</v>
      </c>
      <c r="H14" s="39">
        <f>IF($AJ$4=0,0,HLOOKUP($AJ$4,'Daten-Dicke'!$B$4:$BC$8,Database!$B6,FALSE))</f>
        <v>8.152173913043478E-3</v>
      </c>
      <c r="I14" s="44"/>
      <c r="J14" s="49">
        <f t="shared" si="11"/>
        <v>1.3825E-2</v>
      </c>
      <c r="K14" s="37"/>
      <c r="L14" s="37"/>
      <c r="M14" s="103">
        <f t="shared" si="12"/>
        <v>0</v>
      </c>
      <c r="N14" s="103">
        <f t="shared" si="2"/>
        <v>0</v>
      </c>
      <c r="O14" s="103">
        <f t="shared" si="3"/>
        <v>1</v>
      </c>
      <c r="P14" s="103">
        <f t="shared" si="4"/>
        <v>0</v>
      </c>
      <c r="Q14" s="103">
        <f t="shared" si="5"/>
        <v>0</v>
      </c>
      <c r="S14" s="37"/>
      <c r="T14" s="37"/>
      <c r="U14" s="39" t="str">
        <f>IF($AK$4=0,0,HLOOKUP($AK$4,'Daten-Zusammensetzung Bauteil'!$B$4:$BC$8,Database!$B6,FALSE))</f>
        <v>Akustikvlies [kg]</v>
      </c>
      <c r="V14" s="99" t="str">
        <f>IF($AK$4=0,0,HLOOKUP($AK$4,'Daten-Funktion'!$B$4:$BC$8,Database!$B6,FALSE))</f>
        <v>G4.2</v>
      </c>
      <c r="W14" s="39">
        <f>IF($AK$4=0,0,HLOOKUP($AK$4,'Daten-THGE'!$B$4:$BC$8,Database!$B6,FALSE))</f>
        <v>0.18433333333333335</v>
      </c>
      <c r="X14" s="39">
        <f>IF($AK$4=0,0,HLOOKUP($AK$4,'Daten-Dichte'!$B$4:$BC$8,Database!$B6,FALSE))</f>
        <v>920</v>
      </c>
      <c r="Y14" s="39">
        <f>IF($AK$4=0,0,HLOOKUP($AK$4,'Daten-Dicke'!$B$4:$BC$8,Database!$B6,FALSE))</f>
        <v>8.152173913043478E-3</v>
      </c>
      <c r="Z14" s="44"/>
      <c r="AA14" s="49">
        <f t="shared" si="13"/>
        <v>1.3825E-2</v>
      </c>
      <c r="AB14" s="37"/>
      <c r="AC14" s="37"/>
      <c r="AD14" s="103">
        <f t="shared" si="14"/>
        <v>0</v>
      </c>
      <c r="AE14" s="103">
        <f t="shared" si="15"/>
        <v>0</v>
      </c>
      <c r="AF14" s="103">
        <f t="shared" si="16"/>
        <v>1</v>
      </c>
      <c r="AG14" s="103">
        <f t="shared" si="10"/>
        <v>0</v>
      </c>
      <c r="AH14" s="103">
        <v>0</v>
      </c>
      <c r="AI14"/>
      <c r="AJ14" s="12"/>
      <c r="AK14" s="12"/>
    </row>
    <row r="15" spans="2:37" ht="15.75" x14ac:dyDescent="0.25">
      <c r="C15" s="37"/>
      <c r="D15" s="39" t="str">
        <f>IF($AJ$4=0,0,HLOOKUP($AJ$4,'Daten-Zusammensetzung Bauteil'!$B$4:$BC$8,Database!$B7,FALSE))</f>
        <v>Stahlprofile verzinkt [kg]</v>
      </c>
      <c r="E15" s="99" t="str">
        <f>IF($AJ$4=0,0,HLOOKUP($AJ$4,'Daten-Funktion'!$B$4:$BC$8,Database!$B7,FALSE))</f>
        <v>G4.1</v>
      </c>
      <c r="F15" s="39">
        <f>IF($AJ$4=0,0,HLOOKUP($AJ$4,'Daten-THGE'!$B$4:$BC$8,Database!$B7,FALSE))</f>
        <v>2.4466666666666668E-2</v>
      </c>
      <c r="G15" s="39">
        <f>IF($AJ$4=0,0,HLOOKUP($AJ$4,'Daten-Dichte'!$B$4:$BC$8,Database!$B7,FALSE))</f>
        <v>7850</v>
      </c>
      <c r="H15" s="39">
        <f>IF($AJ$4=0,0,HLOOKUP($AJ$4,'Daten-Dicke'!$B$4:$BC$8,Database!$B7,FALSE))</f>
        <v>2.802547770700637E-2</v>
      </c>
      <c r="I15" s="44"/>
      <c r="J15" s="49">
        <f t="shared" si="11"/>
        <v>5.3826666666666675E-2</v>
      </c>
      <c r="M15" s="103">
        <f t="shared" si="12"/>
        <v>0</v>
      </c>
      <c r="N15" s="103">
        <f t="shared" si="2"/>
        <v>1</v>
      </c>
      <c r="O15" s="103">
        <f t="shared" si="3"/>
        <v>0</v>
      </c>
      <c r="P15" s="103">
        <f t="shared" si="4"/>
        <v>0</v>
      </c>
      <c r="Q15" s="103">
        <f t="shared" si="5"/>
        <v>0</v>
      </c>
      <c r="T15" s="37"/>
      <c r="U15" s="39" t="str">
        <f>IF($AK$4=0,0,HLOOKUP($AK$4,'Daten-Zusammensetzung Bauteil'!$B$4:$BC$8,Database!$B7,FALSE))</f>
        <v>Stahlprofile verzinkt [kg]</v>
      </c>
      <c r="V15" s="99" t="str">
        <f>IF($AK$4=0,0,HLOOKUP($AK$4,'Daten-Funktion'!$B$4:$BC$8,Database!$B7,FALSE))</f>
        <v>G4.1</v>
      </c>
      <c r="W15" s="39">
        <f>IF($AK$4=0,0,HLOOKUP($AK$4,'Daten-THGE'!$B$4:$BC$8,Database!$B7,FALSE))</f>
        <v>2.4466666666666668E-2</v>
      </c>
      <c r="X15" s="39">
        <f>IF($AK$4=0,0,HLOOKUP($AK$4,'Daten-Dichte'!$B$4:$BC$8,Database!$B7,FALSE))</f>
        <v>7850</v>
      </c>
      <c r="Y15" s="39">
        <f>IF($AK$4=0,0,HLOOKUP($AK$4,'Daten-Dicke'!$B$4:$BC$8,Database!$B7,FALSE))</f>
        <v>2.802547770700637E-2</v>
      </c>
      <c r="Z15" s="44"/>
      <c r="AA15" s="49">
        <f t="shared" si="13"/>
        <v>5.3826666666666675E-2</v>
      </c>
      <c r="AD15" s="103">
        <f t="shared" si="14"/>
        <v>0</v>
      </c>
      <c r="AE15" s="103">
        <f t="shared" si="15"/>
        <v>1</v>
      </c>
      <c r="AF15" s="103">
        <f t="shared" si="16"/>
        <v>0</v>
      </c>
      <c r="AG15" s="103">
        <f t="shared" si="10"/>
        <v>0</v>
      </c>
      <c r="AH15" s="103">
        <v>0</v>
      </c>
      <c r="AI15"/>
    </row>
    <row r="16" spans="2:37" ht="15.75" x14ac:dyDescent="0.25">
      <c r="D16" s="39"/>
      <c r="E16" s="99"/>
      <c r="J16" s="49"/>
      <c r="N16" s="117"/>
      <c r="O16" s="117"/>
      <c r="AA16" s="49"/>
      <c r="AD16" s="117"/>
      <c r="AE16" s="117"/>
      <c r="AF16" s="117"/>
      <c r="AG16" s="117"/>
      <c r="AH16" s="117"/>
      <c r="AI16"/>
    </row>
    <row r="17" spans="2:37" ht="15.75" x14ac:dyDescent="0.25">
      <c r="C17" s="40" t="s">
        <v>191</v>
      </c>
      <c r="D17" s="39" t="str">
        <f>IF($AJ$5=0,0,HLOOKUP($AJ$5,'Daten-Zusammensetzung Bauteil'!$B$4:$BC$9,Database!$B4,FALSE))</f>
        <v>Keramikplatten 9mm [m2]</v>
      </c>
      <c r="E17" s="99" t="str">
        <f>IF($AJ$5=0,0,HLOOKUP($AJ$5,'Daten-Funktion'!$B$4:$BC$9,Database!$B4,FALSE))</f>
        <v>G2.2</v>
      </c>
      <c r="F17" s="39">
        <f>IF($AJ$5=0,0,HLOOKUP($AJ$5,'Daten-THGE'!$B$4:$BC$9,Database!$B4,FALSE))</f>
        <v>2.5925925925925925E-2</v>
      </c>
      <c r="G17" s="39">
        <f>IF($AJ$5=0,0,HLOOKUP($AJ$5,'Daten-Dichte'!$B$4:$BC$9,Database!$B4,FALSE))</f>
        <v>1999.9999999999998</v>
      </c>
      <c r="H17" s="39">
        <f>IF($AJ$5=0,0,HLOOKUP($AJ$5,'Daten-Dicke'!$B$4:$BC$9,Database!$B4,FALSE))</f>
        <v>0.9</v>
      </c>
      <c r="I17" s="44"/>
      <c r="J17" s="49">
        <f>IF(I17=0,G17*H17/100*F17,F17*G17*I17/1000)</f>
        <v>0.46666666666666656</v>
      </c>
      <c r="M17" s="103">
        <f>IF(E17="Rohbau",1,0)</f>
        <v>0</v>
      </c>
      <c r="N17" s="103">
        <f t="shared" si="2"/>
        <v>0</v>
      </c>
      <c r="O17" s="103">
        <f t="shared" si="3"/>
        <v>0</v>
      </c>
      <c r="P17" s="103">
        <f t="shared" si="4"/>
        <v>0</v>
      </c>
      <c r="Q17" s="103">
        <f t="shared" si="5"/>
        <v>1</v>
      </c>
      <c r="T17" s="40" t="s">
        <v>191</v>
      </c>
      <c r="U17" s="39" t="str">
        <f>IF($AK$5=0,0,HLOOKUP($AK$5,'Daten-Zusammensetzung Bauteil'!$B$4:$BC$9,Database!$B4,FALSE))</f>
        <v>Keramikplatten 9mm [m2]</v>
      </c>
      <c r="V17" s="99" t="str">
        <f>IF($AK$5=0,0,HLOOKUP($AK$5,'Daten-Funktion'!$B$4:$BC$9,Database!$B4,FALSE))</f>
        <v>G2.2</v>
      </c>
      <c r="W17" s="39">
        <f>IF($AK$5=0,0,HLOOKUP($AK$5,'Daten-THGE'!$B$4:$BC$9,Database!$B4,FALSE))</f>
        <v>2.5925925925925925E-2</v>
      </c>
      <c r="X17" s="39">
        <f>IF($AK$5=0,0,HLOOKUP($AK$5,'Daten-Dichte'!$B$4:$BC$9,Database!$B4,FALSE))</f>
        <v>1999.9999999999998</v>
      </c>
      <c r="Y17" s="39">
        <f>IF($AK$5=0,0,HLOOKUP($AK$5,'Daten-Dicke'!$B$4:$BC$9,Database!$B4,FALSE))</f>
        <v>0.9</v>
      </c>
      <c r="Z17" s="44"/>
      <c r="AA17" s="49">
        <f>IF(Z17=0,X17*Y17/100*W17,W17*X17*Z17/1000)</f>
        <v>0.46666666666666656</v>
      </c>
      <c r="AD17" s="103">
        <f>IF(V17="Rohbau",1,0)</f>
        <v>0</v>
      </c>
      <c r="AE17" s="103">
        <f>IF(V17="G4.1",1,0)</f>
        <v>0</v>
      </c>
      <c r="AF17" s="103">
        <f>IF(V17="G4.2",1,0)</f>
        <v>0</v>
      </c>
      <c r="AG17" s="103">
        <f t="shared" si="10"/>
        <v>0</v>
      </c>
      <c r="AH17" s="103">
        <f>IF(V17="G2.2",1,0)</f>
        <v>1</v>
      </c>
      <c r="AI17"/>
    </row>
    <row r="18" spans="2:37" ht="15.75" x14ac:dyDescent="0.25">
      <c r="D18" s="39" t="str">
        <f>IF($AJ$5=0,0,HLOOKUP($AJ$5,'Daten-Zusammensetzung Bauteil'!$B$4:$BC$9,Database!$B5,FALSE))</f>
        <v>Klebemörtel [kg]</v>
      </c>
      <c r="E18" s="99" t="str">
        <f>IF($AJ$5=0,0,HLOOKUP($AJ$5,'Daten-Funktion'!$B$4:$BC$9,Database!$B5,FALSE))</f>
        <v>G2.2</v>
      </c>
      <c r="F18" s="39">
        <f>IF($AJ$5=0,0,HLOOKUP($AJ$5,'Daten-THGE'!$B$4:$BC$9,Database!$B5,FALSE))</f>
        <v>1.3533333333333335E-2</v>
      </c>
      <c r="G18" s="39">
        <f>IF($AJ$5=0,0,HLOOKUP($AJ$5,'Daten-Dichte'!$B$4:$BC$9,Database!$B5,FALSE))</f>
        <v>1400</v>
      </c>
      <c r="H18" s="39">
        <f>IF($AJ$5=0,0,HLOOKUP($AJ$5,'Daten-Dicke'!$B$4:$BC$9,Database!$B5,FALSE))</f>
        <v>0.9285714285714286</v>
      </c>
      <c r="I18" s="44"/>
      <c r="J18" s="49">
        <f t="shared" ref="J18:J21" si="17">IF(I18=0,G18*H18/100*F18,F18*G18*I18/1000)</f>
        <v>0.17593333333333336</v>
      </c>
      <c r="M18" s="103">
        <f t="shared" ref="M18:M20" si="18">IF(E18="Rohbau",1,0)</f>
        <v>0</v>
      </c>
      <c r="N18" s="103">
        <f t="shared" si="2"/>
        <v>0</v>
      </c>
      <c r="O18" s="103">
        <f t="shared" si="3"/>
        <v>0</v>
      </c>
      <c r="P18" s="103">
        <f t="shared" si="4"/>
        <v>0</v>
      </c>
      <c r="Q18" s="103">
        <f t="shared" si="5"/>
        <v>1</v>
      </c>
      <c r="U18" s="39" t="str">
        <f>IF($AK$5=0,0,HLOOKUP($AK$5,'Daten-Zusammensetzung Bauteil'!$B$4:$BC$9,Database!$B5,FALSE))</f>
        <v>Klebemörtel [kg]</v>
      </c>
      <c r="V18" s="99" t="str">
        <f>IF($AK$5=0,0,HLOOKUP($AK$5,'Daten-Funktion'!$B$4:$BC$9,Database!$B5,FALSE))</f>
        <v>G2.2</v>
      </c>
      <c r="W18" s="39">
        <f>IF($AK$5=0,0,HLOOKUP($AK$5,'Daten-THGE'!$B$4:$BC$9,Database!$B5,FALSE))</f>
        <v>1.3533333333333335E-2</v>
      </c>
      <c r="X18" s="39">
        <f>IF($AK$5=0,0,HLOOKUP($AK$5,'Daten-Dichte'!$B$4:$BC$9,Database!$B5,FALSE))</f>
        <v>1400</v>
      </c>
      <c r="Y18" s="39">
        <f>IF($AK$5=0,0,HLOOKUP($AK$5,'Daten-Dicke'!$B$4:$BC$9,Database!$B5,FALSE))</f>
        <v>0.9285714285714286</v>
      </c>
      <c r="Z18" s="44"/>
      <c r="AA18" s="49">
        <f t="shared" ref="AA18:AA21" si="19">IF(Z18=0,X18*Y18/100*W18,W18*X18*Z18/1000)</f>
        <v>0.17593333333333336</v>
      </c>
      <c r="AD18" s="103">
        <f t="shared" ref="AD18:AD20" si="20">IF(V18="Rohbau",1,0)</f>
        <v>0</v>
      </c>
      <c r="AE18" s="103">
        <f t="shared" ref="AE18:AE21" si="21">IF(V18="G4.1",1,0)</f>
        <v>0</v>
      </c>
      <c r="AF18" s="103">
        <f t="shared" ref="AF18:AF21" si="22">IF(V18="G4.2",1,0)</f>
        <v>0</v>
      </c>
      <c r="AG18" s="103">
        <f t="shared" si="10"/>
        <v>0</v>
      </c>
      <c r="AH18" s="103">
        <f t="shared" ref="AH18:AH21" si="23">IF(V18="G2.2",1,0)</f>
        <v>1</v>
      </c>
      <c r="AI18"/>
    </row>
    <row r="19" spans="2:37" ht="15.75" x14ac:dyDescent="0.25">
      <c r="D19" s="39" t="str">
        <f>IF($AJ$5=0,0,HLOOKUP($AJ$5,'Daten-Zusammensetzung Bauteil'!$B$4:$BC$9,Database!$B6,FALSE))</f>
        <v>Zementunterlagsboden 7cm [kg]</v>
      </c>
      <c r="E19" s="99" t="str">
        <f>IF($AJ$5=0,0,HLOOKUP($AJ$5,'Daten-Funktion'!$B$4:$BC$9,Database!$B6,FALSE))</f>
        <v>G2.1</v>
      </c>
      <c r="F19" s="39">
        <f>IF($AJ$5=0,0,HLOOKUP($AJ$5,'Daten-THGE'!$B$4:$BC$9,Database!$B6,FALSE))</f>
        <v>4.3E-3</v>
      </c>
      <c r="G19" s="39">
        <f>IF($AJ$5=0,0,HLOOKUP($AJ$5,'Daten-Dichte'!$B$4:$BC$9,Database!$B6,FALSE))</f>
        <v>1700</v>
      </c>
      <c r="H19" s="39">
        <f>IF($AJ$5=0,0,HLOOKUP($AJ$5,'Daten-Dicke'!$B$4:$BC$9,Database!$B6,FALSE))</f>
        <v>7.617647058823529</v>
      </c>
      <c r="I19" s="44"/>
      <c r="J19" s="49">
        <f t="shared" si="17"/>
        <v>0.55684999999999996</v>
      </c>
      <c r="M19" s="103">
        <f t="shared" si="18"/>
        <v>0</v>
      </c>
      <c r="N19" s="103">
        <f t="shared" si="2"/>
        <v>0</v>
      </c>
      <c r="O19" s="103">
        <f t="shared" si="3"/>
        <v>0</v>
      </c>
      <c r="P19" s="103">
        <f t="shared" si="4"/>
        <v>1</v>
      </c>
      <c r="Q19" s="103">
        <f t="shared" si="5"/>
        <v>0</v>
      </c>
      <c r="U19" s="39" t="str">
        <f>IF($AK$5=0,0,HLOOKUP($AK$5,'Daten-Zusammensetzung Bauteil'!$B$4:$BC$9,Database!$B6,FALSE))</f>
        <v>Zementunterlagsboden 7cm [kg]</v>
      </c>
      <c r="V19" s="99" t="str">
        <f>IF($AK$5=0,0,HLOOKUP($AK$5,'Daten-Funktion'!$B$4:$BC$9,Database!$B6,FALSE))</f>
        <v>G2.1</v>
      </c>
      <c r="W19" s="39">
        <f>IF($AK$5=0,0,HLOOKUP($AK$5,'Daten-THGE'!$B$4:$BC$9,Database!$B6,FALSE))</f>
        <v>4.3E-3</v>
      </c>
      <c r="X19" s="39">
        <f>IF($AK$5=0,0,HLOOKUP($AK$5,'Daten-Dichte'!$B$4:$BC$9,Database!$B6,FALSE))</f>
        <v>1700</v>
      </c>
      <c r="Y19" s="39">
        <f>IF($AK$5=0,0,HLOOKUP($AK$5,'Daten-Dicke'!$B$4:$BC$9,Database!$B6,FALSE))</f>
        <v>7.617647058823529</v>
      </c>
      <c r="Z19" s="44"/>
      <c r="AA19" s="49">
        <f t="shared" si="19"/>
        <v>0.55684999999999996</v>
      </c>
      <c r="AD19" s="103">
        <f t="shared" si="20"/>
        <v>0</v>
      </c>
      <c r="AE19" s="103">
        <f t="shared" si="21"/>
        <v>0</v>
      </c>
      <c r="AF19" s="103">
        <f t="shared" si="22"/>
        <v>0</v>
      </c>
      <c r="AG19" s="103">
        <f t="shared" si="10"/>
        <v>1</v>
      </c>
      <c r="AH19" s="103">
        <f t="shared" si="23"/>
        <v>0</v>
      </c>
      <c r="AI19"/>
    </row>
    <row r="20" spans="2:37" ht="15.75" x14ac:dyDescent="0.25">
      <c r="D20" s="39" t="str">
        <f>IF($AJ$5=0,0,HLOOKUP($AJ$5,'Daten-Zusammensetzung Bauteil'!$B$4:$BC$9,Database!$B7,FALSE))</f>
        <v>PE-Folie</v>
      </c>
      <c r="E20" s="99" t="str">
        <f>IF($AJ$5=0,0,HLOOKUP($AJ$5,'Daten-Funktion'!$B$4:$BC$9,Database!$B7,FALSE))</f>
        <v>G2.1</v>
      </c>
      <c r="F20" s="39">
        <f>IF($AJ$5=0,0,HLOOKUP($AJ$5,'Daten-THGE'!$B$4:$BC$9,Database!$B7,FALSE))</f>
        <v>0.17766666666666667</v>
      </c>
      <c r="G20" s="39">
        <f>IF($AJ$5=0,0,HLOOKUP($AJ$5,'Daten-Dichte'!$B$4:$BC$9,Database!$B7,FALSE))</f>
        <v>920</v>
      </c>
      <c r="H20" s="39">
        <f>IF($AJ$5=0,0,HLOOKUP($AJ$5,'Daten-Dicke'!$B$4:$BC$9,Database!$B7,FALSE))</f>
        <v>1.6304347826086956E-2</v>
      </c>
      <c r="I20" s="44"/>
      <c r="J20" s="49">
        <f t="shared" si="17"/>
        <v>2.665E-2</v>
      </c>
      <c r="M20" s="103">
        <f t="shared" si="18"/>
        <v>0</v>
      </c>
      <c r="N20" s="103">
        <f t="shared" si="2"/>
        <v>0</v>
      </c>
      <c r="O20" s="103">
        <f t="shared" si="3"/>
        <v>0</v>
      </c>
      <c r="P20" s="103">
        <f t="shared" si="4"/>
        <v>1</v>
      </c>
      <c r="Q20" s="103">
        <f t="shared" si="5"/>
        <v>0</v>
      </c>
      <c r="U20" s="39" t="str">
        <f>IF($AK$5=0,0,HLOOKUP($AK$5,'Daten-Zusammensetzung Bauteil'!$B$4:$BC$9,Database!$B7,FALSE))</f>
        <v>PE-Folie</v>
      </c>
      <c r="V20" s="99" t="str">
        <f>IF($AK$5=0,0,HLOOKUP($AK$5,'Daten-Funktion'!$B$4:$BC$9,Database!$B7,FALSE))</f>
        <v>G2.1</v>
      </c>
      <c r="W20" s="39">
        <f>IF($AK$5=0,0,HLOOKUP($AK$5,'Daten-THGE'!$B$4:$BC$9,Database!$B7,FALSE))</f>
        <v>0.17766666666666667</v>
      </c>
      <c r="X20" s="39">
        <f>IF($AK$5=0,0,HLOOKUP($AK$5,'Daten-Dichte'!$B$4:$BC$9,Database!$B7,FALSE))</f>
        <v>920</v>
      </c>
      <c r="Y20" s="39">
        <f>IF($AK$5=0,0,HLOOKUP($AK$5,'Daten-Dicke'!$B$4:$BC$9,Database!$B7,FALSE))</f>
        <v>1.6304347826086956E-2</v>
      </c>
      <c r="Z20" s="44"/>
      <c r="AA20" s="49">
        <f t="shared" si="19"/>
        <v>2.665E-2</v>
      </c>
      <c r="AD20" s="103">
        <f t="shared" si="20"/>
        <v>0</v>
      </c>
      <c r="AE20" s="103">
        <f t="shared" si="21"/>
        <v>0</v>
      </c>
      <c r="AF20" s="103">
        <f t="shared" si="22"/>
        <v>0</v>
      </c>
      <c r="AG20" s="103">
        <f t="shared" si="10"/>
        <v>1</v>
      </c>
      <c r="AH20" s="103">
        <f t="shared" si="23"/>
        <v>0</v>
      </c>
      <c r="AI20"/>
    </row>
    <row r="21" spans="2:37" ht="15.75" x14ac:dyDescent="0.25">
      <c r="D21" s="39" t="str">
        <f>IF($AJ$5=0,0,HLOOKUP($AJ$5,'Daten-Zusammensetzung Bauteil'!$B$4:$BC$9,Database!$B8,FALSE))</f>
        <v>Trittschall 2cm EPS</v>
      </c>
      <c r="E21" s="99" t="str">
        <f>IF($AJ$5=0,0,HLOOKUP($AJ$5,'Daten-Funktion'!$B$4:$BC$9,Database!$B8,FALSE))</f>
        <v>G2.1</v>
      </c>
      <c r="F21" s="39">
        <f>IF($AJ$5=0,0,HLOOKUP($AJ$5,'Daten-THGE'!$B$4:$BC$9,Database!$B8,FALSE))</f>
        <v>0.25466666666666665</v>
      </c>
      <c r="G21" s="39">
        <f>IF($AJ$5=0,0,HLOOKUP($AJ$5,'Daten-Dichte'!$B$4:$BC$9,Database!$B8,FALSE))</f>
        <v>13</v>
      </c>
      <c r="H21" s="39">
        <f>IF($AJ$5=0,0,HLOOKUP($AJ$5,'Daten-Dicke'!$B$4:$BC$9,Database!$B8,FALSE))</f>
        <v>2</v>
      </c>
      <c r="I21" s="44"/>
      <c r="J21" s="49">
        <f t="shared" si="17"/>
        <v>6.6213333333333332E-2</v>
      </c>
      <c r="M21" s="103">
        <f>IF(E21="Rohbau",1,0)</f>
        <v>0</v>
      </c>
      <c r="N21" s="103">
        <f t="shared" si="2"/>
        <v>0</v>
      </c>
      <c r="O21" s="103">
        <f t="shared" si="3"/>
        <v>0</v>
      </c>
      <c r="P21" s="103">
        <f t="shared" si="4"/>
        <v>1</v>
      </c>
      <c r="Q21" s="103">
        <f t="shared" si="5"/>
        <v>0</v>
      </c>
      <c r="U21" s="39" t="str">
        <f>IF($AK$5=0,0,HLOOKUP($AK$5,'Daten-Zusammensetzung Bauteil'!$B$4:$BC$9,Database!$B8,FALSE))</f>
        <v>Trittschall 2cm EPS</v>
      </c>
      <c r="V21" s="99" t="str">
        <f>IF($AK$5=0,0,HLOOKUP($AK$5,'Daten-Funktion'!$B$4:$BC$9,Database!$B8,FALSE))</f>
        <v>G2.1</v>
      </c>
      <c r="W21" s="39">
        <f>IF($AK$5=0,0,HLOOKUP($AK$5,'Daten-THGE'!$B$4:$BC$9,Database!$B8,FALSE))</f>
        <v>0.25466666666666665</v>
      </c>
      <c r="X21" s="39">
        <f>IF($AK$5=0,0,HLOOKUP($AK$5,'Daten-Dichte'!$B$4:$BC$9,Database!$B8,FALSE))</f>
        <v>13</v>
      </c>
      <c r="Y21" s="39">
        <f>IF($AK$5=0,0,HLOOKUP($AK$5,'Daten-Dicke'!$B$4:$BC$9,Database!$B8,FALSE))</f>
        <v>2</v>
      </c>
      <c r="Z21" s="44"/>
      <c r="AA21" s="49">
        <f t="shared" si="19"/>
        <v>6.6213333333333332E-2</v>
      </c>
      <c r="AD21" s="103">
        <f>IF(V21="Rohbau",1,0)</f>
        <v>0</v>
      </c>
      <c r="AE21" s="103">
        <f t="shared" si="21"/>
        <v>0</v>
      </c>
      <c r="AF21" s="103">
        <f t="shared" si="22"/>
        <v>0</v>
      </c>
      <c r="AG21" s="103">
        <f t="shared" si="10"/>
        <v>1</v>
      </c>
      <c r="AH21" s="103">
        <f t="shared" si="23"/>
        <v>0</v>
      </c>
      <c r="AI21"/>
    </row>
    <row r="22" spans="2:37" ht="15.75" x14ac:dyDescent="0.25">
      <c r="D22" s="39"/>
      <c r="E22" s="99"/>
      <c r="M22" s="104">
        <f>IF(K4=0,0,SUMPRODUCT(J4:J21*M4:M21)/SUM(J4:J21))</f>
        <v>0.17542896631044164</v>
      </c>
      <c r="N22" s="104">
        <f>IF(K4=0,0,SUMPRODUCT(J4:J21*N4:N21)/SUM(J4:J21))</f>
        <v>6.0267033637468374E-2</v>
      </c>
      <c r="O22" s="104">
        <f>IF(K4=0,0,SUMPRODUCT(J4:J21*O4:O21)/SUM(J4:J21))</f>
        <v>0.28977500019030134</v>
      </c>
      <c r="P22" s="104">
        <f>IF(K4=0,0,SUMPRODUCT(J4:J21*P4:P21)/SUM(J4:J21))</f>
        <v>0.23857048465816</v>
      </c>
      <c r="Q22" s="104">
        <f>IF(K4=0,0,SUMPRODUCT(J4:J21*Q4:Q21)/SUM(J4:J21))</f>
        <v>0.2359585152036287</v>
      </c>
      <c r="R22" s="122">
        <f>SUM(M22:Q22)</f>
        <v>1</v>
      </c>
      <c r="AD22" s="104">
        <f>IF(AB4=0,0,SUMPRODUCT(AA4:AA21*AD4:AD21)/SUM(AA4:AA21))</f>
        <v>0</v>
      </c>
      <c r="AE22" s="104">
        <f>IF(AB4=0,0,SUMPRODUCT(AA4:AA21*AE4:AE21)/SUM(AA4:AA21))</f>
        <v>0</v>
      </c>
      <c r="AF22" s="104">
        <f>IF(AB4=0,0,SUMPRODUCT(AA4:AA21*AF4:AF21)/SUM(AA4:AA21))</f>
        <v>0</v>
      </c>
      <c r="AG22" s="104">
        <f>IF(AB4=0,0,SUMPRODUCT(AA4:AA21*AG4:AG21)/SUM(AA4:AA21))</f>
        <v>0</v>
      </c>
      <c r="AH22" s="104">
        <f>IF(AB4=0,0,SUMPRODUCT(AA4:AA21*AH4:AH21)/SUM(AA4:AA21))</f>
        <v>0</v>
      </c>
      <c r="AI22" s="122">
        <f>SUM(AD22:AH22)</f>
        <v>0</v>
      </c>
    </row>
    <row r="23" spans="2:37" x14ac:dyDescent="0.25">
      <c r="B23" s="47" t="s">
        <v>241</v>
      </c>
      <c r="C23" s="47"/>
      <c r="S23" s="47" t="s">
        <v>241</v>
      </c>
      <c r="T23" s="47"/>
    </row>
    <row r="24" spans="2:37" ht="20.25" x14ac:dyDescent="0.3">
      <c r="B24" s="41" t="s">
        <v>362</v>
      </c>
      <c r="C24" s="41"/>
      <c r="D24" s="40" t="s">
        <v>227</v>
      </c>
      <c r="E24" s="93"/>
      <c r="F24" s="40" t="s">
        <v>182</v>
      </c>
      <c r="G24" s="40" t="s">
        <v>226</v>
      </c>
      <c r="H24" s="40" t="s">
        <v>242</v>
      </c>
      <c r="I24" s="42" t="s">
        <v>243</v>
      </c>
      <c r="J24" s="40" t="s">
        <v>193</v>
      </c>
      <c r="K24" s="38" t="s">
        <v>194</v>
      </c>
      <c r="L24" s="37"/>
      <c r="S24" s="41" t="s">
        <v>362</v>
      </c>
      <c r="T24" s="41"/>
      <c r="U24" s="40" t="s">
        <v>227</v>
      </c>
      <c r="V24" s="93"/>
      <c r="W24" s="40" t="s">
        <v>182</v>
      </c>
      <c r="X24" s="40" t="s">
        <v>226</v>
      </c>
      <c r="Y24" s="40" t="s">
        <v>242</v>
      </c>
      <c r="Z24" s="42" t="s">
        <v>243</v>
      </c>
      <c r="AA24" s="40" t="s">
        <v>193</v>
      </c>
      <c r="AB24" s="38" t="s">
        <v>194</v>
      </c>
      <c r="AC24" s="37"/>
    </row>
    <row r="25" spans="2:37" ht="15.75" x14ac:dyDescent="0.25">
      <c r="B25" s="40" t="s">
        <v>229</v>
      </c>
      <c r="C25" s="40" t="s">
        <v>246</v>
      </c>
      <c r="D25" s="39" t="str">
        <f>HLOOKUP($AJ$31,'Daten-Zusammensetzung Bauteil'!$B$4:$BC$11,Database!$B4,FALSE)</f>
        <v>Hochbaubeton 9cm [kg]</v>
      </c>
      <c r="E25" s="99" t="str">
        <f>MID(HLOOKUP($AJ$31,'Daten-Funktion'!$B$4:$BC$11,Database!$B4,FALSE),1,2)</f>
        <v>C4</v>
      </c>
      <c r="F25" s="39">
        <f>HLOOKUP($AJ$31,'Daten-THGE'!$B$4:$BC$11,Database!$B4,FALSE)</f>
        <v>1.6533333333333333E-3</v>
      </c>
      <c r="G25" s="39">
        <f>HLOOKUP($AJ$31,'Daten-Dichte'!$B$4:$BC$11,Database!$B4,FALSE)</f>
        <v>2300</v>
      </c>
      <c r="H25" s="39">
        <f>HLOOKUP($AJ$31,'Daten-Dicke'!$B$4:$BC$11,Database!$B4,FALSE)</f>
        <v>8.9656050955414006</v>
      </c>
      <c r="I25" s="43"/>
      <c r="J25" s="49">
        <f>IF(I25=0,G25*H25/100*F25,F25*G25*I25/1000)</f>
        <v>0.34093207643312101</v>
      </c>
      <c r="K25" s="48">
        <f>SUM(J25:J42)*Gebäude!$C$14*(Gebäude!$C$10-1)</f>
        <v>930.18038301486195</v>
      </c>
      <c r="L25" s="40" t="s">
        <v>244</v>
      </c>
      <c r="S25" s="40" t="s">
        <v>245</v>
      </c>
      <c r="T25" s="40" t="s">
        <v>246</v>
      </c>
      <c r="U25" s="39" t="str">
        <f>HLOOKUP($AK$31,'Daten-Zusammensetzung Bauteil'!$B$4:$BC$11,Database!$B4,FALSE)</f>
        <v>Hochbaubeton 25 cm [kg]</v>
      </c>
      <c r="V25" s="99" t="str">
        <f>MID(HLOOKUP($AK$31,'Daten-Funktion'!$B$4:$BC$11,Database!$B4,FALSE),1,2)</f>
        <v>C4</v>
      </c>
      <c r="W25" s="39">
        <f>HLOOKUP($AK$31,'Daten-THGE'!$B$4:$BC$11,Database!$B4,FALSE)</f>
        <v>1.6533333333333333E-3</v>
      </c>
      <c r="X25" s="39">
        <f>HLOOKUP($AK$31,'Daten-Dichte'!$B$4:$BC$11,Database!$B4,FALSE)</f>
        <v>2300</v>
      </c>
      <c r="Y25" s="39">
        <f>HLOOKUP($AK$31,'Daten-Dicke'!$B$4:$BC$11,Database!$B4,FALSE)</f>
        <v>24.649681528662423</v>
      </c>
      <c r="Z25" s="43"/>
      <c r="AA25" s="49">
        <f t="shared" ref="AA25:AA31" si="24">IF(Z25=0,X25*Y25/100*W25,W25*X25*Z4/1000)</f>
        <v>0.93734522292993627</v>
      </c>
      <c r="AB25" s="50">
        <f>IF(AK35=0,0,IF(S30=Database!D9,SUM(AA25:AA31)*S32*S34+SUM('Decke unter &amp; über Terrain'!AA33:AA36)*S32*S34+SUM('Decke unter &amp; über Terrain'!AA38:AA42)*S32*S34,SUM(AA25:AA31)*S32*S34+SUM('Decke unter &amp; über Terrain'!AA33:AA36)*S32+SUM('Decke unter &amp; über Terrain'!AA38:AA42)*S32*S34))</f>
        <v>0</v>
      </c>
      <c r="AC25" s="40" t="s">
        <v>244</v>
      </c>
    </row>
    <row r="26" spans="2:37" ht="15.75" x14ac:dyDescent="0.25">
      <c r="B26" s="42" t="s">
        <v>2</v>
      </c>
      <c r="C26" s="40"/>
      <c r="D26" s="39" t="str">
        <f>HLOOKUP($AJ$31,'Daten-Zusammensetzung Bauteil'!$B$4:$BC$11,Database!$B5,FALSE)</f>
        <v>Armierungsstahl [kg]</v>
      </c>
      <c r="E26" s="99" t="str">
        <f>MID(HLOOKUP($AJ$31,'Daten-Funktion'!$B$4:$BC$11,Database!$B5,FALSE),1,2)</f>
        <v>C4</v>
      </c>
      <c r="F26" s="39">
        <f>HLOOKUP($AJ$31,'Daten-THGE'!$B$4:$BC$11,Database!$B5,FALSE)</f>
        <v>1.1366666666666667E-2</v>
      </c>
      <c r="G26" s="39">
        <f>HLOOKUP($AJ$31,'Daten-Dichte'!$B$4:$BC$11,Database!$B5,FALSE)</f>
        <v>7850</v>
      </c>
      <c r="H26" s="39">
        <f>HLOOKUP($AJ$31,'Daten-Dicke'!$B$4:$BC$11,Database!$B5,FALSE)</f>
        <v>3.4394904458598725E-2</v>
      </c>
      <c r="I26" s="43"/>
      <c r="J26" s="49">
        <f t="shared" ref="J26:J31" si="25">IF(I26=0,G26*H26/100*F26,F26*G26*I26/1000)</f>
        <v>3.0690000000000002E-2</v>
      </c>
      <c r="K26" s="39"/>
      <c r="L26" s="37"/>
      <c r="S26" s="42" t="s">
        <v>232</v>
      </c>
      <c r="T26" s="40"/>
      <c r="U26" s="39" t="str">
        <f>HLOOKUP($AK$31,'Daten-Zusammensetzung Bauteil'!$B$4:$BC$11,Database!$B5,FALSE)</f>
        <v>Armierungsstahl (Bewehrungsgehalt 90 kg/m3) [kg]</v>
      </c>
      <c r="V26" s="99" t="str">
        <f>MID(HLOOKUP($AK$31,'Daten-Funktion'!$B$4:$BC$11,Database!$B5,FALSE),1,2)</f>
        <v>C4</v>
      </c>
      <c r="W26" s="39">
        <f>HLOOKUP($AK$31,'Daten-THGE'!$B$4:$BC$11,Database!$B5,FALSE)</f>
        <v>1.1366666666666667E-2</v>
      </c>
      <c r="X26" s="39">
        <f>HLOOKUP($AK$31,'Daten-Dichte'!$B$4:$BC$11,Database!$B5,FALSE)</f>
        <v>7850</v>
      </c>
      <c r="Y26" s="39">
        <f>HLOOKUP($AK$31,'Daten-Dicke'!$B$4:$BC$11,Database!$B5,FALSE)</f>
        <v>0.35031847133757965</v>
      </c>
      <c r="Z26" s="43"/>
      <c r="AA26" s="49">
        <f t="shared" si="24"/>
        <v>0.31258333333333338</v>
      </c>
      <c r="AB26" s="39"/>
      <c r="AC26" s="37"/>
    </row>
    <row r="27" spans="2:37" ht="15.75" x14ac:dyDescent="0.25">
      <c r="B27" s="42" t="s">
        <v>333</v>
      </c>
      <c r="C27" s="37"/>
      <c r="D27" s="39" t="str">
        <f>HLOOKUP($AJ$31,'Daten-Zusammensetzung Bauteil'!$B$4:$BC$11,Database!$B6,FALSE)</f>
        <v>Nadelschnittholz [kg]</v>
      </c>
      <c r="E27" s="99" t="str">
        <f>MID(HLOOKUP($AJ$31,'Daten-Funktion'!$B$4:$BC$11,Database!$B6,FALSE),1,2)</f>
        <v>C4</v>
      </c>
      <c r="F27" s="39">
        <f>HLOOKUP($AJ$31,'Daten-THGE'!$B$4:$BC$11,Database!$B6,FALSE)</f>
        <v>1.6833333333333333E-3</v>
      </c>
      <c r="G27" s="39">
        <f>HLOOKUP($AJ$31,'Daten-Dichte'!$B$4:$BC$11,Database!$B6,FALSE)</f>
        <v>485</v>
      </c>
      <c r="H27" s="39">
        <f>HLOOKUP($AJ$31,'Daten-Dicke'!$B$4:$BC$11,Database!$B6,FALSE)</f>
        <v>13</v>
      </c>
      <c r="I27" s="44"/>
      <c r="J27" s="49">
        <f t="shared" si="25"/>
        <v>0.10613416666666667</v>
      </c>
      <c r="K27" s="37"/>
      <c r="L27" s="37"/>
      <c r="S27" s="42" t="s">
        <v>333</v>
      </c>
      <c r="T27" s="37"/>
      <c r="U27" s="39" t="str">
        <f>HLOOKUP($AK$31,'Daten-Zusammensetzung Bauteil'!$B$4:$BC$11,Database!$B6,FALSE)</f>
        <v>3-SP Schalung 2.5cm (Annahme 5xverwendet) [kg]</v>
      </c>
      <c r="V27" s="99" t="str">
        <f>MID(HLOOKUP($AK$31,'Daten-Funktion'!$B$4:$BC$11,Database!$B6,FALSE),1,2)</f>
        <v>C4</v>
      </c>
      <c r="W27" s="39">
        <f>HLOOKUP($AK$31,'Daten-THGE'!$B$4:$BC$11,Database!$B6,FALSE)</f>
        <v>8.7166666666666677E-3</v>
      </c>
      <c r="X27" s="39">
        <f>HLOOKUP($AK$31,'Daten-Dichte'!$B$4:$BC$11,Database!$B6,FALSE)</f>
        <v>470</v>
      </c>
      <c r="Y27" s="39">
        <f>HLOOKUP($AK$31,'Daten-Dicke'!$B$4:$BC$11,Database!$B6,FALSE)</f>
        <v>1.0000000000000002</v>
      </c>
      <c r="Z27" s="44"/>
      <c r="AA27" s="49">
        <f t="shared" si="24"/>
        <v>4.096833333333335E-2</v>
      </c>
      <c r="AB27" s="37"/>
      <c r="AC27" s="37"/>
    </row>
    <row r="28" spans="2:37" ht="15.75" x14ac:dyDescent="0.25">
      <c r="B28" s="42" t="s">
        <v>330</v>
      </c>
      <c r="C28" s="37"/>
      <c r="D28" s="39" t="str">
        <f>HLOOKUP($AJ$31,'Daten-Zusammensetzung Bauteil'!$B$4:$BC$11,Database!$B7,FALSE)</f>
        <v>Nadelschnittholz [kg]</v>
      </c>
      <c r="E28" s="99" t="str">
        <f>HLOOKUP($AJ$31,'Daten-Funktion'!$B$4:$BC$11,Database!$B7,FALSE)</f>
        <v>G4.1</v>
      </c>
      <c r="F28" s="39">
        <f>HLOOKUP($AJ$31,'Daten-THGE'!$B$4:$BC$11,Database!$B7,FALSE)</f>
        <v>3.3666666666666667E-3</v>
      </c>
      <c r="G28" s="39">
        <f>HLOOKUP($AJ$31,'Daten-Dichte'!$B$4:$BC$11,Database!$B7,FALSE)</f>
        <v>485</v>
      </c>
      <c r="H28" s="39">
        <f>HLOOKUP($AJ$31,'Daten-Dicke'!$B$4:$BC$11,Database!$B7,FALSE)</f>
        <v>0.4</v>
      </c>
      <c r="I28" s="44"/>
      <c r="J28" s="49">
        <f t="shared" si="25"/>
        <v>6.5313333333333334E-3</v>
      </c>
      <c r="K28" s="37"/>
      <c r="L28" s="37"/>
      <c r="S28" s="42" t="s">
        <v>330</v>
      </c>
      <c r="T28" s="37"/>
      <c r="U28" s="39" t="str">
        <f>HLOOKUP($AK$31,'Daten-Zusammensetzung Bauteil'!$B$4:$BC$11,Database!$B7,FALSE)</f>
        <v>Kalk-Zementgrundputz [kg]</v>
      </c>
      <c r="V28" s="99" t="str">
        <f>HLOOKUP($AK$31,'Daten-Funktion'!$B$4:$BC$11,Database!$B7,FALSE)</f>
        <v>G4.1</v>
      </c>
      <c r="W28" s="39">
        <f>HLOOKUP($AK$31,'Daten-THGE'!$B$4:$BC$11,Database!$B7,FALSE)</f>
        <v>8.2333333333333338E-3</v>
      </c>
      <c r="X28" s="39">
        <f>HLOOKUP($AK$31,'Daten-Dichte'!$B$4:$BC$11,Database!$B7,FALSE)</f>
        <v>1550</v>
      </c>
      <c r="Y28" s="39">
        <f>HLOOKUP($AK$31,'Daten-Dicke'!$B$4:$BC$11,Database!$B7,FALSE)</f>
        <v>1.1612903225806452</v>
      </c>
      <c r="Z28" s="44"/>
      <c r="AA28" s="49">
        <f t="shared" si="24"/>
        <v>0.14820000000000003</v>
      </c>
      <c r="AB28" s="37"/>
      <c r="AC28" s="37"/>
    </row>
    <row r="29" spans="2:37" ht="15.75" x14ac:dyDescent="0.25">
      <c r="B29" s="42" t="s">
        <v>331</v>
      </c>
      <c r="C29" s="37"/>
      <c r="D29" s="39" t="str">
        <f>HLOOKUP($AJ$31,'Daten-Zusammensetzung Bauteil'!$B$4:$BC$11,Database!$B8,FALSE)</f>
        <v>Gipskartonplatte [kg]</v>
      </c>
      <c r="E29" s="99" t="str">
        <f>HLOOKUP($AJ$31,'Daten-Funktion'!$B$4:$BC$11,Database!$B8,FALSE)</f>
        <v>G4.1</v>
      </c>
      <c r="F29" s="39">
        <f>HLOOKUP($AJ$31,'Daten-THGE'!$B$4:$BC$11,Database!$B8,FALSE)</f>
        <v>9.7666666666666666E-3</v>
      </c>
      <c r="G29" s="39">
        <f>HLOOKUP($AJ$31,'Daten-Dichte'!$B$4:$BC$11,Database!$B8,FALSE)</f>
        <v>850</v>
      </c>
      <c r="H29" s="39">
        <f>HLOOKUP($AJ$31,'Daten-Dicke'!$B$4:$BC$11,Database!$B8,FALSE)</f>
        <v>1.25</v>
      </c>
      <c r="I29" s="44"/>
      <c r="J29" s="49">
        <f t="shared" si="25"/>
        <v>0.10377083333333333</v>
      </c>
      <c r="K29" s="37"/>
      <c r="L29" s="37"/>
      <c r="S29" s="42" t="s">
        <v>331</v>
      </c>
      <c r="T29" s="37"/>
      <c r="U29" s="39" t="str">
        <f>HLOOKUP($AK$31,'Daten-Zusammensetzung Bauteil'!$B$4:$BC$11,Database!$B8,FALSE)</f>
        <v>Deckputz (Weissputz) [kg]</v>
      </c>
      <c r="V29" s="99" t="str">
        <f>HLOOKUP($AK$31,'Daten-Funktion'!$B$4:$BC$11,Database!$B8,FALSE)</f>
        <v>G4.2</v>
      </c>
      <c r="W29" s="39">
        <f>HLOOKUP($AK$31,'Daten-THGE'!$B$4:$BC$11,Database!$B8,FALSE)</f>
        <v>4.8999999999999998E-3</v>
      </c>
      <c r="X29" s="39">
        <f>HLOOKUP($AK$31,'Daten-Dichte'!$B$4:$BC$11,Database!$B8,FALSE)</f>
        <v>1100</v>
      </c>
      <c r="Y29" s="39">
        <f>HLOOKUP($AK$31,'Daten-Dicke'!$B$4:$BC$11,Database!$B8,FALSE)</f>
        <v>0.31818181818181818</v>
      </c>
      <c r="Z29" s="44"/>
      <c r="AA29" s="49">
        <f t="shared" si="24"/>
        <v>1.7149999999999999E-2</v>
      </c>
      <c r="AB29" s="37"/>
      <c r="AC29" s="37"/>
      <c r="AJ29" s="12"/>
      <c r="AK29" s="12"/>
    </row>
    <row r="30" spans="2:37" ht="15.75" x14ac:dyDescent="0.25">
      <c r="B30" s="42" t="s">
        <v>234</v>
      </c>
      <c r="C30" s="37"/>
      <c r="D30" s="39" t="str">
        <f>HLOOKUP($AJ$31,'Daten-Zusammensetzung Bauteil'!$B$4:$BC$11,Database!$B9,FALSE)</f>
        <v>Spachtel [kg]</v>
      </c>
      <c r="E30" s="99" t="str">
        <f>HLOOKUP($AJ$31,'Daten-Funktion'!$B$4:$BC$11,Database!$B9,FALSE)</f>
        <v>G4.2</v>
      </c>
      <c r="F30" s="39">
        <f>HLOOKUP($AJ$31,'Daten-THGE'!$B$4:$BC$11,Database!$B9,FALSE)</f>
        <v>5.1666666666666666E-3</v>
      </c>
      <c r="G30" s="39">
        <f>HLOOKUP($AJ$31,'Daten-Dichte'!$B$4:$BC$11,Database!$B9,FALSE)</f>
        <v>925</v>
      </c>
      <c r="H30" s="39">
        <f>HLOOKUP($AJ$31,'Daten-Dicke'!$B$4:$BC$11,Database!$B9,FALSE)</f>
        <v>0.60540540540540544</v>
      </c>
      <c r="I30" s="44"/>
      <c r="J30" s="49">
        <f t="shared" si="25"/>
        <v>2.8933333333333332E-2</v>
      </c>
      <c r="K30" s="37"/>
      <c r="L30" s="37"/>
      <c r="M30" s="109"/>
      <c r="N30" s="109"/>
      <c r="O30" s="109"/>
      <c r="P30" s="109"/>
      <c r="Q30" s="109"/>
      <c r="R30" s="37"/>
      <c r="S30" s="42" t="s">
        <v>235</v>
      </c>
      <c r="T30" s="37"/>
      <c r="U30" s="39" t="str">
        <f>HLOOKUP($AK$31,'Daten-Zusammensetzung Bauteil'!$B$4:$BC$11,Database!$B9,FALSE)</f>
        <v>Wanddispersion [m2]</v>
      </c>
      <c r="V30" s="99" t="str">
        <f>HLOOKUP($AK$31,'Daten-Funktion'!$B$4:$BC$11,Database!$B9,FALSE)</f>
        <v>G4.2</v>
      </c>
      <c r="W30" s="39">
        <f>HLOOKUP($AK$31,'Daten-THGE'!$B$4:$BC$11,Database!$B9,FALSE)</f>
        <v>0.15111111111111114</v>
      </c>
      <c r="X30" s="39">
        <f>HLOOKUP($AK$31,'Daten-Dichte'!$B$4:$BC$11,Database!$B9,FALSE)</f>
        <v>150</v>
      </c>
      <c r="Y30" s="39">
        <f>HLOOKUP($AK$31,'Daten-Dicke'!$B$4:$BC$11,Database!$B9,FALSE)</f>
        <v>0.2</v>
      </c>
      <c r="Z30" s="44"/>
      <c r="AA30" s="49">
        <f t="shared" si="24"/>
        <v>4.5333333333333344E-2</v>
      </c>
      <c r="AB30" s="37"/>
      <c r="AC30" s="37"/>
      <c r="AJ30" s="12"/>
      <c r="AK30" s="12"/>
    </row>
    <row r="31" spans="2:37" ht="15.75" x14ac:dyDescent="0.25">
      <c r="B31" s="37"/>
      <c r="C31" s="37"/>
      <c r="D31" s="39" t="str">
        <f>HLOOKUP($AJ$31,'Daten-Zusammensetzung Bauteil'!$B$4:$BC$11,Database!$B10,FALSE)</f>
        <v>Wanddispersion [m2]</v>
      </c>
      <c r="E31" s="99" t="str">
        <f>HLOOKUP($AJ$31,'Daten-Funktion'!$B$4:$BC$11,Database!$B10,FALSE)</f>
        <v>G4.2</v>
      </c>
      <c r="F31" s="39">
        <f>HLOOKUP($AJ$31,'Daten-THGE'!$B$4:$BC$11,Database!$B10,FALSE)</f>
        <v>0.15111111111111114</v>
      </c>
      <c r="G31" s="39">
        <f>HLOOKUP($AJ$31,'Daten-Dichte'!$B$4:$BC$11,Database!$B10,FALSE)</f>
        <v>150</v>
      </c>
      <c r="H31" s="39">
        <f>HLOOKUP($AJ$31,'Daten-Dicke'!$B$4:$BC$11,Database!$B10,FALSE)</f>
        <v>0.2</v>
      </c>
      <c r="I31" s="44"/>
      <c r="J31" s="49">
        <f t="shared" si="25"/>
        <v>4.5333333333333344E-2</v>
      </c>
      <c r="K31" s="37"/>
      <c r="L31" s="37"/>
      <c r="S31" s="42" t="s">
        <v>317</v>
      </c>
      <c r="T31" s="37"/>
      <c r="U31" s="39">
        <f>HLOOKUP($AK$31,'Daten-Zusammensetzung Bauteil'!$B$4:$BC$11,Database!$B10,FALSE)</f>
        <v>0</v>
      </c>
      <c r="V31" s="99">
        <f>HLOOKUP($AK$31,'Daten-Funktion'!$B$4:$BC$11,Database!$B10,FALSE)</f>
        <v>0</v>
      </c>
      <c r="W31" s="39">
        <f>HLOOKUP($AK$31,'Daten-THGE'!$B$4:$BC$11,Database!$B10,FALSE)</f>
        <v>0</v>
      </c>
      <c r="X31" s="39">
        <f>HLOOKUP($AK$31,'Daten-Dichte'!$B$4:$BC$11,Database!$B10,FALSE)</f>
        <v>0</v>
      </c>
      <c r="Y31" s="39">
        <f>HLOOKUP($AK$31,'Daten-Dicke'!$B$4:$BC$11,Database!$B10,FALSE)</f>
        <v>0</v>
      </c>
      <c r="Z31" s="44"/>
      <c r="AA31" s="49">
        <f t="shared" si="24"/>
        <v>0</v>
      </c>
      <c r="AB31" s="37"/>
      <c r="AC31" s="37"/>
      <c r="AJ31" s="12" t="str">
        <f>VLOOKUP('Decke unter &amp; über Terrain'!$B$26,Database!$H$4:$K$6,4,FALSE)</f>
        <v>10c</v>
      </c>
      <c r="AK31" s="12" t="str">
        <f>VLOOKUP('Decke unter &amp; über Terrain'!$S$26,Database!$H$4:$K$6,4,FALSE)</f>
        <v>10a</v>
      </c>
    </row>
    <row r="32" spans="2:37" ht="15.75" x14ac:dyDescent="0.25">
      <c r="J32" s="49"/>
      <c r="S32" s="42"/>
      <c r="AA32" s="49"/>
      <c r="AJ32" s="65" t="str">
        <f>IF($B$26=Database!$H$6,"11c",IF($B$27=Database!$D$8,0,VLOOKUP($B$26,Database!$Y$29:$AH$31,9,FALSE)))</f>
        <v>11c</v>
      </c>
      <c r="AK32" s="12">
        <f>IF(AND($S$26=Database!$H$6,$S$27=Database!$D$7),"11c",IF(AND($S$27=Database!$D$8,'Decke unter &amp; über Terrain'!$S$29=Database!$D$10,$S$26&lt;&gt;Database!$H$6),"11a",VLOOKUP($S$27,Database!$D$6:$E$15,2,FALSE)))</f>
        <v>0</v>
      </c>
    </row>
    <row r="33" spans="2:37" ht="15.75" x14ac:dyDescent="0.25">
      <c r="C33" s="40" t="s">
        <v>247</v>
      </c>
      <c r="D33" s="39" t="str">
        <f>IF($AJ$32=0,0,HLOOKUP($AJ$32,'Daten-Zusammensetzung Bauteil'!$B$4:$BC$8,Database!$B4,FALSE))</f>
        <v>Stahlblech verzinkt [kg]</v>
      </c>
      <c r="E33" s="99" t="str">
        <f>IF($AJ$32=0,0,HLOOKUP($AJ$32,'Daten-Funktion'!$B$4:$BC$8,Database!$B4,FALSE))</f>
        <v>G4.2</v>
      </c>
      <c r="F33" s="39">
        <f>IF($AJ$32=0,0,HLOOKUP($AJ$32,'Daten-THGE'!$B$4:$BC$8,Database!$B4,FALSE))</f>
        <v>0.11699999999999999</v>
      </c>
      <c r="G33" s="39">
        <f>IF($AJ$32=0,0,HLOOKUP($AJ$32,'Daten-Dichte'!$B$4:$BC$8,Database!$B4,FALSE))</f>
        <v>7850</v>
      </c>
      <c r="H33" s="39">
        <f>IF($AJ$32=0,0,HLOOKUP($AJ$32,'Daten-Dicke'!$B$4:$BC$8,Database!$B4,FALSE))</f>
        <v>0.06</v>
      </c>
      <c r="I33" s="44"/>
      <c r="J33" s="49">
        <f>IF(I33=0,G33*H33/100*F33,F33*G33*I33/1000)</f>
        <v>0.55106999999999995</v>
      </c>
      <c r="S33" s="42" t="s">
        <v>311</v>
      </c>
      <c r="T33" s="40" t="s">
        <v>247</v>
      </c>
      <c r="U33" s="39">
        <f>IF($AK$32=0,0,HLOOKUP($AK$32,'Daten-Zusammensetzung Bauteil'!$B$4:$BC$8,Database!$B4,FALSE))</f>
        <v>0</v>
      </c>
      <c r="V33" s="99">
        <f>IF($AK$32=0,0,HLOOKUP($AK$32,'Daten-Funktion'!$B$4:$BC$8,Database!$B4,FALSE))</f>
        <v>0</v>
      </c>
      <c r="W33" s="39">
        <f>IF($AK$32=0,0,HLOOKUP($AK$32,'Daten-THGE'!$B$4:$BC$8,Database!$B4,FALSE))</f>
        <v>0</v>
      </c>
      <c r="X33" s="39">
        <f>IF($AK$32=0,0,HLOOKUP($AK$32,'Daten-Dichte'!$B$4:$BC$8,Database!$B4,FALSE))</f>
        <v>0</v>
      </c>
      <c r="Y33" s="39">
        <f>IF($AK$32=0,0,HLOOKUP($AK$32,'Daten-Dicke'!$B$4:$BC$8,Database!$B4,FALSE))</f>
        <v>0</v>
      </c>
      <c r="Z33" s="44"/>
      <c r="AA33" s="49">
        <f>IF(Z33=0,X33*Y33/100*W33,W33*X33*Z12/1000)</f>
        <v>0</v>
      </c>
      <c r="AJ33" s="12">
        <f>VLOOKUP($B$28,Database!$D$6:$E$13,2,FALSE)</f>
        <v>0</v>
      </c>
      <c r="AK33" s="12">
        <f>VLOOKUP($S$28,Database!$D$6:$E$13,2,FALSE)</f>
        <v>0</v>
      </c>
    </row>
    <row r="34" spans="2:37" ht="15.75" x14ac:dyDescent="0.25">
      <c r="D34" s="39" t="str">
        <f>IF($AJ$32=0,0,HLOOKUP($AJ$32,'Daten-Zusammensetzung Bauteil'!$B$4:$BC$8,Database!$B5,FALSE))</f>
        <v>Pulverbeschichten Stahl [m2]</v>
      </c>
      <c r="E34" s="99" t="str">
        <f>IF($AJ$32=0,0,HLOOKUP($AJ$32,'Daten-Funktion'!$B$4:$BC$8,Database!$B5,FALSE))</f>
        <v>G4.2</v>
      </c>
      <c r="F34" s="39">
        <f>IF($AJ$32=0,0,HLOOKUP($AJ$32,'Daten-THGE'!$B$4:$BC$8,Database!$B5,FALSE))</f>
        <v>1.5</v>
      </c>
      <c r="G34" s="39">
        <f>IF($AJ$32=0,0,HLOOKUP($AJ$32,'Daten-Dichte'!$B$4:$BC$8,Database!$B5,FALSE))</f>
        <v>1000</v>
      </c>
      <c r="H34" s="39">
        <f>IF($AJ$32=0,0,HLOOKUP($AJ$32,'Daten-Dicke'!$B$4:$BC$8,Database!$B5,FALSE))</f>
        <v>0.01</v>
      </c>
      <c r="I34" s="44"/>
      <c r="J34" s="49">
        <f t="shared" ref="J34:J36" si="26">IF(I34=0,G34*H34/100*F34,F34*G34*I34/1000)</f>
        <v>0.15000000000000002</v>
      </c>
      <c r="S34" s="42"/>
      <c r="U34" s="39">
        <f>IF($AK$32=0,0,HLOOKUP($AK$32,'Daten-Zusammensetzung Bauteil'!$B$4:$BC$8,Database!$B5,FALSE))</f>
        <v>0</v>
      </c>
      <c r="V34" s="99">
        <f>IF($AK$32=0,0,HLOOKUP($AK$32,'Daten-Funktion'!$B$4:$BC$8,Database!$B5,FALSE))</f>
        <v>0</v>
      </c>
      <c r="W34" s="39">
        <f>IF($AK$32=0,0,HLOOKUP($AK$32,'Daten-THGE'!$B$4:$BC$8,Database!$B5,FALSE))</f>
        <v>0</v>
      </c>
      <c r="X34" s="39">
        <f>IF($AK$32=0,0,HLOOKUP($AK$32,'Daten-Dichte'!$B$4:$BC$8,Database!$B5,FALSE))</f>
        <v>0</v>
      </c>
      <c r="Y34" s="39">
        <f>IF($AK$32=0,0,HLOOKUP($AK$32,'Daten-Dicke'!$B$4:$BC$8,Database!$B5,FALSE))</f>
        <v>0</v>
      </c>
      <c r="Z34" s="44"/>
      <c r="AA34" s="49">
        <f>IF(Z34=0,X34*Y34/100*W34,W34*X34*Z13/1000)</f>
        <v>0</v>
      </c>
    </row>
    <row r="35" spans="2:37" ht="15.75" x14ac:dyDescent="0.25">
      <c r="C35" s="37"/>
      <c r="D35" s="39" t="str">
        <f>IF($AJ$32=0,0,HLOOKUP($AJ$32,'Daten-Zusammensetzung Bauteil'!$B$4:$BC$8,Database!$B6,FALSE))</f>
        <v>Akustikvlies [kg]</v>
      </c>
      <c r="E35" s="99" t="str">
        <f>IF($AJ$32=0,0,HLOOKUP($AJ$32,'Daten-Funktion'!$B$4:$BC$8,Database!$B6,FALSE))</f>
        <v>G4.2</v>
      </c>
      <c r="F35" s="39">
        <f>IF($AJ$32=0,0,HLOOKUP($AJ$32,'Daten-THGE'!$B$4:$BC$8,Database!$B6,FALSE))</f>
        <v>0.18433333333333335</v>
      </c>
      <c r="G35" s="39">
        <f>IF($AJ$32=0,0,HLOOKUP($AJ$32,'Daten-Dichte'!$B$4:$BC$8,Database!$B6,FALSE))</f>
        <v>920</v>
      </c>
      <c r="H35" s="39">
        <f>IF($AJ$32=0,0,HLOOKUP($AJ$32,'Daten-Dicke'!$B$4:$BC$8,Database!$B6,FALSE))</f>
        <v>8.152173913043478E-3</v>
      </c>
      <c r="I35" s="44"/>
      <c r="J35" s="49">
        <f t="shared" si="26"/>
        <v>1.3825E-2</v>
      </c>
      <c r="T35" s="37"/>
      <c r="U35" s="39">
        <f>IF($AK$32=0,0,HLOOKUP($AK$32,'Daten-Zusammensetzung Bauteil'!$B$4:$BC$8,Database!$B6,FALSE))</f>
        <v>0</v>
      </c>
      <c r="V35" s="99">
        <f>IF($AK$32=0,0,HLOOKUP($AK$32,'Daten-Funktion'!$B$4:$BC$8,Database!$B6,FALSE))</f>
        <v>0</v>
      </c>
      <c r="W35" s="39">
        <f>IF($AK$32=0,0,HLOOKUP($AK$32,'Daten-THGE'!$B$4:$BC$8,Database!$B6,FALSE))</f>
        <v>0</v>
      </c>
      <c r="X35" s="39">
        <f>IF($AK$32=0,0,HLOOKUP($AK$32,'Daten-Dichte'!$B$4:$BC$8,Database!$B6,FALSE))</f>
        <v>0</v>
      </c>
      <c r="Y35" s="39">
        <f>IF($AK$32=0,0,HLOOKUP($AK$32,'Daten-Dicke'!$B$4:$BC$8,Database!$B6,FALSE))</f>
        <v>0</v>
      </c>
      <c r="Z35" s="44"/>
      <c r="AA35" s="49">
        <f>IF(Z35=0,X35*Y35/100*W35,W35*X35*Z14/1000)</f>
        <v>0</v>
      </c>
      <c r="AJ35" s="12">
        <f>IF($B$30=Database!$D$14,1,0)</f>
        <v>1</v>
      </c>
      <c r="AK35" s="12">
        <f>IF($S$30=Database!$D$14,1,0)</f>
        <v>0</v>
      </c>
    </row>
    <row r="36" spans="2:37" ht="15.75" x14ac:dyDescent="0.25">
      <c r="C36" s="37"/>
      <c r="D36" s="39" t="str">
        <f>IF($AJ$32=0,0,HLOOKUP($AJ$32,'Daten-Zusammensetzung Bauteil'!$B$4:$BC$8,Database!$B7,FALSE))</f>
        <v>Stahlprofile verzinkt [kg]</v>
      </c>
      <c r="E36" s="99" t="str">
        <f>IF($AJ$32=0,0,HLOOKUP($AJ$32,'Daten-Funktion'!$B$4:$BC$8,Database!$B7,FALSE))</f>
        <v>G4.1</v>
      </c>
      <c r="F36" s="39">
        <f>IF($AJ$32=0,0,HLOOKUP($AJ$32,'Daten-THGE'!$B$4:$BC$8,Database!$B7,FALSE))</f>
        <v>2.4466666666666668E-2</v>
      </c>
      <c r="G36" s="39">
        <f>IF($AJ$32=0,0,HLOOKUP($AJ$32,'Daten-Dichte'!$B$4:$BC$8,Database!$B7,FALSE))</f>
        <v>7850</v>
      </c>
      <c r="H36" s="39">
        <f>IF($AJ$32=0,0,HLOOKUP($AJ$32,'Daten-Dicke'!$B$4:$BC$8,Database!$B7,FALSE))</f>
        <v>2.802547770700637E-2</v>
      </c>
      <c r="I36" s="44"/>
      <c r="J36" s="49">
        <f t="shared" si="26"/>
        <v>5.3826666666666675E-2</v>
      </c>
      <c r="T36" s="37"/>
      <c r="U36" s="39">
        <f>IF($AK$32=0,0,HLOOKUP($AK$32,'Daten-Zusammensetzung Bauteil'!$B$4:$BC$8,Database!$B7,FALSE))</f>
        <v>0</v>
      </c>
      <c r="V36" s="99">
        <f>IF($AK$32=0,0,HLOOKUP($AK$32,'Daten-Funktion'!$B$4:$BC$8,Database!$B7,FALSE))</f>
        <v>0</v>
      </c>
      <c r="W36" s="39">
        <f>IF($AK$32=0,0,HLOOKUP($AK$32,'Daten-THGE'!$B$4:$BC$8,Database!$B7,FALSE))</f>
        <v>0</v>
      </c>
      <c r="X36" s="39">
        <f>IF($AK$32=0,0,HLOOKUP($AK$32,'Daten-Dichte'!$B$4:$BC$8,Database!$B7,FALSE))</f>
        <v>0</v>
      </c>
      <c r="Y36" s="39">
        <f>IF($AK$32=0,0,HLOOKUP($AK$32,'Daten-Dicke'!$B$4:$BC$8,Database!$B7,FALSE))</f>
        <v>0</v>
      </c>
      <c r="Z36" s="44"/>
      <c r="AA36" s="49">
        <f>IF(Z36=0,X36*Y36/100*W36,W36*X36*Z15/1000)</f>
        <v>0</v>
      </c>
    </row>
    <row r="37" spans="2:37" ht="15.75" x14ac:dyDescent="0.25">
      <c r="J37" s="49"/>
      <c r="AA37" s="49"/>
    </row>
    <row r="38" spans="2:37" ht="15.75" x14ac:dyDescent="0.25">
      <c r="C38" s="40" t="s">
        <v>191</v>
      </c>
      <c r="D38" s="39">
        <f>IF($AJ$33=0,0,HLOOKUP($AJ$33,'Daten-Zusammensetzung Bauteil'!$B$4:$BC$9,Database!$B4,FALSE))</f>
        <v>0</v>
      </c>
      <c r="E38" s="99">
        <f>IF($AJ$33=0,0,HLOOKUP($AJ$33,'Daten-Funktion'!$B$4:$BC$9,Database!$B4,FALSE))</f>
        <v>0</v>
      </c>
      <c r="F38" s="39">
        <f>IF($AJ$33=0,0,HLOOKUP($AJ$33,'Daten-THGE'!$B$4:$BC$9,Database!$B4,FALSE))</f>
        <v>0</v>
      </c>
      <c r="G38" s="39">
        <f>IF($AJ$33=0,0,HLOOKUP($AJ$33,'Daten-Dichte'!$B$4:$BC$9,Database!$B4,FALSE))</f>
        <v>0</v>
      </c>
      <c r="H38" s="39">
        <f>IF($AJ$33=0,0,HLOOKUP($AJ$33,'Daten-Dicke'!$B$4:$BC$9,Database!$B4,FALSE))</f>
        <v>0</v>
      </c>
      <c r="I38" s="44"/>
      <c r="J38" s="49">
        <f>IF(I38=0,G38*H38/100*F38,F38*G38*I38/1000)</f>
        <v>0</v>
      </c>
      <c r="T38" s="40" t="s">
        <v>191</v>
      </c>
      <c r="U38" s="39">
        <f>IF($AK$33=0,0,HLOOKUP($AK$33,'Daten-Zusammensetzung Bauteil'!$B$4:$BC$9,Database!$B4,FALSE))</f>
        <v>0</v>
      </c>
      <c r="V38" s="99">
        <f>IF($AK$33=0,0,HLOOKUP($AK$33,'Daten-Funktion'!$B$4:$BC$9,Database!$B4,FALSE))</f>
        <v>0</v>
      </c>
      <c r="W38" s="39">
        <f>IF($AK$33=0,0,HLOOKUP($AK$33,'Daten-THGE'!$B$4:$BC$9,Database!$B4,FALSE))</f>
        <v>0</v>
      </c>
      <c r="X38" s="39">
        <f>IF($AK$33=0,0,HLOOKUP($AK$33,'Daten-Dichte'!$B$4:$BC$9,Database!$B4,FALSE))</f>
        <v>0</v>
      </c>
      <c r="Y38" s="39">
        <f>IF($AK$33=0,0,HLOOKUP($AK$33,'Daten-Dicke'!$B$4:$BC$9,Database!$B4,FALSE))</f>
        <v>0</v>
      </c>
      <c r="Z38" s="44"/>
      <c r="AA38" s="49">
        <f>IF(Z38=0,X38*Y38/100*W38,W38*X38*Z17/1000)</f>
        <v>0</v>
      </c>
    </row>
    <row r="39" spans="2:37" ht="15.75" x14ac:dyDescent="0.25">
      <c r="D39" s="39">
        <f>IF($AJ$33=0,0,HLOOKUP($AJ$33,'Daten-Zusammensetzung Bauteil'!$B$4:$BC$9,Database!$B5,FALSE))</f>
        <v>0</v>
      </c>
      <c r="E39" s="99">
        <f>IF($AJ$33=0,0,HLOOKUP($AJ$33,'Daten-Funktion'!$B$4:$BC$9,Database!$B5,FALSE))</f>
        <v>0</v>
      </c>
      <c r="F39" s="39">
        <f>IF($AJ$33=0,0,HLOOKUP($AJ$33,'Daten-THGE'!$B$4:$BC$9,Database!$B5,FALSE))</f>
        <v>0</v>
      </c>
      <c r="G39" s="39">
        <f>IF($AJ$33=0,0,HLOOKUP($AJ$33,'Daten-Dichte'!$B$4:$BC$9,Database!$B5,FALSE))</f>
        <v>0</v>
      </c>
      <c r="H39" s="39">
        <f>IF($AJ$33=0,0,HLOOKUP($AJ$33,'Daten-Dicke'!$B$4:$BC$9,Database!$B5,FALSE))</f>
        <v>0</v>
      </c>
      <c r="I39" s="44"/>
      <c r="J39" s="49">
        <f t="shared" ref="J39:J42" si="27">IF(I39=0,G39*H39/100*F39,F39*G39*I39/1000)</f>
        <v>0</v>
      </c>
      <c r="U39" s="39">
        <f>IF($AK$33=0,0,HLOOKUP($AK$33,'Daten-Zusammensetzung Bauteil'!$B$4:$BC$9,Database!$B5,FALSE))</f>
        <v>0</v>
      </c>
      <c r="V39" s="99">
        <f>IF($AK$33=0,0,HLOOKUP($AK$33,'Daten-Funktion'!$B$4:$BC$9,Database!$B5,FALSE))</f>
        <v>0</v>
      </c>
      <c r="W39" s="39">
        <f>IF($AK$33=0,0,HLOOKUP($AK$33,'Daten-THGE'!$B$4:$BC$9,Database!$B5,FALSE))</f>
        <v>0</v>
      </c>
      <c r="X39" s="39">
        <f>IF($AK$33=0,0,HLOOKUP($AK$33,'Daten-Dichte'!$B$4:$BC$9,Database!$B5,FALSE))</f>
        <v>0</v>
      </c>
      <c r="Y39" s="39">
        <f>IF($AK$33=0,0,HLOOKUP($AK$33,'Daten-Dicke'!$B$4:$BC$9,Database!$B5,FALSE))</f>
        <v>0</v>
      </c>
      <c r="Z39" s="44"/>
      <c r="AA39" s="49">
        <f>IF(Z39=0,X39*Y39/100*W39,W39*X39*Z18/1000)</f>
        <v>0</v>
      </c>
    </row>
    <row r="40" spans="2:37" ht="15.75" x14ac:dyDescent="0.25">
      <c r="D40" s="39">
        <f>IF($AJ$33=0,0,HLOOKUP($AJ$33,'Daten-Zusammensetzung Bauteil'!$B$4:$BC$9,Database!$B6,FALSE))</f>
        <v>0</v>
      </c>
      <c r="E40" s="99">
        <f>IF($AJ$33=0,0,HLOOKUP($AJ$33,'Daten-Funktion'!$B$4:$BC$9,Database!$B6,FALSE))</f>
        <v>0</v>
      </c>
      <c r="F40" s="39">
        <f>IF($AJ$33=0,0,HLOOKUP($AJ$33,'Daten-THGE'!$B$4:$BC$9,Database!$B6,FALSE))</f>
        <v>0</v>
      </c>
      <c r="G40" s="39">
        <f>IF($AJ$33=0,0,HLOOKUP($AJ$33,'Daten-Dichte'!$B$4:$BC$9,Database!$B6,FALSE))</f>
        <v>0</v>
      </c>
      <c r="H40" s="39">
        <f>IF($AJ$33=0,0,HLOOKUP($AJ$33,'Daten-Dicke'!$B$4:$BC$9,Database!$B6,FALSE))</f>
        <v>0</v>
      </c>
      <c r="I40" s="44"/>
      <c r="J40" s="49">
        <f t="shared" si="27"/>
        <v>0</v>
      </c>
      <c r="U40" s="39">
        <f>IF($AK$33=0,0,HLOOKUP($AK$33,'Daten-Zusammensetzung Bauteil'!$B$4:$BC$9,Database!$B6,FALSE))</f>
        <v>0</v>
      </c>
      <c r="V40" s="99">
        <f>IF($AK$33=0,0,HLOOKUP($AK$33,'Daten-Funktion'!$B$4:$BC$9,Database!$B6,FALSE))</f>
        <v>0</v>
      </c>
      <c r="W40" s="39">
        <f>IF($AK$33=0,0,HLOOKUP($AK$33,'Daten-THGE'!$B$4:$BC$9,Database!$B6,FALSE))</f>
        <v>0</v>
      </c>
      <c r="X40" s="39">
        <f>IF($AK$33=0,0,HLOOKUP($AK$33,'Daten-Dichte'!$B$4:$BC$9,Database!$B6,FALSE))</f>
        <v>0</v>
      </c>
      <c r="Y40" s="39">
        <f>IF($AK$33=0,0,HLOOKUP($AK$33,'Daten-Dicke'!$B$4:$BC$9,Database!$B6,FALSE))</f>
        <v>0</v>
      </c>
      <c r="Z40" s="44"/>
      <c r="AA40" s="49">
        <f>IF(Z40=0,X40*Y40/100*W40,W40*X40*Z19/1000)</f>
        <v>0</v>
      </c>
    </row>
    <row r="41" spans="2:37" ht="15.75" x14ac:dyDescent="0.25">
      <c r="D41" s="39">
        <f>IF($AJ$33=0,0,HLOOKUP($AJ$33,'Daten-Zusammensetzung Bauteil'!$B$4:$BC$9,Database!$B7,FALSE))</f>
        <v>0</v>
      </c>
      <c r="E41" s="99">
        <f>IF($AJ$33=0,0,HLOOKUP($AJ$33,'Daten-Funktion'!$B$4:$BC$9,Database!$B7,FALSE))</f>
        <v>0</v>
      </c>
      <c r="F41" s="39">
        <f>IF($AJ$33=0,0,HLOOKUP($AJ$33,'Daten-THGE'!$B$4:$BC$9,Database!$B7,FALSE))</f>
        <v>0</v>
      </c>
      <c r="G41" s="39">
        <f>IF($AJ$33=0,0,HLOOKUP($AJ$33,'Daten-Dichte'!$B$4:$BC$9,Database!$B7,FALSE))</f>
        <v>0</v>
      </c>
      <c r="H41" s="39">
        <f>IF($AJ$33=0,0,HLOOKUP($AJ$33,'Daten-Dicke'!$B$4:$BC$9,Database!$B7,FALSE))</f>
        <v>0</v>
      </c>
      <c r="I41" s="44"/>
      <c r="J41" s="49">
        <f t="shared" si="27"/>
        <v>0</v>
      </c>
      <c r="U41" s="39">
        <f>IF($AK$33=0,0,HLOOKUP($AK$33,'Daten-Zusammensetzung Bauteil'!$B$4:$BC$9,Database!$B7,FALSE))</f>
        <v>0</v>
      </c>
      <c r="V41" s="99">
        <f>IF($AK$33=0,0,HLOOKUP($AK$33,'Daten-Funktion'!$B$4:$BC$9,Database!$B7,FALSE))</f>
        <v>0</v>
      </c>
      <c r="W41" s="39">
        <f>IF($AK$33=0,0,HLOOKUP($AK$33,'Daten-THGE'!$B$4:$BC$9,Database!$B7,FALSE))</f>
        <v>0</v>
      </c>
      <c r="X41" s="39">
        <f>IF($AK$33=0,0,HLOOKUP($AK$33,'Daten-Dichte'!$B$4:$BC$9,Database!$B7,FALSE))</f>
        <v>0</v>
      </c>
      <c r="Y41" s="39">
        <f>IF($AK$33=0,0,HLOOKUP($AK$33,'Daten-Dicke'!$B$4:$BC$9,Database!$B7,FALSE))</f>
        <v>0</v>
      </c>
      <c r="Z41" s="44"/>
      <c r="AA41" s="49">
        <f>IF(Z41=0,X41*Y41/100*W41,W41*X41*Z20/1000)</f>
        <v>0</v>
      </c>
    </row>
    <row r="42" spans="2:37" ht="15.75" x14ac:dyDescent="0.25">
      <c r="D42" s="39">
        <f>IF($AJ$33=0,0,HLOOKUP($AJ$33,'Daten-Zusammensetzung Bauteil'!$B$4:$BC$9,Database!$B8,FALSE))</f>
        <v>0</v>
      </c>
      <c r="E42" s="99">
        <f>IF($AJ$33=0,0,HLOOKUP($AJ$33,'Daten-Funktion'!$B$4:$BC$9,Database!$B8,FALSE))</f>
        <v>0</v>
      </c>
      <c r="F42" s="39">
        <f>IF($AJ$33=0,0,HLOOKUP($AJ$33,'Daten-THGE'!$B$4:$BC$9,Database!$B8,FALSE))</f>
        <v>0</v>
      </c>
      <c r="G42" s="39">
        <f>IF($AJ$33=0,0,HLOOKUP($AJ$33,'Daten-Dichte'!$B$4:$BC$9,Database!$B8,FALSE))</f>
        <v>0</v>
      </c>
      <c r="H42" s="39">
        <f>IF($AJ$33=0,0,HLOOKUP($AJ$33,'Daten-Dicke'!$B$4:$BC$9,Database!$B8,FALSE))</f>
        <v>0</v>
      </c>
      <c r="I42" s="44"/>
      <c r="J42" s="49">
        <f t="shared" si="27"/>
        <v>0</v>
      </c>
      <c r="U42" s="39">
        <f>IF($AK$33=0,0,HLOOKUP($AK$33,'Daten-Zusammensetzung Bauteil'!$B$4:$BC$9,Database!$B8,FALSE))</f>
        <v>0</v>
      </c>
      <c r="V42" s="99">
        <f>IF($AK$33=0,0,HLOOKUP($AK$33,'Daten-Funktion'!$B$4:$BC$9,Database!$B8,FALSE))</f>
        <v>0</v>
      </c>
      <c r="W42" s="39">
        <f>IF($AK$33=0,0,HLOOKUP($AK$33,'Daten-THGE'!$B$4:$BC$9,Database!$B8,FALSE))</f>
        <v>0</v>
      </c>
      <c r="X42" s="39">
        <f>IF($AK$33=0,0,HLOOKUP($AK$33,'Daten-Dichte'!$B$4:$BC$9,Database!$B8,FALSE))</f>
        <v>0</v>
      </c>
      <c r="Y42" s="39">
        <f>IF($AK$33=0,0,HLOOKUP($AK$33,'Daten-Dicke'!$B$4:$BC$9,Database!$B8,FALSE))</f>
        <v>0</v>
      </c>
      <c r="Z42" s="44"/>
      <c r="AA42" s="49">
        <f>IF(Z42=0,X42*Y42/100*W42,W42*X42*Z21/1000)</f>
        <v>0</v>
      </c>
    </row>
    <row r="43" spans="2:37" x14ac:dyDescent="0.25">
      <c r="M43" s="107" t="s">
        <v>394</v>
      </c>
      <c r="N43" s="107" t="s">
        <v>410</v>
      </c>
      <c r="O43" s="107" t="s">
        <v>442</v>
      </c>
      <c r="P43" s="107" t="s">
        <v>412</v>
      </c>
      <c r="Q43" s="107" t="s">
        <v>413</v>
      </c>
      <c r="AD43" s="107" t="s">
        <v>394</v>
      </c>
      <c r="AE43" s="107" t="s">
        <v>410</v>
      </c>
      <c r="AF43" s="107" t="s">
        <v>411</v>
      </c>
      <c r="AG43" s="107" t="s">
        <v>412</v>
      </c>
      <c r="AH43" s="107" t="s">
        <v>413</v>
      </c>
    </row>
    <row r="44" spans="2:37" ht="20.25" x14ac:dyDescent="0.3">
      <c r="B44" s="41" t="s">
        <v>361</v>
      </c>
      <c r="C44" s="41"/>
      <c r="D44" s="40" t="s">
        <v>227</v>
      </c>
      <c r="E44" s="93"/>
      <c r="F44" s="40" t="s">
        <v>182</v>
      </c>
      <c r="G44" s="40" t="s">
        <v>226</v>
      </c>
      <c r="H44" s="40" t="s">
        <v>242</v>
      </c>
      <c r="I44" s="42" t="s">
        <v>243</v>
      </c>
      <c r="J44" s="40" t="s">
        <v>193</v>
      </c>
      <c r="K44" s="38" t="s">
        <v>194</v>
      </c>
      <c r="L44" s="37"/>
      <c r="S44" s="41" t="s">
        <v>361</v>
      </c>
      <c r="U44" s="40" t="s">
        <v>227</v>
      </c>
      <c r="V44" s="93"/>
      <c r="W44" s="40" t="s">
        <v>182</v>
      </c>
      <c r="X44" s="40" t="s">
        <v>226</v>
      </c>
      <c r="Y44" s="40" t="s">
        <v>242</v>
      </c>
      <c r="Z44" s="42" t="s">
        <v>243</v>
      </c>
      <c r="AA44" s="40" t="s">
        <v>193</v>
      </c>
      <c r="AB44" s="38" t="s">
        <v>194</v>
      </c>
      <c r="AC44" s="37"/>
    </row>
    <row r="45" spans="2:37" ht="15.75" x14ac:dyDescent="0.25">
      <c r="B45" s="40" t="s">
        <v>229</v>
      </c>
      <c r="C45" s="40" t="s">
        <v>246</v>
      </c>
      <c r="D45" s="39" t="str">
        <f>HLOOKUP($AJ$52,'Daten-Zusammensetzung Bauteil'!$B$4:$BC$14,Database!$B4,FALSE)</f>
        <v>Hochbaubeton 25 cm [kg]</v>
      </c>
      <c r="E45" s="99" t="str">
        <f>MID(HLOOKUP($AJ$52,'Daten-Funktion'!$B$4:$BC$14,Database!$B4,FALSE),1,2)</f>
        <v>C4</v>
      </c>
      <c r="F45" s="39">
        <f>HLOOKUP($AJ$52,'Daten-THGE'!$B$4:$BC$14,Database!$B4,FALSE)</f>
        <v>1.6533333333333333E-3</v>
      </c>
      <c r="G45" s="39">
        <f>HLOOKUP($AJ$52,'Daten-Dichte'!$B$4:$BC$14,Database!$B4,FALSE)</f>
        <v>2300</v>
      </c>
      <c r="H45" s="39">
        <f>HLOOKUP($AJ$52,'Daten-Dicke'!$B$4:$BC$14,Database!$B4,FALSE)</f>
        <v>24.649681528662423</v>
      </c>
      <c r="I45" s="43"/>
      <c r="J45" s="49">
        <f>IF(I45=0,G45*H45/100*F45,F45*G45*I45/1000)</f>
        <v>0.93734522292993627</v>
      </c>
      <c r="K45" s="50">
        <f>SUM(J45:J62)*Gebäude!$C$36*(Gebäude!$C$32-1)</f>
        <v>1767.3295615711254</v>
      </c>
      <c r="L45" s="40" t="s">
        <v>244</v>
      </c>
      <c r="M45" s="103">
        <f>IF(E45="C4",1,0)</f>
        <v>1</v>
      </c>
      <c r="N45" s="103">
        <f>IF(E45="G4.1",1,0)</f>
        <v>0</v>
      </c>
      <c r="O45" s="103">
        <f>IF(E45="G4.2",1,0)</f>
        <v>0</v>
      </c>
      <c r="P45" s="103">
        <f>IF(E45="G2.1",1,0)</f>
        <v>0</v>
      </c>
      <c r="Q45" s="103">
        <f>IF(E45="G2.2",1,0)</f>
        <v>0</v>
      </c>
      <c r="S45" s="40" t="s">
        <v>245</v>
      </c>
      <c r="T45" s="40" t="s">
        <v>246</v>
      </c>
      <c r="U45" s="39" t="str">
        <f>HLOOKUP($AK$52,'Daten-Zusammensetzung Bauteil'!$B$4:$BC$14,Database!$B4,FALSE)</f>
        <v>Hochbaubeton 25 cm [kg]</v>
      </c>
      <c r="V45" s="99" t="str">
        <f>MID(HLOOKUP($AK$52,'Daten-Funktion'!$B$4:$BC$14,Database!$B4,FALSE),1,2)</f>
        <v>C4</v>
      </c>
      <c r="W45" s="39">
        <f>HLOOKUP($AK$52,'Daten-THGE'!$B$4:$BC$14,Database!$B4,FALSE)</f>
        <v>1.6533333333333333E-3</v>
      </c>
      <c r="X45" s="39">
        <f>HLOOKUP($AK$52,'Daten-Dichte'!$B$4:$BC$14,Database!$B4,FALSE)</f>
        <v>2300</v>
      </c>
      <c r="Y45" s="39">
        <f>HLOOKUP($AK$52,'Daten-Dicke'!$B$4:$BC$14,Database!$B4,FALSE)</f>
        <v>24.649681528662423</v>
      </c>
      <c r="Z45" s="43"/>
      <c r="AA45" s="49">
        <f>IF(Z45=0,X45*Y45/100*W45,W45*X45*Z45/1000)</f>
        <v>0.93734522292993627</v>
      </c>
      <c r="AB45" s="50">
        <f>IF(AK55=0,0,SUM(AA45:AA51)*Gebäude!$C$35*Gebäude!$C$31+SUM('Decke unter &amp; über Terrain'!AA53:AA56)*Gebäude!$C$35+SUM('Decke unter &amp; über Terrain'!AA58:AA62)*Gebäude!$C$35*Gebäude!$C$31)</f>
        <v>633.83023911889597</v>
      </c>
      <c r="AC45" s="40" t="s">
        <v>244</v>
      </c>
      <c r="AD45" s="103">
        <f>IF(V45="C4",1,0)</f>
        <v>1</v>
      </c>
      <c r="AE45" s="103">
        <f>IF(V45="G4.1",1,0)</f>
        <v>0</v>
      </c>
      <c r="AF45" s="103">
        <f>IF(V45="G4.2",1,0)</f>
        <v>0</v>
      </c>
      <c r="AG45" s="103">
        <f>IF(V45="G2.1",1,0)</f>
        <v>0</v>
      </c>
      <c r="AH45" s="103">
        <v>0</v>
      </c>
      <c r="AI45"/>
    </row>
    <row r="46" spans="2:37" ht="15.75" x14ac:dyDescent="0.25">
      <c r="B46" s="40" t="str">
        <f>Gebäude!$G$25</f>
        <v>Massivbauweise</v>
      </c>
      <c r="C46" s="40"/>
      <c r="D46" s="39" t="str">
        <f>HLOOKUP($AJ$52,'Daten-Zusammensetzung Bauteil'!$B$4:$BC$14,Database!$B5,FALSE)</f>
        <v>Armierungsstahl (Bewehrungsgehalt 90 kg/m3) [kg]</v>
      </c>
      <c r="E46" s="99" t="str">
        <f>MID(HLOOKUP($AJ$52,'Daten-Funktion'!$B$4:$BC$14,Database!$B5,FALSE),1,2)</f>
        <v>C4</v>
      </c>
      <c r="F46" s="39">
        <f>HLOOKUP($AJ$52,'Daten-THGE'!$B$4:$BC$14,Database!$B5,FALSE)</f>
        <v>1.1366666666666667E-2</v>
      </c>
      <c r="G46" s="39">
        <f>HLOOKUP($AJ$52,'Daten-Dichte'!$B$4:$BC$14,Database!$B5,FALSE)</f>
        <v>7850</v>
      </c>
      <c r="H46" s="39">
        <f>HLOOKUP($AJ$52,'Daten-Dicke'!$B$4:$BC$14,Database!$B5,FALSE)</f>
        <v>0.35031847133757965</v>
      </c>
      <c r="I46" s="43"/>
      <c r="J46" s="49">
        <f t="shared" ref="J46:J62" si="28">IF(I46=0,G46*H46/100*F46,F46*G46*I46/1000)</f>
        <v>0.31258333333333338</v>
      </c>
      <c r="K46" s="39"/>
      <c r="L46" s="37"/>
      <c r="M46" s="103">
        <f t="shared" ref="M46:M51" si="29">IF(E46="C4",1,0)</f>
        <v>1</v>
      </c>
      <c r="N46" s="103">
        <f t="shared" ref="N46:N51" si="30">IF(E46="G4.1",1,0)</f>
        <v>0</v>
      </c>
      <c r="O46" s="103">
        <f t="shared" ref="O46:O51" si="31">IF(E46="G4.2",1,0)</f>
        <v>0</v>
      </c>
      <c r="P46" s="103">
        <f t="shared" ref="P46:P51" si="32">IF(E46="G2.1",1,0)</f>
        <v>0</v>
      </c>
      <c r="Q46" s="103">
        <f t="shared" ref="Q46:Q51" si="33">IF(E46="G2.2",1,0)</f>
        <v>0</v>
      </c>
      <c r="S46" s="40" t="str">
        <f>Gebäude!$G$25</f>
        <v>Massivbauweise</v>
      </c>
      <c r="T46" s="40"/>
      <c r="U46" s="39" t="str">
        <f>HLOOKUP($AK$52,'Daten-Zusammensetzung Bauteil'!$B$4:$BC$14,Database!$B5,FALSE)</f>
        <v>Armierungsstahl (Bewehrungsgehalt 90 kg/m3) [kg]</v>
      </c>
      <c r="V46" s="99" t="str">
        <f>MID(HLOOKUP($AK$52,'Daten-Funktion'!$B$4:$BC$14,Database!$B5,FALSE),1,2)</f>
        <v>C4</v>
      </c>
      <c r="W46" s="39">
        <f>HLOOKUP($AK$52,'Daten-THGE'!$B$4:$BC$14,Database!$B5,FALSE)</f>
        <v>1.1366666666666667E-2</v>
      </c>
      <c r="X46" s="39">
        <f>HLOOKUP($AK$52,'Daten-Dichte'!$B$4:$BC$14,Database!$B5,FALSE)</f>
        <v>7850</v>
      </c>
      <c r="Y46" s="39">
        <f>HLOOKUP($AK$52,'Daten-Dicke'!$B$4:$BC$14,Database!$B5,FALSE)</f>
        <v>0.35031847133757965</v>
      </c>
      <c r="Z46" s="43"/>
      <c r="AA46" s="49">
        <f t="shared" ref="AA46:AA62" si="34">IF(Z46=0,X46*Y46/100*W46,W46*X46*Z46/1000)</f>
        <v>0.31258333333333338</v>
      </c>
      <c r="AB46" s="39"/>
      <c r="AC46" s="37"/>
      <c r="AD46" s="103">
        <f t="shared" ref="AD46:AD51" si="35">IF(V46="C4",1,0)</f>
        <v>1</v>
      </c>
      <c r="AE46" s="103">
        <f t="shared" ref="AE46:AE51" si="36">IF(V46="G4.1",1,0)</f>
        <v>0</v>
      </c>
      <c r="AF46" s="103">
        <f t="shared" ref="AF46:AF51" si="37">IF(V46="G4.2",1,0)</f>
        <v>0</v>
      </c>
      <c r="AG46" s="103">
        <f t="shared" ref="AG46:AG51" si="38">IF(V46="G2.1",1,0)</f>
        <v>0</v>
      </c>
      <c r="AH46" s="103">
        <v>0</v>
      </c>
      <c r="AI46"/>
    </row>
    <row r="47" spans="2:37" ht="15.75" x14ac:dyDescent="0.25">
      <c r="B47" s="40" t="str">
        <f>Gebäude!$G$26</f>
        <v>Mit UG</v>
      </c>
      <c r="C47" s="37"/>
      <c r="D47" s="39" t="str">
        <f>HLOOKUP($AJ$52,'Daten-Zusammensetzung Bauteil'!$B$4:$BC$14,Database!$B6,FALSE)</f>
        <v>3-SP Schalung 2.5cm (Annahme 5xverwendet) [kg]</v>
      </c>
      <c r="E47" s="99" t="str">
        <f>MID(HLOOKUP($AJ$52,'Daten-Funktion'!$B$4:$BC$14,Database!$B6,FALSE),1,2)</f>
        <v>C4</v>
      </c>
      <c r="F47" s="39">
        <f>HLOOKUP($AJ$52,'Daten-THGE'!$B$4:$BC$14,Database!$B6,FALSE)</f>
        <v>8.7166666666666677E-3</v>
      </c>
      <c r="G47" s="39">
        <f>HLOOKUP($AJ$52,'Daten-Dichte'!$B$4:$BC$14,Database!$B6,FALSE)</f>
        <v>470</v>
      </c>
      <c r="H47" s="39">
        <f>HLOOKUP($AJ$52,'Daten-Dicke'!$B$4:$BC$14,Database!$B6,FALSE)</f>
        <v>1.0000000000000002</v>
      </c>
      <c r="I47" s="44"/>
      <c r="J47" s="49">
        <f t="shared" si="28"/>
        <v>4.096833333333335E-2</v>
      </c>
      <c r="K47" s="37"/>
      <c r="L47" s="37"/>
      <c r="M47" s="103">
        <f t="shared" si="29"/>
        <v>1</v>
      </c>
      <c r="N47" s="103">
        <f t="shared" si="30"/>
        <v>0</v>
      </c>
      <c r="O47" s="103">
        <f t="shared" si="31"/>
        <v>0</v>
      </c>
      <c r="P47" s="103">
        <f t="shared" si="32"/>
        <v>0</v>
      </c>
      <c r="Q47" s="103">
        <f t="shared" si="33"/>
        <v>0</v>
      </c>
      <c r="S47" s="40" t="str">
        <f>Gebäude!$G$26</f>
        <v>Mit UG</v>
      </c>
      <c r="T47" s="37"/>
      <c r="U47" s="39" t="str">
        <f>HLOOKUP($AK$52,'Daten-Zusammensetzung Bauteil'!$B$4:$BC$14,Database!$B6,FALSE)</f>
        <v>3-SP Schalung 2.5cm (Annahme 5xverwendet) [kg]</v>
      </c>
      <c r="V47" s="99" t="str">
        <f>MID(HLOOKUP($AK$52,'Daten-Funktion'!$B$4:$BC$14,Database!$B6,FALSE),1,2)</f>
        <v>C4</v>
      </c>
      <c r="W47" s="39">
        <f>HLOOKUP($AK$52,'Daten-THGE'!$B$4:$BC$14,Database!$B6,FALSE)</f>
        <v>8.7166666666666677E-3</v>
      </c>
      <c r="X47" s="39">
        <f>HLOOKUP($AK$52,'Daten-Dichte'!$B$4:$BC$14,Database!$B6,FALSE)</f>
        <v>470</v>
      </c>
      <c r="Y47" s="39">
        <f>HLOOKUP($AK$52,'Daten-Dicke'!$B$4:$BC$14,Database!$B6,FALSE)</f>
        <v>1.0000000000000002</v>
      </c>
      <c r="Z47" s="44"/>
      <c r="AA47" s="49">
        <f t="shared" si="34"/>
        <v>4.096833333333335E-2</v>
      </c>
      <c r="AB47" s="37"/>
      <c r="AC47" s="37"/>
      <c r="AD47" s="103">
        <f t="shared" si="35"/>
        <v>1</v>
      </c>
      <c r="AE47" s="103">
        <f t="shared" si="36"/>
        <v>0</v>
      </c>
      <c r="AF47" s="103">
        <f t="shared" si="37"/>
        <v>0</v>
      </c>
      <c r="AG47" s="103">
        <f t="shared" si="38"/>
        <v>0</v>
      </c>
      <c r="AH47" s="103">
        <v>0</v>
      </c>
      <c r="AI47"/>
    </row>
    <row r="48" spans="2:37" ht="15.75" x14ac:dyDescent="0.25">
      <c r="B48" s="40" t="str">
        <f>Gebäude!G28</f>
        <v>Mit abgehängte Installationsdecke</v>
      </c>
      <c r="C48" s="37"/>
      <c r="D48" s="39" t="str">
        <f>HLOOKUP($AJ$52,'Daten-Zusammensetzung Bauteil'!$B$4:$BC$14,Database!$B7,FALSE)</f>
        <v>Kalk-Zementgrundputz [kg]</v>
      </c>
      <c r="E48" s="99" t="str">
        <f>HLOOKUP($AJ$52,'Daten-Funktion'!$B$4:$BC$14,Database!$B7,FALSE)</f>
        <v>G4.1</v>
      </c>
      <c r="F48" s="39">
        <f>HLOOKUP($AJ$52,'Daten-THGE'!$B$4:$BC$14,Database!$B7,FALSE)</f>
        <v>8.2333333333333338E-3</v>
      </c>
      <c r="G48" s="39">
        <f>HLOOKUP($AJ$52,'Daten-Dichte'!$B$4:$BC$14,Database!$B7,FALSE)</f>
        <v>1550</v>
      </c>
      <c r="H48" s="39">
        <f>HLOOKUP($AJ$52,'Daten-Dicke'!$B$4:$BC$14,Database!$B7,FALSE)</f>
        <v>1.1612903225806452</v>
      </c>
      <c r="I48" s="44"/>
      <c r="J48" s="49">
        <f t="shared" si="28"/>
        <v>0.14820000000000003</v>
      </c>
      <c r="K48" s="37"/>
      <c r="L48" s="37"/>
      <c r="M48" s="103">
        <f t="shared" si="29"/>
        <v>0</v>
      </c>
      <c r="N48" s="103">
        <f t="shared" si="30"/>
        <v>1</v>
      </c>
      <c r="O48" s="103">
        <f t="shared" si="31"/>
        <v>0</v>
      </c>
      <c r="P48" s="103">
        <f t="shared" si="32"/>
        <v>0</v>
      </c>
      <c r="Q48" s="103">
        <f t="shared" si="33"/>
        <v>0</v>
      </c>
      <c r="S48" s="40" t="str">
        <f>Gebäude!G29</f>
        <v>Ohne Installation</v>
      </c>
      <c r="T48" s="37"/>
      <c r="U48" s="39" t="str">
        <f>HLOOKUP($AK$52,'Daten-Zusammensetzung Bauteil'!$B$4:$BC$14,Database!$B7,FALSE)</f>
        <v>Kalk-Zementgrundputz [kg]</v>
      </c>
      <c r="V48" s="99" t="str">
        <f>HLOOKUP($AK$52,'Daten-Funktion'!$B$4:$BC$14,Database!$B7,FALSE)</f>
        <v>G4.1</v>
      </c>
      <c r="W48" s="39">
        <f>HLOOKUP($AK$52,'Daten-THGE'!$B$4:$BC$14,Database!$B7,FALSE)</f>
        <v>8.2333333333333338E-3</v>
      </c>
      <c r="X48" s="39">
        <f>HLOOKUP($AK$52,'Daten-Dichte'!$B$4:$BC$14,Database!$B7,FALSE)</f>
        <v>1550</v>
      </c>
      <c r="Y48" s="39">
        <f>HLOOKUP($AK$52,'Daten-Dicke'!$B$4:$BC$14,Database!$B7,FALSE)</f>
        <v>1.1612903225806452</v>
      </c>
      <c r="Z48" s="44"/>
      <c r="AA48" s="49">
        <f t="shared" si="34"/>
        <v>0.14820000000000003</v>
      </c>
      <c r="AB48" s="37"/>
      <c r="AC48" s="37"/>
      <c r="AD48" s="103">
        <f t="shared" si="35"/>
        <v>0</v>
      </c>
      <c r="AE48" s="103">
        <f t="shared" si="36"/>
        <v>1</v>
      </c>
      <c r="AF48" s="103">
        <f t="shared" si="37"/>
        <v>0</v>
      </c>
      <c r="AG48" s="103">
        <f t="shared" si="38"/>
        <v>0</v>
      </c>
      <c r="AH48" s="103">
        <v>0</v>
      </c>
      <c r="AI48"/>
    </row>
    <row r="49" spans="2:37" ht="15.75" x14ac:dyDescent="0.25">
      <c r="B49" s="40" t="str">
        <f>Gebäude!$G$30</f>
        <v>Decke über Terrain Bodenbelag 2</v>
      </c>
      <c r="C49" s="37"/>
      <c r="D49" s="39" t="str">
        <f>HLOOKUP($AJ$52,'Daten-Zusammensetzung Bauteil'!$B$4:$BC$14,Database!$B8,FALSE)</f>
        <v>Deckputz (Weissputz) [kg]</v>
      </c>
      <c r="E49" s="99" t="str">
        <f>HLOOKUP($AJ$52,'Daten-Funktion'!$B$4:$BC$14,Database!$B8,FALSE)</f>
        <v>G4.2</v>
      </c>
      <c r="F49" s="39">
        <f>HLOOKUP($AJ$52,'Daten-THGE'!$B$4:$BC$14,Database!$B8,FALSE)</f>
        <v>4.8999999999999998E-3</v>
      </c>
      <c r="G49" s="39">
        <f>HLOOKUP($AJ$52,'Daten-Dichte'!$B$4:$BC$14,Database!$B8,FALSE)</f>
        <v>1100</v>
      </c>
      <c r="H49" s="39">
        <f>HLOOKUP($AJ$52,'Daten-Dicke'!$B$4:$BC$14,Database!$B8,FALSE)</f>
        <v>0.31818181818181818</v>
      </c>
      <c r="I49" s="44"/>
      <c r="J49" s="49">
        <f t="shared" si="28"/>
        <v>1.7149999999999999E-2</v>
      </c>
      <c r="K49" s="37"/>
      <c r="L49" s="37"/>
      <c r="M49" s="103">
        <f t="shared" si="29"/>
        <v>0</v>
      </c>
      <c r="N49" s="103">
        <f t="shared" si="30"/>
        <v>0</v>
      </c>
      <c r="O49" s="103">
        <f t="shared" si="31"/>
        <v>1</v>
      </c>
      <c r="P49" s="103">
        <f t="shared" si="32"/>
        <v>0</v>
      </c>
      <c r="Q49" s="103">
        <f t="shared" si="33"/>
        <v>0</v>
      </c>
      <c r="S49" s="40" t="str">
        <f>Gebäude!$G$31</f>
        <v>Decke unter Terrain Bodenbelag 2</v>
      </c>
      <c r="T49" s="37"/>
      <c r="U49" s="39" t="str">
        <f>HLOOKUP($AK$52,'Daten-Zusammensetzung Bauteil'!$B$4:$BC$14,Database!$B8,FALSE)</f>
        <v>Deckputz (Weissputz) [kg]</v>
      </c>
      <c r="V49" s="99" t="str">
        <f>HLOOKUP($AK$52,'Daten-Funktion'!$B$4:$BC$14,Database!$B8,FALSE)</f>
        <v>G4.2</v>
      </c>
      <c r="W49" s="39">
        <f>HLOOKUP($AK$52,'Daten-THGE'!$B$4:$BC$14,Database!$B8,FALSE)</f>
        <v>4.8999999999999998E-3</v>
      </c>
      <c r="X49" s="39">
        <f>HLOOKUP($AK$52,'Daten-Dichte'!$B$4:$BC$14,Database!$B8,FALSE)</f>
        <v>1100</v>
      </c>
      <c r="Y49" s="39">
        <f>HLOOKUP($AK$52,'Daten-Dicke'!$B$4:$BC$14,Database!$B8,FALSE)</f>
        <v>0.31818181818181818</v>
      </c>
      <c r="Z49" s="44"/>
      <c r="AA49" s="49">
        <f t="shared" si="34"/>
        <v>1.7149999999999999E-2</v>
      </c>
      <c r="AB49" s="37"/>
      <c r="AC49" s="37"/>
      <c r="AD49" s="103">
        <f t="shared" si="35"/>
        <v>0</v>
      </c>
      <c r="AE49" s="103">
        <f t="shared" si="36"/>
        <v>0</v>
      </c>
      <c r="AF49" s="103">
        <f t="shared" si="37"/>
        <v>1</v>
      </c>
      <c r="AG49" s="103">
        <f t="shared" si="38"/>
        <v>0</v>
      </c>
      <c r="AH49" s="103">
        <v>0</v>
      </c>
      <c r="AI49"/>
    </row>
    <row r="50" spans="2:37" ht="15.75" x14ac:dyDescent="0.25">
      <c r="B50" s="37"/>
      <c r="C50" s="37"/>
      <c r="D50" s="39" t="str">
        <f>HLOOKUP($AJ$52,'Daten-Zusammensetzung Bauteil'!$B$4:$BC$14,Database!$B9,FALSE)</f>
        <v>Wanddispersion [m2]</v>
      </c>
      <c r="E50" s="99" t="str">
        <f>HLOOKUP($AJ$52,'Daten-Funktion'!$B$4:$BC$14,Database!$B9,FALSE)</f>
        <v>G4.2</v>
      </c>
      <c r="F50" s="39">
        <f>HLOOKUP($AJ$52,'Daten-THGE'!$B$4:$BC$14,Database!$B9,FALSE)</f>
        <v>0.15111111111111114</v>
      </c>
      <c r="G50" s="39">
        <f>HLOOKUP($AJ$52,'Daten-Dichte'!$B$4:$BC$14,Database!$B9,FALSE)</f>
        <v>150</v>
      </c>
      <c r="H50" s="39">
        <f>HLOOKUP($AJ$52,'Daten-Dicke'!$B$4:$BC$14,Database!$B9,FALSE)</f>
        <v>0.2</v>
      </c>
      <c r="I50" s="44"/>
      <c r="J50" s="49">
        <f t="shared" si="28"/>
        <v>4.5333333333333344E-2</v>
      </c>
      <c r="K50" s="37"/>
      <c r="L50" s="37"/>
      <c r="M50" s="103">
        <f t="shared" si="29"/>
        <v>0</v>
      </c>
      <c r="N50" s="103">
        <f t="shared" si="30"/>
        <v>0</v>
      </c>
      <c r="O50" s="103">
        <f t="shared" si="31"/>
        <v>1</v>
      </c>
      <c r="P50" s="103">
        <f t="shared" si="32"/>
        <v>0</v>
      </c>
      <c r="Q50" s="103">
        <f t="shared" si="33"/>
        <v>0</v>
      </c>
      <c r="S50" s="37"/>
      <c r="T50" s="37"/>
      <c r="U50" s="39" t="str">
        <f>HLOOKUP($AK$52,'Daten-Zusammensetzung Bauteil'!$B$4:$BC$14,Database!$B9,FALSE)</f>
        <v>Wanddispersion [m2]</v>
      </c>
      <c r="V50" s="99" t="str">
        <f>HLOOKUP($AK$52,'Daten-Funktion'!$B$4:$BC$14,Database!$B9,FALSE)</f>
        <v>G4.2</v>
      </c>
      <c r="W50" s="39">
        <f>HLOOKUP($AK$52,'Daten-THGE'!$B$4:$BC$14,Database!$B9,FALSE)</f>
        <v>0.15111111111111114</v>
      </c>
      <c r="X50" s="39">
        <f>HLOOKUP($AK$52,'Daten-Dichte'!$B$4:$BC$14,Database!$B9,FALSE)</f>
        <v>150</v>
      </c>
      <c r="Y50" s="39">
        <f>HLOOKUP($AK$52,'Daten-Dicke'!$B$4:$BC$14,Database!$B9,FALSE)</f>
        <v>0.2</v>
      </c>
      <c r="Z50" s="44"/>
      <c r="AA50" s="49">
        <f t="shared" si="34"/>
        <v>4.5333333333333344E-2</v>
      </c>
      <c r="AB50" s="37"/>
      <c r="AC50" s="37"/>
      <c r="AD50" s="103">
        <f t="shared" si="35"/>
        <v>0</v>
      </c>
      <c r="AE50" s="103">
        <f t="shared" si="36"/>
        <v>0</v>
      </c>
      <c r="AF50" s="103">
        <f t="shared" si="37"/>
        <v>1</v>
      </c>
      <c r="AG50" s="103">
        <f t="shared" si="38"/>
        <v>0</v>
      </c>
      <c r="AH50" s="103">
        <v>0</v>
      </c>
      <c r="AI50"/>
    </row>
    <row r="51" spans="2:37" ht="15.75" x14ac:dyDescent="0.25">
      <c r="B51" s="37"/>
      <c r="C51" s="37"/>
      <c r="D51" s="39">
        <f>HLOOKUP($AJ$52,'Daten-Zusammensetzung Bauteil'!$B$4:$BC$14,Database!$B10,FALSE)</f>
        <v>0</v>
      </c>
      <c r="E51" s="99">
        <f>HLOOKUP($AJ$52,'Daten-Funktion'!$B$4:$BC$14,Database!$B10,FALSE)</f>
        <v>0</v>
      </c>
      <c r="F51" s="39">
        <f>HLOOKUP($AJ$52,'Daten-THGE'!$B$4:$BC$14,Database!$B10,FALSE)</f>
        <v>0</v>
      </c>
      <c r="G51" s="39">
        <f>HLOOKUP($AJ$52,'Daten-Dichte'!$B$4:$BC$14,Database!$B10,FALSE)</f>
        <v>0</v>
      </c>
      <c r="H51" s="39">
        <f>HLOOKUP($AJ$52,'Daten-Dicke'!$B$4:$BC$14,Database!$B10,FALSE)</f>
        <v>0</v>
      </c>
      <c r="I51" s="44"/>
      <c r="J51" s="49">
        <f t="shared" si="28"/>
        <v>0</v>
      </c>
      <c r="K51" s="37"/>
      <c r="L51" s="37"/>
      <c r="M51" s="103">
        <f t="shared" si="29"/>
        <v>0</v>
      </c>
      <c r="N51" s="103">
        <f t="shared" si="30"/>
        <v>0</v>
      </c>
      <c r="O51" s="103">
        <f t="shared" si="31"/>
        <v>0</v>
      </c>
      <c r="P51" s="103">
        <f t="shared" si="32"/>
        <v>0</v>
      </c>
      <c r="Q51" s="103">
        <f t="shared" si="33"/>
        <v>0</v>
      </c>
      <c r="S51" s="37"/>
      <c r="T51" s="37"/>
      <c r="U51" s="39">
        <f>HLOOKUP($AK$52,'Daten-Zusammensetzung Bauteil'!$B$4:$BC$14,Database!$B10,FALSE)</f>
        <v>0</v>
      </c>
      <c r="V51" s="99">
        <f>HLOOKUP($AK$52,'Daten-Funktion'!$B$4:$BC$14,Database!$B10,FALSE)</f>
        <v>0</v>
      </c>
      <c r="W51" s="39">
        <f>HLOOKUP($AK$52,'Daten-THGE'!$B$4:$BC$14,Database!$B10,FALSE)</f>
        <v>0</v>
      </c>
      <c r="X51" s="39">
        <f>HLOOKUP($AK$52,'Daten-Dichte'!$B$4:$BC$14,Database!$B10,FALSE)</f>
        <v>0</v>
      </c>
      <c r="Y51" s="39">
        <f>HLOOKUP($AK$52,'Daten-Dicke'!$B$4:$BC$14,Database!$B10,FALSE)</f>
        <v>0</v>
      </c>
      <c r="Z51" s="44"/>
      <c r="AA51" s="49">
        <f t="shared" si="34"/>
        <v>0</v>
      </c>
      <c r="AB51" s="37"/>
      <c r="AC51" s="37"/>
      <c r="AD51" s="103">
        <f t="shared" si="35"/>
        <v>0</v>
      </c>
      <c r="AE51" s="103">
        <f t="shared" si="36"/>
        <v>0</v>
      </c>
      <c r="AF51" s="103">
        <f t="shared" si="37"/>
        <v>0</v>
      </c>
      <c r="AG51" s="103">
        <f t="shared" si="38"/>
        <v>0</v>
      </c>
      <c r="AH51" s="103">
        <v>0</v>
      </c>
      <c r="AI51"/>
      <c r="AK51">
        <f>IF($S$47=Database!$D$14,1,0)</f>
        <v>1</v>
      </c>
    </row>
    <row r="52" spans="2:37" ht="15.75" x14ac:dyDescent="0.25">
      <c r="B52" s="37"/>
      <c r="F52" s="39"/>
      <c r="G52" s="39"/>
      <c r="H52" s="39"/>
      <c r="I52" s="39"/>
      <c r="J52" s="49"/>
      <c r="K52" s="37"/>
      <c r="L52" s="37"/>
      <c r="M52" s="109"/>
      <c r="N52" s="117"/>
      <c r="O52" s="117"/>
      <c r="R52" s="37"/>
      <c r="S52" s="37"/>
      <c r="U52" s="39"/>
      <c r="V52" s="99"/>
      <c r="W52" s="39"/>
      <c r="X52" s="39"/>
      <c r="Y52" s="39"/>
      <c r="Z52" s="39"/>
      <c r="AA52" s="49"/>
      <c r="AB52" s="37"/>
      <c r="AC52" s="37"/>
      <c r="AD52" s="109"/>
      <c r="AE52" s="117"/>
      <c r="AF52" s="117"/>
      <c r="AG52" s="117"/>
      <c r="AH52" s="117"/>
      <c r="AI52" s="37"/>
      <c r="AJ52" t="str">
        <f>VLOOKUP($B$46,Database!$Y$29:$AF$31,7,FALSE)</f>
        <v>10a</v>
      </c>
      <c r="AK52" t="str">
        <f>VLOOKUP($S$46,Database!$Y$29:$AF$31,8,FALSE)</f>
        <v>10a</v>
      </c>
    </row>
    <row r="53" spans="2:37" ht="15.75" x14ac:dyDescent="0.25">
      <c r="B53" s="37"/>
      <c r="C53" s="40" t="s">
        <v>247</v>
      </c>
      <c r="D53" s="39" t="str">
        <f>IF($AJ$53=0,0,HLOOKUP($AJ$53,'Daten-Zusammensetzung Bauteil'!$B$4:$BC$14,Database!$B4,FALSE))</f>
        <v>Stahlblech verzinkt [kg]</v>
      </c>
      <c r="E53" s="99" t="str">
        <f>IF($AJ$53=0,0,HLOOKUP($AJ$53,'Daten-Funktion'!$B$4:$BC$14,Database!$B4,FALSE))</f>
        <v>G4.2</v>
      </c>
      <c r="F53" s="39">
        <f>IF($AJ$53=0,0,HLOOKUP($AJ$53,'Daten-THGE'!$B$4:$BC$14,Database!$B4,FALSE))</f>
        <v>0.11699999999999999</v>
      </c>
      <c r="G53" s="39">
        <f>IF($AJ$53=0,0,HLOOKUP($AJ$53,'Daten-Dichte'!$B$4:$BC$14,Database!$B4,FALSE))</f>
        <v>7850</v>
      </c>
      <c r="H53" s="39">
        <f>IF($AJ$53=0,0,HLOOKUP($AJ$53,'Daten-Dicke'!$B$4:$BC$14,Database!$B4,FALSE))</f>
        <v>0.06</v>
      </c>
      <c r="I53" s="44"/>
      <c r="J53" s="49">
        <f t="shared" si="28"/>
        <v>0.55106999999999995</v>
      </c>
      <c r="K53" s="37"/>
      <c r="L53" s="37"/>
      <c r="M53" s="103">
        <f>IF(E53="Rohbau",1,0)</f>
        <v>0</v>
      </c>
      <c r="N53" s="103">
        <f t="shared" ref="N53:N56" si="39">IF(E53="G4.1",1,0)</f>
        <v>0</v>
      </c>
      <c r="O53" s="103">
        <f t="shared" ref="O53:O56" si="40">IF(E53="G4.2",1,0)</f>
        <v>1</v>
      </c>
      <c r="P53" s="103">
        <f t="shared" ref="P53:P56" si="41">IF(E53="G2.1",1,0)</f>
        <v>0</v>
      </c>
      <c r="Q53" s="103">
        <f t="shared" ref="Q53:Q56" si="42">IF(E53="G2.2",1,0)</f>
        <v>0</v>
      </c>
      <c r="S53" s="37"/>
      <c r="T53" s="40" t="s">
        <v>247</v>
      </c>
      <c r="U53" s="39">
        <f>IF($AK$53=0,0,HLOOKUP($AK$53,'Daten-Zusammensetzung Bauteil'!$B$4:$BC$14,Database!$B4,FALSE))</f>
        <v>0</v>
      </c>
      <c r="V53" s="99">
        <f>IF($AK$53=0,0,HLOOKUP($AK$53,'Daten-Funktion'!$B$4:$BC$14,Database!$B4,FALSE))</f>
        <v>0</v>
      </c>
      <c r="W53" s="39">
        <f>IF($AK$53=0,0,HLOOKUP($AK$53,'Daten-THGE'!$B$4:$BC$14,Database!$B4,FALSE))</f>
        <v>0</v>
      </c>
      <c r="X53" s="39">
        <f>IF($AK$53=0,0,HLOOKUP($AK$53,'Daten-Dichte'!$B$4:$BC$14,Database!$B4,FALSE))</f>
        <v>0</v>
      </c>
      <c r="Y53" s="39">
        <f>IF($AK$53=0,0,HLOOKUP($AK$53,'Daten-Dicke'!$B$4:$BC$14,Database!$B4,FALSE))</f>
        <v>0</v>
      </c>
      <c r="Z53" s="44"/>
      <c r="AA53" s="49">
        <f t="shared" si="34"/>
        <v>0</v>
      </c>
      <c r="AB53" s="37"/>
      <c r="AC53" s="37"/>
      <c r="AD53" s="103">
        <f>IF(V53="Rohbau",1,0)</f>
        <v>0</v>
      </c>
      <c r="AE53" s="103">
        <f>IF(V53="G4.1",1,0)</f>
        <v>0</v>
      </c>
      <c r="AF53" s="103">
        <f>IF(V53="G4.2",1,0)</f>
        <v>0</v>
      </c>
      <c r="AG53" s="103">
        <f t="shared" ref="AG53:AG56" si="43">IF(V53="G2.1",1,0)</f>
        <v>0</v>
      </c>
      <c r="AH53" s="103">
        <v>0</v>
      </c>
      <c r="AI53"/>
      <c r="AJ53" t="str">
        <f>VLOOKUP($B$48,Database!$H$12:$I$15,2,FALSE)</f>
        <v>11c</v>
      </c>
      <c r="AK53">
        <f>VLOOKUP($S$48,Database!$H$12:$I$15,2,FALSE)</f>
        <v>0</v>
      </c>
    </row>
    <row r="54" spans="2:37" ht="15.75" x14ac:dyDescent="0.25">
      <c r="B54" s="37"/>
      <c r="D54" s="39" t="str">
        <f>IF($AJ$53=0,0,HLOOKUP($AJ$53,'Daten-Zusammensetzung Bauteil'!$B$4:$BC$14,Database!$B5,FALSE))</f>
        <v>Pulverbeschichten Stahl [m2]</v>
      </c>
      <c r="E54" s="99" t="str">
        <f>IF($AJ$53=0,0,HLOOKUP($AJ$53,'Daten-Funktion'!$B$4:$BC$14,Database!$B5,FALSE))</f>
        <v>G4.2</v>
      </c>
      <c r="F54" s="39">
        <f>IF($AJ$53=0,0,HLOOKUP($AJ$53,'Daten-THGE'!$B$4:$BC$14,Database!$B5,FALSE))</f>
        <v>1.5</v>
      </c>
      <c r="G54" s="39">
        <f>IF($AJ$53=0,0,HLOOKUP($AJ$53,'Daten-Dichte'!$B$4:$BC$14,Database!$B5,FALSE))</f>
        <v>1000</v>
      </c>
      <c r="H54" s="39">
        <f>IF($AJ$53=0,0,HLOOKUP($AJ$53,'Daten-Dicke'!$B$4:$BC$14,Database!$B5,FALSE))</f>
        <v>0.01</v>
      </c>
      <c r="I54" s="44"/>
      <c r="J54" s="49">
        <f t="shared" si="28"/>
        <v>0.15000000000000002</v>
      </c>
      <c r="K54" s="37"/>
      <c r="L54" s="37"/>
      <c r="M54" s="103">
        <f t="shared" ref="M54:M56" si="44">IF(E54="Rohbau",1,0)</f>
        <v>0</v>
      </c>
      <c r="N54" s="103">
        <f t="shared" si="39"/>
        <v>0</v>
      </c>
      <c r="O54" s="103">
        <f t="shared" si="40"/>
        <v>1</v>
      </c>
      <c r="P54" s="103">
        <f t="shared" si="41"/>
        <v>0</v>
      </c>
      <c r="Q54" s="103">
        <f t="shared" si="42"/>
        <v>0</v>
      </c>
      <c r="S54" s="37"/>
      <c r="U54" s="39">
        <f>IF($AK$53=0,0,HLOOKUP($AK$53,'Daten-Zusammensetzung Bauteil'!$B$4:$BC$14,Database!$B5,FALSE))</f>
        <v>0</v>
      </c>
      <c r="V54" s="99">
        <f>IF($AK$53=0,0,HLOOKUP($AK$53,'Daten-Funktion'!$B$4:$BC$14,Database!$B5,FALSE))</f>
        <v>0</v>
      </c>
      <c r="W54" s="39">
        <f>IF($AK$53=0,0,HLOOKUP($AK$53,'Daten-THGE'!$B$4:$BC$14,Database!$B5,FALSE))</f>
        <v>0</v>
      </c>
      <c r="X54" s="39">
        <f>IF($AK$53=0,0,HLOOKUP($AK$53,'Daten-Dichte'!$B$4:$BC$14,Database!$B5,FALSE))</f>
        <v>0</v>
      </c>
      <c r="Y54" s="39">
        <f>IF($AK$53=0,0,HLOOKUP($AK$53,'Daten-Dicke'!$B$4:$BC$14,Database!$B5,FALSE))</f>
        <v>0</v>
      </c>
      <c r="Z54" s="44"/>
      <c r="AA54" s="49">
        <f t="shared" si="34"/>
        <v>0</v>
      </c>
      <c r="AB54" s="37"/>
      <c r="AC54" s="37"/>
      <c r="AD54" s="103">
        <f t="shared" ref="AD54:AD56" si="45">IF(V54="Rohbau",1,0)</f>
        <v>0</v>
      </c>
      <c r="AE54" s="103">
        <f t="shared" ref="AE54:AE56" si="46">IF(V54="G4.1",1,0)</f>
        <v>0</v>
      </c>
      <c r="AF54" s="103">
        <f t="shared" ref="AF54:AF56" si="47">IF(V54="G4.2",1,0)</f>
        <v>0</v>
      </c>
      <c r="AG54" s="103">
        <f t="shared" si="43"/>
        <v>0</v>
      </c>
      <c r="AH54" s="103">
        <v>0</v>
      </c>
      <c r="AI54"/>
      <c r="AJ54" t="str">
        <f>VLOOKUP('Decke unter &amp; über Terrain'!$B$49,Database!$V$54:$W$55,2,FALSE)</f>
        <v>12b</v>
      </c>
      <c r="AK54" t="str">
        <f>VLOOKUP('Decke unter &amp; über Terrain'!$S$49,Database!$S$64:$T$65,2,FALSE)</f>
        <v>12b</v>
      </c>
    </row>
    <row r="55" spans="2:37" ht="15.75" x14ac:dyDescent="0.25">
      <c r="B55" s="37"/>
      <c r="C55" s="37"/>
      <c r="D55" s="39" t="str">
        <f>IF($AJ$53=0,0,HLOOKUP($AJ$53,'Daten-Zusammensetzung Bauteil'!$B$4:$BC$14,Database!$B6,FALSE))</f>
        <v>Akustikvlies [kg]</v>
      </c>
      <c r="E55" s="99" t="str">
        <f>IF($AJ$53=0,0,HLOOKUP($AJ$53,'Daten-Funktion'!$B$4:$BC$14,Database!$B6,FALSE))</f>
        <v>G4.2</v>
      </c>
      <c r="F55" s="39">
        <f>IF($AJ$53=0,0,HLOOKUP($AJ$53,'Daten-THGE'!$B$4:$BC$14,Database!$B6,FALSE))</f>
        <v>0.18433333333333335</v>
      </c>
      <c r="G55" s="39">
        <f>IF($AJ$53=0,0,HLOOKUP($AJ$53,'Daten-Dichte'!$B$4:$BC$14,Database!$B6,FALSE))</f>
        <v>920</v>
      </c>
      <c r="H55" s="39">
        <f>IF($AJ$53=0,0,HLOOKUP($AJ$53,'Daten-Dicke'!$B$4:$BC$14,Database!$B6,FALSE))</f>
        <v>8.152173913043478E-3</v>
      </c>
      <c r="I55" s="44"/>
      <c r="J55" s="49">
        <f t="shared" si="28"/>
        <v>1.3825E-2</v>
      </c>
      <c r="K55" s="37"/>
      <c r="L55" s="37"/>
      <c r="M55" s="103">
        <f t="shared" si="44"/>
        <v>0</v>
      </c>
      <c r="N55" s="103">
        <f t="shared" si="39"/>
        <v>0</v>
      </c>
      <c r="O55" s="103">
        <f t="shared" si="40"/>
        <v>1</v>
      </c>
      <c r="P55" s="103">
        <f t="shared" si="41"/>
        <v>0</v>
      </c>
      <c r="Q55" s="103">
        <f t="shared" si="42"/>
        <v>0</v>
      </c>
      <c r="S55" s="37"/>
      <c r="T55" s="37"/>
      <c r="U55" s="39">
        <f>IF($AK$53=0,0,HLOOKUP($AK$53,'Daten-Zusammensetzung Bauteil'!$B$4:$BC$14,Database!$B6,FALSE))</f>
        <v>0</v>
      </c>
      <c r="V55" s="99">
        <f>IF($AK$53=0,0,HLOOKUP($AK$53,'Daten-Funktion'!$B$4:$BC$14,Database!$B6,FALSE))</f>
        <v>0</v>
      </c>
      <c r="W55" s="39">
        <f>IF($AK$53=0,0,HLOOKUP($AK$53,'Daten-THGE'!$B$4:$BC$14,Database!$B6,FALSE))</f>
        <v>0</v>
      </c>
      <c r="X55" s="39">
        <f>IF($AK$53=0,0,HLOOKUP($AK$53,'Daten-Dichte'!$B$4:$BC$14,Database!$B6,FALSE))</f>
        <v>0</v>
      </c>
      <c r="Y55" s="39">
        <f>IF($AK$53=0,0,HLOOKUP($AK$53,'Daten-Dicke'!$B$4:$BC$14,Database!$B6,FALSE))</f>
        <v>0</v>
      </c>
      <c r="Z55" s="44"/>
      <c r="AA55" s="49">
        <f t="shared" si="34"/>
        <v>0</v>
      </c>
      <c r="AB55" s="37"/>
      <c r="AC55" s="37"/>
      <c r="AD55" s="103">
        <f t="shared" si="45"/>
        <v>0</v>
      </c>
      <c r="AE55" s="103">
        <f t="shared" si="46"/>
        <v>0</v>
      </c>
      <c r="AF55" s="103">
        <f t="shared" si="47"/>
        <v>0</v>
      </c>
      <c r="AG55" s="103">
        <f t="shared" si="43"/>
        <v>0</v>
      </c>
      <c r="AH55" s="103">
        <v>0</v>
      </c>
      <c r="AI55"/>
      <c r="AK55">
        <f>IF($S$47=Database!$D$14,1,0)</f>
        <v>1</v>
      </c>
    </row>
    <row r="56" spans="2:37" ht="15.75" x14ac:dyDescent="0.25">
      <c r="C56" s="37"/>
      <c r="D56" s="39" t="str">
        <f>IF($AJ$53=0,0,HLOOKUP($AJ$53,'Daten-Zusammensetzung Bauteil'!$B$4:$BC$14,Database!$B7,FALSE))</f>
        <v>Stahlprofile verzinkt [kg]</v>
      </c>
      <c r="E56" s="99" t="str">
        <f>IF($AJ$53=0,0,HLOOKUP($AJ$53,'Daten-Funktion'!$B$4:$BC$14,Database!$B7,FALSE))</f>
        <v>G4.1</v>
      </c>
      <c r="F56" s="39">
        <f>IF($AJ$53=0,0,HLOOKUP($AJ$53,'Daten-THGE'!$B$4:$BC$14,Database!$B7,FALSE))</f>
        <v>2.4466666666666668E-2</v>
      </c>
      <c r="G56" s="39">
        <f>IF($AJ$53=0,0,HLOOKUP($AJ$53,'Daten-Dichte'!$B$4:$BC$14,Database!$B7,FALSE))</f>
        <v>7850</v>
      </c>
      <c r="H56" s="39">
        <f>IF($AJ$53=0,0,HLOOKUP($AJ$53,'Daten-Dicke'!$B$4:$BC$14,Database!$B7,FALSE))</f>
        <v>2.802547770700637E-2</v>
      </c>
      <c r="I56" s="44"/>
      <c r="J56" s="49">
        <f t="shared" si="28"/>
        <v>5.3826666666666675E-2</v>
      </c>
      <c r="M56" s="103">
        <f t="shared" si="44"/>
        <v>0</v>
      </c>
      <c r="N56" s="103">
        <f t="shared" si="39"/>
        <v>1</v>
      </c>
      <c r="O56" s="103">
        <f t="shared" si="40"/>
        <v>0</v>
      </c>
      <c r="P56" s="103">
        <f t="shared" si="41"/>
        <v>0</v>
      </c>
      <c r="Q56" s="103">
        <f t="shared" si="42"/>
        <v>0</v>
      </c>
      <c r="T56" s="37"/>
      <c r="U56" s="39">
        <f>IF($AK$53=0,0,HLOOKUP($AK$53,'Daten-Zusammensetzung Bauteil'!$B$4:$BC$14,Database!$B7,FALSE))</f>
        <v>0</v>
      </c>
      <c r="V56" s="99">
        <f>IF($AK$53=0,0,HLOOKUP($AK$53,'Daten-Funktion'!$B$4:$BC$14,Database!$B7,FALSE))</f>
        <v>0</v>
      </c>
      <c r="W56" s="39">
        <f>IF($AK$53=0,0,HLOOKUP($AK$53,'Daten-THGE'!$B$4:$BC$14,Database!$B7,FALSE))</f>
        <v>0</v>
      </c>
      <c r="X56" s="39">
        <f>IF($AK$53=0,0,HLOOKUP($AK$53,'Daten-Dichte'!$B$4:$BC$14,Database!$B7,FALSE))</f>
        <v>0</v>
      </c>
      <c r="Y56" s="39">
        <f>IF($AK$53=0,0,HLOOKUP($AK$53,'Daten-Dicke'!$B$4:$BC$14,Database!$B7,FALSE))</f>
        <v>0</v>
      </c>
      <c r="Z56" s="44"/>
      <c r="AA56" s="49">
        <f t="shared" si="34"/>
        <v>0</v>
      </c>
      <c r="AD56" s="103">
        <f t="shared" si="45"/>
        <v>0</v>
      </c>
      <c r="AE56" s="103">
        <f t="shared" si="46"/>
        <v>0</v>
      </c>
      <c r="AF56" s="103">
        <f t="shared" si="47"/>
        <v>0</v>
      </c>
      <c r="AG56" s="103">
        <f t="shared" si="43"/>
        <v>0</v>
      </c>
      <c r="AH56" s="103">
        <v>0</v>
      </c>
      <c r="AI56"/>
    </row>
    <row r="57" spans="2:37" ht="15.75" x14ac:dyDescent="0.25">
      <c r="D57" s="39"/>
      <c r="E57" s="99"/>
      <c r="J57" s="49"/>
      <c r="M57" s="117"/>
      <c r="N57" s="117"/>
      <c r="O57" s="117"/>
      <c r="AA57" s="49"/>
      <c r="AD57" s="117"/>
      <c r="AE57" s="117"/>
      <c r="AF57" s="117"/>
      <c r="AG57" s="117"/>
      <c r="AH57" s="117"/>
      <c r="AI57"/>
    </row>
    <row r="58" spans="2:37" ht="15.75" x14ac:dyDescent="0.25">
      <c r="C58" s="40" t="s">
        <v>191</v>
      </c>
      <c r="D58" s="39" t="str">
        <f>HLOOKUP($AJ$54,'Daten-Zusammensetzung Bauteil'!$B$4:$BC$14,Database!$B4,FALSE)</f>
        <v>Parkett 2-Schicht werkversiegelt, 11 mm [m2]</v>
      </c>
      <c r="E58" s="99" t="str">
        <f>HLOOKUP($AJ$54,'Daten-Funktion'!$B$4:$BC$14,Database!$B4,FALSE)</f>
        <v>G2.2</v>
      </c>
      <c r="F58" s="39">
        <f>HLOOKUP($AJ$54,'Daten-THGE'!$B$4:$BC$14,Database!$B4,FALSE)</f>
        <v>4.1038251366120222E-2</v>
      </c>
      <c r="G58" s="39">
        <f>HLOOKUP($AJ$54,'Daten-Dichte'!$B$4:$BC$14,Database!$B4,FALSE)</f>
        <v>554.5454545454545</v>
      </c>
      <c r="H58" s="39">
        <f>HLOOKUP($AJ$54,'Daten-Dicke'!$B$4:$BC$14,Database!$B4,FALSE)</f>
        <v>1.1000000000000001</v>
      </c>
      <c r="I58" s="44"/>
      <c r="J58" s="87">
        <f t="shared" si="28"/>
        <v>0.25033333333333335</v>
      </c>
      <c r="M58" s="103">
        <f>IF(E58="Rohbau",1,0)</f>
        <v>0</v>
      </c>
      <c r="N58" s="103">
        <f t="shared" ref="N58:N62" si="48">IF(E58="G4.1",1,0)</f>
        <v>0</v>
      </c>
      <c r="O58" s="103">
        <f t="shared" ref="O58:O62" si="49">IF(E58="G4.2",1,0)</f>
        <v>0</v>
      </c>
      <c r="P58" s="103">
        <f t="shared" ref="P58:P62" si="50">IF(E58="G2.1",1,0)</f>
        <v>0</v>
      </c>
      <c r="Q58" s="103">
        <f t="shared" ref="Q58:Q62" si="51">IF(E58="G2.2",1,0)</f>
        <v>1</v>
      </c>
      <c r="T58" s="40" t="s">
        <v>191</v>
      </c>
      <c r="U58" s="39" t="str">
        <f>HLOOKUP($AK$54,'Daten-Zusammensetzung Bauteil'!$B$4:$BC$14,Database!$B4,FALSE)</f>
        <v>Parkett 2-Schicht werkversiegelt, 11 mm [m2]</v>
      </c>
      <c r="V58" s="99" t="str">
        <f>HLOOKUP($AK$54,'Daten-Funktion'!$B$4:$BC$14,Database!$B4,FALSE)</f>
        <v>G2.2</v>
      </c>
      <c r="W58" s="39">
        <f>HLOOKUP($AK$54,'Daten-THGE'!$B$4:$BC$14,Database!$B4,FALSE)</f>
        <v>4.1038251366120222E-2</v>
      </c>
      <c r="X58" s="39">
        <f>HLOOKUP($AK$54,'Daten-Dichte'!$B$4:$BC$14,Database!$B4,FALSE)</f>
        <v>554.5454545454545</v>
      </c>
      <c r="Y58" s="39">
        <f>HLOOKUP($AK$54,'Daten-Dicke'!$B$4:$BC$14,Database!$B4,FALSE)</f>
        <v>1.1000000000000001</v>
      </c>
      <c r="Z58" s="44"/>
      <c r="AA58" s="49">
        <f t="shared" si="34"/>
        <v>0.25033333333333335</v>
      </c>
      <c r="AD58" s="103">
        <f>IF(V58="Rohbau",1,0)</f>
        <v>0</v>
      </c>
      <c r="AE58" s="103">
        <f>IF(V58="G4.1",1,0)</f>
        <v>0</v>
      </c>
      <c r="AF58" s="103">
        <f>IF(V58="G4.2",1,0)</f>
        <v>0</v>
      </c>
      <c r="AG58" s="103">
        <f t="shared" ref="AG58:AG62" si="52">IF(V58="G2.1",1,0)</f>
        <v>0</v>
      </c>
      <c r="AH58" s="103">
        <f>IF(V58="G2.2",1,0)</f>
        <v>1</v>
      </c>
      <c r="AI58"/>
    </row>
    <row r="59" spans="2:37" ht="15.75" x14ac:dyDescent="0.25">
      <c r="D59" s="39" t="str">
        <f>HLOOKUP($AJ$54,'Daten-Zusammensetzung Bauteil'!$B$4:$BC$14,Database!$B5,FALSE)</f>
        <v>Klebstoff [kg]</v>
      </c>
      <c r="E59" s="99" t="str">
        <f>HLOOKUP($AJ$54,'Daten-Funktion'!$B$4:$BC$14,Database!$B5,FALSE)</f>
        <v>G2.2</v>
      </c>
      <c r="F59" s="39">
        <f>HLOOKUP($AJ$54,'Daten-THGE'!$B$4:$BC$14,Database!$B5,FALSE)</f>
        <v>0.19833333333333333</v>
      </c>
      <c r="G59" s="39">
        <f>HLOOKUP($AJ$54,'Daten-Dichte'!$B$4:$BC$14,Database!$B5,FALSE)</f>
        <v>1500</v>
      </c>
      <c r="H59" s="39">
        <f>HLOOKUP($AJ$54,'Daten-Dicke'!$B$4:$BC$14,Database!$B5,FALSE)</f>
        <v>6.6666666666666666E-2</v>
      </c>
      <c r="I59" s="44"/>
      <c r="J59" s="87">
        <f t="shared" si="28"/>
        <v>0.19833333333333333</v>
      </c>
      <c r="M59" s="103">
        <f t="shared" ref="M59:M61" si="53">IF(E59="Rohbau",1,0)</f>
        <v>0</v>
      </c>
      <c r="N59" s="103">
        <f t="shared" si="48"/>
        <v>0</v>
      </c>
      <c r="O59" s="103">
        <f t="shared" si="49"/>
        <v>0</v>
      </c>
      <c r="P59" s="103">
        <f t="shared" si="50"/>
        <v>0</v>
      </c>
      <c r="Q59" s="103">
        <f t="shared" si="51"/>
        <v>1</v>
      </c>
      <c r="U59" s="39" t="str">
        <f>HLOOKUP($AK$54,'Daten-Zusammensetzung Bauteil'!$B$4:$BC$14,Database!$B5,FALSE)</f>
        <v>Klebstoff [kg]</v>
      </c>
      <c r="V59" s="99" t="str">
        <f>HLOOKUP($AK$54,'Daten-Funktion'!$B$4:$BC$14,Database!$B5,FALSE)</f>
        <v>G2.2</v>
      </c>
      <c r="W59" s="39">
        <f>HLOOKUP($AK$54,'Daten-THGE'!$B$4:$BC$14,Database!$B5,FALSE)</f>
        <v>0.19833333333333333</v>
      </c>
      <c r="X59" s="39">
        <f>HLOOKUP($AK$54,'Daten-Dichte'!$B$4:$BC$14,Database!$B5,FALSE)</f>
        <v>1500</v>
      </c>
      <c r="Y59" s="39">
        <f>HLOOKUP($AK$54,'Daten-Dicke'!$B$4:$BC$14,Database!$B5,FALSE)</f>
        <v>6.6666666666666666E-2</v>
      </c>
      <c r="Z59" s="44"/>
      <c r="AA59" s="49">
        <f t="shared" si="34"/>
        <v>0.19833333333333333</v>
      </c>
      <c r="AD59" s="103">
        <f t="shared" ref="AD59:AD61" si="54">IF(V59="Rohbau",1,0)</f>
        <v>0</v>
      </c>
      <c r="AE59" s="103">
        <f t="shared" ref="AE59:AE62" si="55">IF(V59="G4.1",1,0)</f>
        <v>0</v>
      </c>
      <c r="AF59" s="103">
        <f t="shared" ref="AF59:AF62" si="56">IF(V59="G4.2",1,0)</f>
        <v>0</v>
      </c>
      <c r="AG59" s="103">
        <f t="shared" si="52"/>
        <v>0</v>
      </c>
      <c r="AH59" s="103">
        <f t="shared" ref="AH59:AH62" si="57">IF(V59="G2.2",1,0)</f>
        <v>1</v>
      </c>
      <c r="AI59"/>
    </row>
    <row r="60" spans="2:37" ht="15.75" x14ac:dyDescent="0.25">
      <c r="D60" s="39">
        <f>HLOOKUP($AJ$54,'Daten-Zusammensetzung Bauteil'!$B$4:$BC$14,Database!$B6,FALSE)</f>
        <v>0</v>
      </c>
      <c r="E60" s="99">
        <f>HLOOKUP($AJ$54,'Daten-Funktion'!$B$4:$BC$14,Database!$B6,FALSE)</f>
        <v>0</v>
      </c>
      <c r="F60" s="39">
        <f>HLOOKUP($AJ$54,'Daten-THGE'!$B$4:$BC$14,Database!$B6,FALSE)</f>
        <v>0</v>
      </c>
      <c r="G60" s="39">
        <f>HLOOKUP($AJ$54,'Daten-Dichte'!$B$4:$BC$14,Database!$B6,FALSE)</f>
        <v>0</v>
      </c>
      <c r="H60" s="39">
        <f>HLOOKUP($AJ$54,'Daten-Dicke'!$B$4:$BC$14,Database!$B6,FALSE)</f>
        <v>0</v>
      </c>
      <c r="I60" s="44"/>
      <c r="J60" s="49">
        <f t="shared" si="28"/>
        <v>0</v>
      </c>
      <c r="M60" s="103">
        <f t="shared" si="53"/>
        <v>0</v>
      </c>
      <c r="N60" s="103">
        <f t="shared" si="48"/>
        <v>0</v>
      </c>
      <c r="O60" s="103">
        <f t="shared" si="49"/>
        <v>0</v>
      </c>
      <c r="P60" s="103">
        <f t="shared" si="50"/>
        <v>0</v>
      </c>
      <c r="Q60" s="103">
        <f t="shared" si="51"/>
        <v>0</v>
      </c>
      <c r="U60" s="39">
        <f>HLOOKUP($AK$54,'Daten-Zusammensetzung Bauteil'!$B$4:$BC$14,Database!$B6,FALSE)</f>
        <v>0</v>
      </c>
      <c r="V60" s="99">
        <f>HLOOKUP($AK$54,'Daten-Funktion'!$B$4:$BC$14,Database!$B6,FALSE)</f>
        <v>0</v>
      </c>
      <c r="W60" s="39">
        <f>HLOOKUP($AK$54,'Daten-THGE'!$B$4:$BC$14,Database!$B6,FALSE)</f>
        <v>0</v>
      </c>
      <c r="X60" s="39">
        <f>HLOOKUP($AK$54,'Daten-Dichte'!$B$4:$BC$14,Database!$B6,FALSE)</f>
        <v>0</v>
      </c>
      <c r="Y60" s="39">
        <f>HLOOKUP($AK$54,'Daten-Dicke'!$B$4:$BC$14,Database!$B6,FALSE)</f>
        <v>0</v>
      </c>
      <c r="Z60" s="44"/>
      <c r="AA60" s="49">
        <f t="shared" si="34"/>
        <v>0</v>
      </c>
      <c r="AD60" s="103">
        <f t="shared" si="54"/>
        <v>0</v>
      </c>
      <c r="AE60" s="103">
        <f t="shared" si="55"/>
        <v>0</v>
      </c>
      <c r="AF60" s="103">
        <f t="shared" si="56"/>
        <v>0</v>
      </c>
      <c r="AG60" s="103">
        <f t="shared" si="52"/>
        <v>0</v>
      </c>
      <c r="AH60" s="103">
        <f t="shared" si="57"/>
        <v>0</v>
      </c>
      <c r="AI60"/>
    </row>
    <row r="61" spans="2:37" ht="15.75" x14ac:dyDescent="0.25">
      <c r="D61" s="39">
        <f>HLOOKUP($AJ$54,'Daten-Zusammensetzung Bauteil'!$B$4:$BC$14,Database!$B7,FALSE)</f>
        <v>0</v>
      </c>
      <c r="E61" s="99">
        <f>HLOOKUP($AJ$54,'Daten-Funktion'!$B$4:$BC$14,Database!$B7,FALSE)</f>
        <v>0</v>
      </c>
      <c r="F61" s="39">
        <f>HLOOKUP($AJ$54,'Daten-THGE'!$B$4:$BC$14,Database!$B7,FALSE)</f>
        <v>0</v>
      </c>
      <c r="G61" s="39">
        <f>HLOOKUP($AJ$54,'Daten-Dichte'!$B$4:$BC$14,Database!$B7,FALSE)</f>
        <v>0</v>
      </c>
      <c r="H61" s="39">
        <f>HLOOKUP($AJ$54,'Daten-Dicke'!$B$4:$BC$14,Database!$B7,FALSE)</f>
        <v>0</v>
      </c>
      <c r="I61" s="44"/>
      <c r="J61" s="49">
        <f t="shared" si="28"/>
        <v>0</v>
      </c>
      <c r="M61" s="103">
        <f t="shared" si="53"/>
        <v>0</v>
      </c>
      <c r="N61" s="103">
        <f t="shared" si="48"/>
        <v>0</v>
      </c>
      <c r="O61" s="103">
        <f t="shared" si="49"/>
        <v>0</v>
      </c>
      <c r="P61" s="103">
        <f t="shared" si="50"/>
        <v>0</v>
      </c>
      <c r="Q61" s="103">
        <f t="shared" si="51"/>
        <v>0</v>
      </c>
      <c r="U61" s="39">
        <f>HLOOKUP($AK$54,'Daten-Zusammensetzung Bauteil'!$B$4:$BC$14,Database!$B7,FALSE)</f>
        <v>0</v>
      </c>
      <c r="V61" s="99">
        <f>HLOOKUP($AK$54,'Daten-Funktion'!$B$4:$BC$14,Database!$B7,FALSE)</f>
        <v>0</v>
      </c>
      <c r="W61" s="39">
        <f>HLOOKUP($AK$54,'Daten-THGE'!$B$4:$BC$14,Database!$B7,FALSE)</f>
        <v>0</v>
      </c>
      <c r="X61" s="39">
        <f>HLOOKUP($AK$54,'Daten-Dichte'!$B$4:$BC$14,Database!$B7,FALSE)</f>
        <v>0</v>
      </c>
      <c r="Y61" s="39">
        <f>HLOOKUP($AK$54,'Daten-Dicke'!$B$4:$BC$14,Database!$B7,FALSE)</f>
        <v>0</v>
      </c>
      <c r="Z61" s="44"/>
      <c r="AA61" s="49">
        <f t="shared" si="34"/>
        <v>0</v>
      </c>
      <c r="AD61" s="103">
        <f t="shared" si="54"/>
        <v>0</v>
      </c>
      <c r="AE61" s="103">
        <f t="shared" si="55"/>
        <v>0</v>
      </c>
      <c r="AF61" s="103">
        <f t="shared" si="56"/>
        <v>0</v>
      </c>
      <c r="AG61" s="103">
        <f t="shared" si="52"/>
        <v>0</v>
      </c>
      <c r="AH61" s="103">
        <f t="shared" si="57"/>
        <v>0</v>
      </c>
      <c r="AI61"/>
    </row>
    <row r="62" spans="2:37" ht="15.75" x14ac:dyDescent="0.25">
      <c r="D62" s="39">
        <f>HLOOKUP($AJ$54,'Daten-Zusammensetzung Bauteil'!$B$4:$BC$14,Database!$B8,FALSE)</f>
        <v>0</v>
      </c>
      <c r="E62" s="99">
        <f>HLOOKUP($AJ$54,'Daten-Funktion'!$B$4:$BC$14,Database!$B8,FALSE)</f>
        <v>0</v>
      </c>
      <c r="F62" s="39">
        <f>HLOOKUP($AJ$54,'Daten-THGE'!$B$4:$BC$14,Database!$B8,FALSE)</f>
        <v>0</v>
      </c>
      <c r="G62" s="39">
        <f>HLOOKUP($AJ$54,'Daten-Dichte'!$B$4:$BC$14,Database!$B8,FALSE)</f>
        <v>0</v>
      </c>
      <c r="H62" s="39">
        <f>HLOOKUP($AJ$54,'Daten-Dicke'!$B$4:$BC$14,Database!$B8,FALSE)</f>
        <v>0</v>
      </c>
      <c r="I62" s="44"/>
      <c r="J62" s="49">
        <f t="shared" si="28"/>
        <v>0</v>
      </c>
      <c r="M62" s="103">
        <f>IF(E62="Rohbau",1,0)</f>
        <v>0</v>
      </c>
      <c r="N62" s="103">
        <f t="shared" si="48"/>
        <v>0</v>
      </c>
      <c r="O62" s="103">
        <f t="shared" si="49"/>
        <v>0</v>
      </c>
      <c r="P62" s="103">
        <f t="shared" si="50"/>
        <v>0</v>
      </c>
      <c r="Q62" s="103">
        <f t="shared" si="51"/>
        <v>0</v>
      </c>
      <c r="U62" s="39">
        <f>HLOOKUP($AK$54,'Daten-Zusammensetzung Bauteil'!$B$4:$BC$14,Database!$B8,FALSE)</f>
        <v>0</v>
      </c>
      <c r="V62" s="99">
        <f>HLOOKUP($AK$54,'Daten-Funktion'!$B$4:$BC$14,Database!$B8,FALSE)</f>
        <v>0</v>
      </c>
      <c r="W62" s="39">
        <f>HLOOKUP($AK$54,'Daten-THGE'!$B$4:$BC$14,Database!$B8,FALSE)</f>
        <v>0</v>
      </c>
      <c r="X62" s="39">
        <f>HLOOKUP($AK$54,'Daten-Dichte'!$B$4:$BC$14,Database!$B8,FALSE)</f>
        <v>0</v>
      </c>
      <c r="Y62" s="39">
        <f>HLOOKUP($AK$54,'Daten-Dicke'!$B$4:$BC$14,Database!$B8,FALSE)</f>
        <v>0</v>
      </c>
      <c r="Z62" s="44"/>
      <c r="AA62" s="49">
        <f t="shared" si="34"/>
        <v>0</v>
      </c>
      <c r="AD62" s="103">
        <f>IF(V62="Rohbau",1,0)</f>
        <v>0</v>
      </c>
      <c r="AE62" s="103">
        <f t="shared" si="55"/>
        <v>0</v>
      </c>
      <c r="AF62" s="103">
        <f t="shared" si="56"/>
        <v>0</v>
      </c>
      <c r="AG62" s="103">
        <f t="shared" si="52"/>
        <v>0</v>
      </c>
      <c r="AH62" s="103">
        <f t="shared" si="57"/>
        <v>0</v>
      </c>
      <c r="AI62"/>
    </row>
    <row r="63" spans="2:37" x14ac:dyDescent="0.25">
      <c r="M63" s="104">
        <f>IF(K45=0,0,SUMPRODUCT(J45:J62*M45:M62)/SUM(J45:J62))</f>
        <v>0.47477448263348326</v>
      </c>
      <c r="N63" s="104">
        <f>IF(K45=0,0,SUMPRODUCT(J45:J62*N45:N62)/SUM(J45:J62))</f>
        <v>7.4302685921574532E-2</v>
      </c>
      <c r="O63" s="104">
        <f>IF(K45=0,0,SUMPRODUCT(J45:J62*O45:O62)/SUM(J45:J62))</f>
        <v>0.28590927671546856</v>
      </c>
      <c r="P63" s="104">
        <f>IF(K45=0,0,SUMPRODUCT(J45:J62*P45:P62)/SUM(J45:J62))</f>
        <v>0</v>
      </c>
      <c r="Q63" s="104">
        <f>IF(K45=0,0,SUMPRODUCT(J45:J62*Q45:Q62)/SUM(J45:J62))</f>
        <v>0.16501355472947352</v>
      </c>
      <c r="R63" s="122">
        <f>SUM(M63:Q63)</f>
        <v>1</v>
      </c>
      <c r="AD63" s="104">
        <f>IF(AB45=0,0,SUMPRODUCT(AA45:AA62*AD45:AD62)/SUM(AA45:AA62))</f>
        <v>0.66191459988105261</v>
      </c>
      <c r="AE63" s="104">
        <f>IF(AB45=0,0,SUMPRODUCT(AA45:AA62*AE45:AE62)/SUM(AA45:AA62))</f>
        <v>7.5990378854368698E-2</v>
      </c>
      <c r="AF63" s="104">
        <f>IF(AB45=0,0,SUMPRODUCT(AA45:AA62*AF45:AF62)/SUM(AA45:AA62))</f>
        <v>3.2038678624047259E-2</v>
      </c>
      <c r="AG63" s="104">
        <f>IF(AB45=0,0,SUMPRODUCT(AA45:AA62*AG45:AG62)/SUM(AA45:AA62))</f>
        <v>0</v>
      </c>
      <c r="AH63" s="104">
        <f>IF(AB45=0,0,SUMPRODUCT(AA45:AA62*AH45:AH62)/SUM(AA45:AA62))</f>
        <v>0.23005634264053137</v>
      </c>
      <c r="AI63" s="122">
        <f>SUM(AD63:AH63)</f>
        <v>1</v>
      </c>
    </row>
    <row r="64" spans="2:37" x14ac:dyDescent="0.25">
      <c r="B64" s="47" t="s">
        <v>241</v>
      </c>
      <c r="S64" s="47" t="s">
        <v>241</v>
      </c>
    </row>
    <row r="65" spans="2:37" ht="20.25" x14ac:dyDescent="0.3">
      <c r="B65" s="41" t="s">
        <v>361</v>
      </c>
      <c r="C65" s="41"/>
      <c r="D65" s="40" t="s">
        <v>227</v>
      </c>
      <c r="E65" s="93"/>
      <c r="F65" s="40" t="s">
        <v>182</v>
      </c>
      <c r="G65" s="40" t="s">
        <v>226</v>
      </c>
      <c r="H65" s="40" t="s">
        <v>242</v>
      </c>
      <c r="I65" s="42" t="s">
        <v>243</v>
      </c>
      <c r="J65" s="40" t="s">
        <v>193</v>
      </c>
      <c r="K65" s="38" t="s">
        <v>194</v>
      </c>
      <c r="L65" s="37"/>
      <c r="S65" s="41" t="s">
        <v>361</v>
      </c>
      <c r="U65" s="40" t="s">
        <v>227</v>
      </c>
      <c r="V65" s="93"/>
      <c r="W65" s="40" t="s">
        <v>182</v>
      </c>
      <c r="X65" s="40" t="s">
        <v>226</v>
      </c>
      <c r="Y65" s="40" t="s">
        <v>242</v>
      </c>
      <c r="Z65" s="42" t="s">
        <v>243</v>
      </c>
      <c r="AA65" s="40" t="s">
        <v>193</v>
      </c>
      <c r="AB65" s="38" t="s">
        <v>194</v>
      </c>
      <c r="AC65" s="37"/>
    </row>
    <row r="66" spans="2:37" ht="15.75" x14ac:dyDescent="0.25">
      <c r="B66" s="40" t="s">
        <v>229</v>
      </c>
      <c r="C66" s="40" t="s">
        <v>246</v>
      </c>
      <c r="D66" s="39" t="str">
        <f>HLOOKUP($AJ$73,'Daten-Zusammensetzung Bauteil'!$B$4:$BC$14,Database!$B4,FALSE)</f>
        <v>Hochbaubeton 25 cm [kg]</v>
      </c>
      <c r="E66" s="99" t="str">
        <f>MID(HLOOKUP($AJ$73,'Daten-Funktion'!$B$4:$BC$14,Database!$B4,FALSE),1,2)</f>
        <v>C4</v>
      </c>
      <c r="F66" s="39">
        <f>HLOOKUP($AJ$73,'Daten-THGE'!$B$4:$BC$14,Database!$B4,FALSE)</f>
        <v>1.6533333333333333E-3</v>
      </c>
      <c r="G66" s="39">
        <f>HLOOKUP($AJ$73,'Daten-Dichte'!$B$4:$BC$14,Database!$B4,FALSE)</f>
        <v>2300</v>
      </c>
      <c r="H66" s="39">
        <f>HLOOKUP($AJ$73,'Daten-Dicke'!$B$4:$BC$14,Database!$B4,FALSE)</f>
        <v>24.649681528662423</v>
      </c>
      <c r="I66" s="43"/>
      <c r="J66" s="49">
        <f>IF(I66=0,G66*H66/100*F66,F66*G66*I66/1000)</f>
        <v>0.93734522292993627</v>
      </c>
      <c r="K66" s="50">
        <f>SUM(J66:J83)*Gebäude!$C$36*(Gebäude!$C$32-1)</f>
        <v>1165.3938115711253</v>
      </c>
      <c r="L66" s="40" t="s">
        <v>244</v>
      </c>
      <c r="S66" s="40" t="s">
        <v>245</v>
      </c>
      <c r="T66" s="40" t="s">
        <v>246</v>
      </c>
      <c r="U66" s="39" t="str">
        <f>HLOOKUP($AK$73,'Daten-Zusammensetzung Bauteil'!$B$4:$BC$14,Database!$B4,FALSE)</f>
        <v>Hochbaubeton 25 cm [kg]</v>
      </c>
      <c r="V66" s="99" t="str">
        <f>MID(HLOOKUP($AK$73,'Daten-Funktion'!$B$4:$BC$14,Database!$B4,FALSE),1,2)</f>
        <v>C4</v>
      </c>
      <c r="W66" s="39">
        <f>HLOOKUP($AK$73,'Daten-THGE'!$B$4:$BC$14,Database!$B4,FALSE)</f>
        <v>1.6533333333333333E-3</v>
      </c>
      <c r="X66" s="39">
        <f>HLOOKUP($AK$73,'Daten-Dichte'!$B$4:$BC$14,Database!$B4,FALSE)</f>
        <v>2300</v>
      </c>
      <c r="Y66" s="39">
        <f>HLOOKUP($AK$73,'Daten-Dicke'!$B$4:$BC$14,Database!$B4,FALSE)</f>
        <v>24.649681528662423</v>
      </c>
      <c r="Z66" s="43"/>
      <c r="AA66" s="49">
        <f>IF(Z66=0,X66*Y66/100*W66,W66*X66*Z66/1000)</f>
        <v>0.93734522292993627</v>
      </c>
      <c r="AB66" s="50">
        <f>IF(AK76=0,0,SUM(AA66:AA72)*S72*S74+SUM('Decke unter &amp; über Terrain'!AA74:AA77)*S72*S74+SUM('Decke unter &amp; über Terrain'!AA79:AA83)*S72*S74)</f>
        <v>0</v>
      </c>
      <c r="AC66" s="40" t="s">
        <v>244</v>
      </c>
    </row>
    <row r="67" spans="2:37" ht="15.75" x14ac:dyDescent="0.25">
      <c r="B67" s="42" t="s">
        <v>232</v>
      </c>
      <c r="C67" s="40"/>
      <c r="D67" s="39" t="str">
        <f>HLOOKUP($AJ$73,'Daten-Zusammensetzung Bauteil'!$B$4:$BC$14,Database!$B5,FALSE)</f>
        <v>Armierungsstahl (Bewehrungsgehalt 90 kg/m3) [kg]</v>
      </c>
      <c r="E67" s="99" t="str">
        <f>MID(HLOOKUP($AJ$73,'Daten-Funktion'!$B$4:$BC$14,Database!$B5,FALSE),1,2)</f>
        <v>C4</v>
      </c>
      <c r="F67" s="39">
        <f>HLOOKUP($AJ$73,'Daten-THGE'!$B$4:$BC$14,Database!$B5,FALSE)</f>
        <v>1.1366666666666667E-2</v>
      </c>
      <c r="G67" s="39">
        <f>HLOOKUP($AJ$73,'Daten-Dichte'!$B$4:$BC$14,Database!$B5,FALSE)</f>
        <v>7850</v>
      </c>
      <c r="H67" s="39">
        <f>HLOOKUP($AJ$73,'Daten-Dicke'!$B$4:$BC$14,Database!$B5,FALSE)</f>
        <v>0.35031847133757965</v>
      </c>
      <c r="I67" s="43"/>
      <c r="J67" s="49">
        <f t="shared" ref="J67:J72" si="58">IF(I67=0,G67*H67/100*F67,F67*G67*I67/1000)</f>
        <v>0.31258333333333338</v>
      </c>
      <c r="K67" s="39"/>
      <c r="L67" s="37"/>
      <c r="S67" s="42" t="s">
        <v>232</v>
      </c>
      <c r="T67" s="40"/>
      <c r="U67" s="39" t="str">
        <f>HLOOKUP($AK$73,'Daten-Zusammensetzung Bauteil'!$B$4:$BC$14,Database!$B5,FALSE)</f>
        <v>Armierungsstahl (Bewehrungsgehalt 90 kg/m3) [kg]</v>
      </c>
      <c r="V67" s="99" t="str">
        <f>MID(HLOOKUP($AK$73,'Daten-Funktion'!$B$4:$BC$14,Database!$B5,FALSE),1,2)</f>
        <v>C4</v>
      </c>
      <c r="W67" s="39">
        <f>HLOOKUP($AK$73,'Daten-THGE'!$B$4:$BC$14,Database!$B5,FALSE)</f>
        <v>1.1366666666666667E-2</v>
      </c>
      <c r="X67" s="39">
        <f>HLOOKUP($AK$73,'Daten-Dichte'!$B$4:$BC$14,Database!$B5,FALSE)</f>
        <v>7850</v>
      </c>
      <c r="Y67" s="39">
        <f>HLOOKUP($AK$73,'Daten-Dicke'!$B$4:$BC$14,Database!$B5,FALSE)</f>
        <v>0.35031847133757965</v>
      </c>
      <c r="Z67" s="43"/>
      <c r="AA67" s="49">
        <f t="shared" ref="AA67:AA72" si="59">IF(Z67=0,X67*Y67/100*W67,W67*X67*Z67/1000)</f>
        <v>0.31258333333333338</v>
      </c>
      <c r="AB67" s="39"/>
      <c r="AC67" s="37"/>
    </row>
    <row r="68" spans="2:37" ht="15.75" x14ac:dyDescent="0.25">
      <c r="B68" s="42" t="s">
        <v>234</v>
      </c>
      <c r="C68" s="37"/>
      <c r="D68" s="39" t="str">
        <f>HLOOKUP($AJ$73,'Daten-Zusammensetzung Bauteil'!$B$4:$BC$14,Database!$B6,FALSE)</f>
        <v>3-SP Schalung 2.5cm (Annahme 5xverwendet) [kg]</v>
      </c>
      <c r="E68" s="99" t="str">
        <f>MID(HLOOKUP($AJ$73,'Daten-Funktion'!$B$4:$BC$14,Database!$B6,FALSE),1,2)</f>
        <v>C4</v>
      </c>
      <c r="F68" s="39">
        <f>HLOOKUP($AJ$73,'Daten-THGE'!$B$4:$BC$14,Database!$B6,FALSE)</f>
        <v>8.7166666666666677E-3</v>
      </c>
      <c r="G68" s="39">
        <f>HLOOKUP($AJ$73,'Daten-Dichte'!$B$4:$BC$14,Database!$B6,FALSE)</f>
        <v>470</v>
      </c>
      <c r="H68" s="39">
        <f>HLOOKUP($AJ$73,'Daten-Dicke'!$B$4:$BC$14,Database!$B6,FALSE)</f>
        <v>1.0000000000000002</v>
      </c>
      <c r="I68" s="44"/>
      <c r="J68" s="49">
        <f t="shared" si="58"/>
        <v>4.096833333333335E-2</v>
      </c>
      <c r="K68" s="37"/>
      <c r="L68" s="37"/>
      <c r="S68" s="42" t="s">
        <v>234</v>
      </c>
      <c r="T68" s="37"/>
      <c r="U68" s="39" t="str">
        <f>HLOOKUP($AK$73,'Daten-Zusammensetzung Bauteil'!$B$4:$BC$14,Database!$B6,FALSE)</f>
        <v>3-SP Schalung 2.5cm (Annahme 5xverwendet) [kg]</v>
      </c>
      <c r="V68" s="99" t="str">
        <f>MID(HLOOKUP($AK$73,'Daten-Funktion'!$B$4:$BC$14,Database!$B6,FALSE),1,2)</f>
        <v>C4</v>
      </c>
      <c r="W68" s="39">
        <f>HLOOKUP($AK$73,'Daten-THGE'!$B$4:$BC$14,Database!$B6,FALSE)</f>
        <v>8.7166666666666677E-3</v>
      </c>
      <c r="X68" s="39">
        <f>HLOOKUP($AK$73,'Daten-Dichte'!$B$4:$BC$14,Database!$B6,FALSE)</f>
        <v>470</v>
      </c>
      <c r="Y68" s="39">
        <f>HLOOKUP($AK$73,'Daten-Dicke'!$B$4:$BC$14,Database!$B6,FALSE)</f>
        <v>1.0000000000000002</v>
      </c>
      <c r="Z68" s="44"/>
      <c r="AA68" s="49">
        <f t="shared" si="59"/>
        <v>4.096833333333335E-2</v>
      </c>
      <c r="AB68" s="37"/>
      <c r="AC68" s="37"/>
    </row>
    <row r="69" spans="2:37" ht="15.75" x14ac:dyDescent="0.25">
      <c r="B69" s="42" t="s">
        <v>333</v>
      </c>
      <c r="C69" s="37"/>
      <c r="D69" s="39" t="str">
        <f>HLOOKUP($AJ$73,'Daten-Zusammensetzung Bauteil'!$B$4:$BC$14,Database!$B7,FALSE)</f>
        <v>Kalk-Zementgrundputz [kg]</v>
      </c>
      <c r="E69" s="99" t="str">
        <f>HLOOKUP($AJ$73,'Daten-Funktion'!$B$4:$BC$14,Database!$B7,FALSE)</f>
        <v>G4.1</v>
      </c>
      <c r="F69" s="39">
        <f>HLOOKUP($AJ$73,'Daten-THGE'!$B$4:$BC$14,Database!$B7,FALSE)</f>
        <v>8.2333333333333338E-3</v>
      </c>
      <c r="G69" s="39">
        <f>HLOOKUP($AJ$73,'Daten-Dichte'!$B$4:$BC$14,Database!$B7,FALSE)</f>
        <v>1550</v>
      </c>
      <c r="H69" s="39">
        <f>HLOOKUP($AJ$73,'Daten-Dicke'!$B$4:$BC$14,Database!$B7,FALSE)</f>
        <v>1.1612903225806452</v>
      </c>
      <c r="I69" s="44"/>
      <c r="J69" s="49">
        <f t="shared" si="58"/>
        <v>0.14820000000000003</v>
      </c>
      <c r="K69" s="37"/>
      <c r="L69" s="37"/>
      <c r="S69" s="42" t="s">
        <v>333</v>
      </c>
      <c r="T69" s="37"/>
      <c r="U69" s="39" t="str">
        <f>HLOOKUP($AK$73,'Daten-Zusammensetzung Bauteil'!$B$4:$BC$14,Database!$B7,FALSE)</f>
        <v>Kalk-Zementgrundputz [kg]</v>
      </c>
      <c r="V69" s="99" t="str">
        <f>HLOOKUP($AK$73,'Daten-Funktion'!$B$4:$BC$14,Database!$B7,FALSE)</f>
        <v>G4.1</v>
      </c>
      <c r="W69" s="39">
        <f>HLOOKUP($AK$73,'Daten-THGE'!$B$4:$BC$14,Database!$B7,FALSE)</f>
        <v>8.2333333333333338E-3</v>
      </c>
      <c r="X69" s="39">
        <f>HLOOKUP($AK$73,'Daten-Dichte'!$B$4:$BC$14,Database!$B7,FALSE)</f>
        <v>1550</v>
      </c>
      <c r="Y69" s="39">
        <f>HLOOKUP($AK$73,'Daten-Dicke'!$B$4:$BC$14,Database!$B7,FALSE)</f>
        <v>1.1612903225806452</v>
      </c>
      <c r="Z69" s="44"/>
      <c r="AA69" s="49">
        <f t="shared" si="59"/>
        <v>0.14820000000000003</v>
      </c>
      <c r="AB69" s="37"/>
      <c r="AC69" s="37"/>
    </row>
    <row r="70" spans="2:37" ht="15.75" x14ac:dyDescent="0.25">
      <c r="B70" s="42" t="s">
        <v>281</v>
      </c>
      <c r="C70" s="37"/>
      <c r="D70" s="39" t="str">
        <f>HLOOKUP($AJ$73,'Daten-Zusammensetzung Bauteil'!$B$4:$BC$14,Database!$B8,FALSE)</f>
        <v>Deckputz (Weissputz) [kg]</v>
      </c>
      <c r="E70" s="99" t="str">
        <f>HLOOKUP($AJ$73,'Daten-Funktion'!$B$4:$BC$14,Database!$B8,FALSE)</f>
        <v>G4.2</v>
      </c>
      <c r="F70" s="39">
        <f>HLOOKUP($AJ$73,'Daten-THGE'!$B$4:$BC$14,Database!$B8,FALSE)</f>
        <v>4.8999999999999998E-3</v>
      </c>
      <c r="G70" s="39">
        <f>HLOOKUP($AJ$73,'Daten-Dichte'!$B$4:$BC$14,Database!$B8,FALSE)</f>
        <v>1100</v>
      </c>
      <c r="H70" s="39">
        <f>HLOOKUP($AJ$73,'Daten-Dicke'!$B$4:$BC$14,Database!$B8,FALSE)</f>
        <v>0.31818181818181818</v>
      </c>
      <c r="I70" s="44"/>
      <c r="J70" s="49">
        <f t="shared" si="58"/>
        <v>1.7149999999999999E-2</v>
      </c>
      <c r="K70" s="37"/>
      <c r="L70" s="37"/>
      <c r="M70" s="100"/>
      <c r="N70" s="100"/>
      <c r="O70" s="100"/>
      <c r="P70" s="100"/>
      <c r="Q70" s="100"/>
      <c r="R70" s="62"/>
      <c r="S70" s="42" t="s">
        <v>276</v>
      </c>
      <c r="T70" s="37"/>
      <c r="U70" s="39" t="str">
        <f>HLOOKUP($AK$73,'Daten-Zusammensetzung Bauteil'!$B$4:$BC$14,Database!$B8,FALSE)</f>
        <v>Deckputz (Weissputz) [kg]</v>
      </c>
      <c r="V70" s="99" t="str">
        <f>HLOOKUP($AK$73,'Daten-Funktion'!$B$4:$BC$14,Database!$B8,FALSE)</f>
        <v>G4.2</v>
      </c>
      <c r="W70" s="39">
        <f>HLOOKUP($AK$73,'Daten-THGE'!$B$4:$BC$14,Database!$B8,FALSE)</f>
        <v>4.8999999999999998E-3</v>
      </c>
      <c r="X70" s="39">
        <f>HLOOKUP($AK$73,'Daten-Dichte'!$B$4:$BC$14,Database!$B8,FALSE)</f>
        <v>1100</v>
      </c>
      <c r="Y70" s="39">
        <f>HLOOKUP($AK$73,'Daten-Dicke'!$B$4:$BC$14,Database!$B8,FALSE)</f>
        <v>0.31818181818181818</v>
      </c>
      <c r="Z70" s="44"/>
      <c r="AA70" s="49">
        <f t="shared" si="59"/>
        <v>1.7149999999999999E-2</v>
      </c>
      <c r="AB70" s="37"/>
      <c r="AC70" s="37"/>
      <c r="AD70" s="62"/>
      <c r="AE70" s="62"/>
      <c r="AF70" s="62"/>
      <c r="AG70" s="62"/>
      <c r="AH70" s="62"/>
      <c r="AI70" s="100"/>
    </row>
    <row r="71" spans="2:37" ht="15.75" x14ac:dyDescent="0.25">
      <c r="B71" s="37"/>
      <c r="C71" s="37"/>
      <c r="D71" s="39" t="str">
        <f>HLOOKUP($AJ$73,'Daten-Zusammensetzung Bauteil'!$B$4:$BC$14,Database!$B9,FALSE)</f>
        <v>Wanddispersion [m2]</v>
      </c>
      <c r="E71" s="99" t="str">
        <f>HLOOKUP($AJ$73,'Daten-Funktion'!$B$4:$BC$14,Database!$B9,FALSE)</f>
        <v>G4.2</v>
      </c>
      <c r="F71" s="39">
        <f>HLOOKUP($AJ$73,'Daten-THGE'!$B$4:$BC$14,Database!$B9,FALSE)</f>
        <v>0.15111111111111114</v>
      </c>
      <c r="G71" s="39">
        <f>HLOOKUP($AJ$73,'Daten-Dichte'!$B$4:$BC$14,Database!$B9,FALSE)</f>
        <v>150</v>
      </c>
      <c r="H71" s="39">
        <f>HLOOKUP($AJ$73,'Daten-Dicke'!$B$4:$BC$14,Database!$B9,FALSE)</f>
        <v>0.2</v>
      </c>
      <c r="I71" s="44"/>
      <c r="J71" s="49">
        <f t="shared" si="58"/>
        <v>4.5333333333333344E-2</v>
      </c>
      <c r="K71" s="37"/>
      <c r="L71" s="37"/>
      <c r="S71" s="42" t="s">
        <v>317</v>
      </c>
      <c r="T71" s="37"/>
      <c r="U71" s="39" t="str">
        <f>HLOOKUP($AK$73,'Daten-Zusammensetzung Bauteil'!$B$4:$BC$14,Database!$B9,FALSE)</f>
        <v>Wanddispersion [m2]</v>
      </c>
      <c r="V71" s="99" t="str">
        <f>HLOOKUP($AK$73,'Daten-Funktion'!$B$4:$BC$14,Database!$B9,FALSE)</f>
        <v>G4.2</v>
      </c>
      <c r="W71" s="39">
        <f>HLOOKUP($AK$73,'Daten-THGE'!$B$4:$BC$14,Database!$B9,FALSE)</f>
        <v>0.15111111111111114</v>
      </c>
      <c r="X71" s="39">
        <f>HLOOKUP($AK$73,'Daten-Dichte'!$B$4:$BC$14,Database!$B9,FALSE)</f>
        <v>150</v>
      </c>
      <c r="Y71" s="39">
        <f>HLOOKUP($AK$73,'Daten-Dicke'!$B$4:$BC$14,Database!$B9,FALSE)</f>
        <v>0.2</v>
      </c>
      <c r="Z71" s="44"/>
      <c r="AA71" s="49">
        <f t="shared" si="59"/>
        <v>4.5333333333333344E-2</v>
      </c>
      <c r="AB71" s="37"/>
      <c r="AC71" s="37"/>
    </row>
    <row r="72" spans="2:37" ht="15.75" x14ac:dyDescent="0.25">
      <c r="B72" s="37"/>
      <c r="C72" s="37"/>
      <c r="D72" s="39">
        <f>HLOOKUP($AJ$73,'Daten-Zusammensetzung Bauteil'!$B$4:$BC$14,Database!$B10,FALSE)</f>
        <v>0</v>
      </c>
      <c r="E72" s="99">
        <f>HLOOKUP($AJ$73,'Daten-Funktion'!$B$4:$BC$14,Database!$B10,FALSE)</f>
        <v>0</v>
      </c>
      <c r="F72" s="39">
        <f>HLOOKUP($AJ$73,'Daten-THGE'!$B$4:$BC$14,Database!$B10,FALSE)</f>
        <v>0</v>
      </c>
      <c r="G72" s="39">
        <f>HLOOKUP($AJ$73,'Daten-Dichte'!$B$4:$BC$14,Database!$B10,FALSE)</f>
        <v>0</v>
      </c>
      <c r="H72" s="39">
        <f>HLOOKUP($AJ$73,'Daten-Dicke'!$B$4:$BC$14,Database!$B10,FALSE)</f>
        <v>0</v>
      </c>
      <c r="I72" s="44"/>
      <c r="J72" s="49">
        <f t="shared" si="58"/>
        <v>0</v>
      </c>
      <c r="K72" s="37"/>
      <c r="L72" s="37"/>
      <c r="S72" s="42"/>
      <c r="T72" s="37"/>
      <c r="U72" s="39">
        <f>HLOOKUP($AK$73,'Daten-Zusammensetzung Bauteil'!$B$4:$BC$14,Database!$B10,FALSE)</f>
        <v>0</v>
      </c>
      <c r="V72" s="99">
        <f>HLOOKUP($AK$73,'Daten-Funktion'!$B$4:$BC$14,Database!$B10,FALSE)</f>
        <v>0</v>
      </c>
      <c r="W72" s="39">
        <f>HLOOKUP($AK$73,'Daten-THGE'!$B$4:$BC$14,Database!$B10,FALSE)</f>
        <v>0</v>
      </c>
      <c r="X72" s="39">
        <f>HLOOKUP($AK$73,'Daten-Dichte'!$B$4:$BC$14,Database!$B10,FALSE)</f>
        <v>0</v>
      </c>
      <c r="Y72" s="39">
        <f>HLOOKUP($AK$73,'Daten-Dicke'!$B$4:$BC$14,Database!$B10,FALSE)</f>
        <v>0</v>
      </c>
      <c r="Z72" s="44"/>
      <c r="AA72" s="49">
        <f t="shared" si="59"/>
        <v>0</v>
      </c>
      <c r="AB72" s="37"/>
      <c r="AC72" s="37"/>
      <c r="AK72">
        <f>IF($S$68=Database!$D$14,1,0)</f>
        <v>1</v>
      </c>
    </row>
    <row r="73" spans="2:37" ht="15.75" x14ac:dyDescent="0.25">
      <c r="B73" s="37"/>
      <c r="F73" s="39"/>
      <c r="G73" s="39"/>
      <c r="H73" s="39"/>
      <c r="I73" s="39"/>
      <c r="J73" s="49"/>
      <c r="K73" s="37"/>
      <c r="L73" s="37"/>
      <c r="S73" s="42" t="s">
        <v>311</v>
      </c>
      <c r="U73" s="39"/>
      <c r="V73" s="99"/>
      <c r="W73" s="39"/>
      <c r="X73" s="39"/>
      <c r="Y73" s="39"/>
      <c r="Z73" s="39"/>
      <c r="AA73" s="49"/>
      <c r="AB73" s="37"/>
      <c r="AC73" s="37"/>
      <c r="AJ73" t="str">
        <f>VLOOKUP($B$67,Database!$Y$29:$AF$31,7,FALSE)</f>
        <v>10a</v>
      </c>
      <c r="AK73" t="str">
        <f>VLOOKUP($S$67,Database!$Y$29:$AF$31,8,FALSE)</f>
        <v>10a</v>
      </c>
    </row>
    <row r="74" spans="2:37" ht="15.75" x14ac:dyDescent="0.25">
      <c r="B74" s="37"/>
      <c r="C74" s="40" t="s">
        <v>247</v>
      </c>
      <c r="D74" s="39">
        <f>IF($AJ$74=0,0,HLOOKUP($AJ$74,'Daten-Zusammensetzung Bauteil'!$B$4:$BC$14,Database!$B4,FALSE))</f>
        <v>0</v>
      </c>
      <c r="E74" s="99">
        <f>IF($AJ$74=0,0,HLOOKUP($AJ$74,'Daten-Funktion'!$B$4:$BC$14,Database!$B4,FALSE))</f>
        <v>0</v>
      </c>
      <c r="F74" s="39">
        <f>IF($AJ$74=0,0,HLOOKUP($AJ$74,'Daten-THGE'!$B$4:$BC$14,Database!$B4,FALSE))</f>
        <v>0</v>
      </c>
      <c r="G74" s="39">
        <f>IF($AJ$74=0,0,HLOOKUP($AJ$74,'Daten-Dichte'!$B$4:$BC$14,Database!$B4,FALSE))</f>
        <v>0</v>
      </c>
      <c r="H74" s="39">
        <f>IF($AJ$74=0,0,HLOOKUP($AJ$74,'Daten-Dicke'!$B$4:$BC$14,Database!$B4,FALSE))</f>
        <v>0</v>
      </c>
      <c r="I74" s="44"/>
      <c r="J74" s="49">
        <f t="shared" ref="J74:J77" si="60">IF(I74=0,G74*H74/100*F74,F74*G74*I74/1000)</f>
        <v>0</v>
      </c>
      <c r="K74" s="37"/>
      <c r="L74" s="37"/>
      <c r="S74" s="42"/>
      <c r="T74" s="40" t="s">
        <v>247</v>
      </c>
      <c r="U74" s="39">
        <f>IF($AK$74=0,0,HLOOKUP($AK$74,'Daten-Zusammensetzung Bauteil'!$B$4:$BC$14,Database!$B4,FALSE))</f>
        <v>0</v>
      </c>
      <c r="V74" s="99">
        <f>IF($AK$74=0,0,HLOOKUP($AK$74,'Daten-Funktion'!$B$4:$BC$14,Database!$B4,FALSE))</f>
        <v>0</v>
      </c>
      <c r="W74" s="39">
        <f>IF($AK$74=0,0,HLOOKUP($AK$74,'Daten-THGE'!$B$4:$BC$14,Database!$B4,FALSE))</f>
        <v>0</v>
      </c>
      <c r="X74" s="39">
        <f>IF($AK$74=0,0,HLOOKUP($AK$74,'Daten-Dichte'!$B$4:$BC$14,Database!$B4,FALSE))</f>
        <v>0</v>
      </c>
      <c r="Y74" s="39">
        <f>IF($AK$74=0,0,HLOOKUP($AK$74,'Daten-Dicke'!$B$4:$BC$14,Database!$B4,FALSE))</f>
        <v>0</v>
      </c>
      <c r="Z74" s="44"/>
      <c r="AA74" s="49">
        <f t="shared" ref="AA74:AA77" si="61">IF(Z74=0,X74*Y74/100*W74,W74*X74*Z74/1000)</f>
        <v>0</v>
      </c>
      <c r="AB74" s="37"/>
      <c r="AC74" s="37"/>
      <c r="AJ74">
        <f>VLOOKUP($B$69,Database!$H$12:$I$15,2,FALSE)</f>
        <v>0</v>
      </c>
      <c r="AK74">
        <f>VLOOKUP($S$69,Database!$H$12:$I$15,2,FALSE)</f>
        <v>0</v>
      </c>
    </row>
    <row r="75" spans="2:37" ht="15.75" x14ac:dyDescent="0.25">
      <c r="B75" s="37"/>
      <c r="D75" s="39">
        <f>IF($AJ$74=0,0,HLOOKUP($AJ$74,'Daten-Zusammensetzung Bauteil'!$B$4:$BC$14,Database!$B5,FALSE))</f>
        <v>0</v>
      </c>
      <c r="E75" s="99">
        <f>IF($AJ$74=0,0,HLOOKUP($AJ$74,'Daten-Funktion'!$B$4:$BC$14,Database!$B5,FALSE))</f>
        <v>0</v>
      </c>
      <c r="F75" s="39">
        <f>IF($AJ$74=0,0,HLOOKUP($AJ$74,'Daten-THGE'!$B$4:$BC$14,Database!$B5,FALSE))</f>
        <v>0</v>
      </c>
      <c r="G75" s="39">
        <f>IF($AJ$74=0,0,HLOOKUP($AJ$74,'Daten-Dichte'!$B$4:$BC$14,Database!$B5,FALSE))</f>
        <v>0</v>
      </c>
      <c r="H75" s="39">
        <f>IF($AJ$74=0,0,HLOOKUP($AJ$74,'Daten-Dicke'!$B$4:$BC$14,Database!$B5,FALSE))</f>
        <v>0</v>
      </c>
      <c r="I75" s="44"/>
      <c r="J75" s="49">
        <f>IF(I75=0,G75*H75/100*F75,F75*G75*I75/1000)</f>
        <v>0</v>
      </c>
      <c r="K75" s="37"/>
      <c r="L75" s="37"/>
      <c r="S75" s="37"/>
      <c r="U75" s="39">
        <f>IF($AK$74=0,0,HLOOKUP($AK$74,'Daten-Zusammensetzung Bauteil'!$B$4:$BC$14,Database!$B5,FALSE))</f>
        <v>0</v>
      </c>
      <c r="V75" s="99">
        <f>IF($AK$74=0,0,HLOOKUP($AK$74,'Daten-Funktion'!$B$4:$BC$14,Database!$B5,FALSE))</f>
        <v>0</v>
      </c>
      <c r="W75" s="39">
        <f>IF($AK$74=0,0,HLOOKUP($AK$74,'Daten-THGE'!$B$4:$BC$14,Database!$B5,FALSE))</f>
        <v>0</v>
      </c>
      <c r="X75" s="39">
        <f>IF($AK$74=0,0,HLOOKUP($AK$74,'Daten-Dichte'!$B$4:$BC$14,Database!$B5,FALSE))</f>
        <v>0</v>
      </c>
      <c r="Y75" s="39">
        <f>IF($AK$74=0,0,HLOOKUP($AK$74,'Daten-Dicke'!$B$4:$BC$14,Database!$B5,FALSE))</f>
        <v>0</v>
      </c>
      <c r="Z75" s="44"/>
      <c r="AA75" s="49">
        <f t="shared" si="61"/>
        <v>0</v>
      </c>
      <c r="AB75" s="37"/>
      <c r="AC75" s="37"/>
      <c r="AJ75" t="str">
        <f>VLOOKUP('Decke unter &amp; über Terrain'!$B$70,Database!$V$54:$W$55,2,FALSE)</f>
        <v>12a</v>
      </c>
      <c r="AK75" t="str">
        <f>VLOOKUP('Decke unter &amp; über Terrain'!$S$70,Database!$S$64:$T$65,2,FALSE)</f>
        <v>12b</v>
      </c>
    </row>
    <row r="76" spans="2:37" ht="15.75" x14ac:dyDescent="0.25">
      <c r="B76" s="37"/>
      <c r="C76" s="37"/>
      <c r="D76" s="39">
        <f>IF($AJ$74=0,0,HLOOKUP($AJ$74,'Daten-Zusammensetzung Bauteil'!$B$4:$BC$14,Database!$B6,FALSE))</f>
        <v>0</v>
      </c>
      <c r="E76" s="99">
        <f>IF($AJ$74=0,0,HLOOKUP($AJ$74,'Daten-Funktion'!$B$4:$BC$14,Database!$B6,FALSE))</f>
        <v>0</v>
      </c>
      <c r="F76" s="39">
        <f>IF($AJ$74=0,0,HLOOKUP($AJ$74,'Daten-THGE'!$B$4:$BC$14,Database!$B6,FALSE))</f>
        <v>0</v>
      </c>
      <c r="G76" s="39">
        <f>IF($AJ$74=0,0,HLOOKUP($AJ$74,'Daten-Dichte'!$B$4:$BC$14,Database!$B6,FALSE))</f>
        <v>0</v>
      </c>
      <c r="H76" s="39">
        <f>IF($AJ$74=0,0,HLOOKUP($AJ$74,'Daten-Dicke'!$B$4:$BC$14,Database!$B6,FALSE))</f>
        <v>0</v>
      </c>
      <c r="I76" s="44"/>
      <c r="J76" s="49">
        <f t="shared" si="60"/>
        <v>0</v>
      </c>
      <c r="K76" s="37"/>
      <c r="L76" s="37"/>
      <c r="S76" s="37"/>
      <c r="T76" s="37"/>
      <c r="U76" s="39">
        <f>IF($AK$74=0,0,HLOOKUP($AK$74,'Daten-Zusammensetzung Bauteil'!$B$4:$BC$14,Database!$B6,FALSE))</f>
        <v>0</v>
      </c>
      <c r="V76" s="99">
        <f>IF($AK$74=0,0,HLOOKUP($AK$74,'Daten-Funktion'!$B$4:$BC$14,Database!$B6,FALSE))</f>
        <v>0</v>
      </c>
      <c r="W76" s="39">
        <f>IF($AK$74=0,0,HLOOKUP($AK$74,'Daten-THGE'!$B$4:$BC$14,Database!$B6,FALSE))</f>
        <v>0</v>
      </c>
      <c r="X76" s="39">
        <f>IF($AK$74=0,0,HLOOKUP($AK$74,'Daten-Dichte'!$B$4:$BC$14,Database!$B6,FALSE))</f>
        <v>0</v>
      </c>
      <c r="Y76" s="39">
        <f>IF($AK$74=0,0,HLOOKUP($AK$74,'Daten-Dicke'!$B$4:$BC$14,Database!$B6,FALSE))</f>
        <v>0</v>
      </c>
      <c r="Z76" s="44"/>
      <c r="AA76" s="49">
        <f t="shared" si="61"/>
        <v>0</v>
      </c>
      <c r="AB76" s="37"/>
      <c r="AC76" s="37"/>
      <c r="AK76">
        <f>IF($S$68=Database!$D$14,1,0)</f>
        <v>1</v>
      </c>
    </row>
    <row r="77" spans="2:37" ht="15.75" x14ac:dyDescent="0.25">
      <c r="C77" s="37"/>
      <c r="D77" s="39">
        <f>IF($AJ$74=0,0,HLOOKUP($AJ$74,'Daten-Zusammensetzung Bauteil'!$B$4:$BC$14,Database!$B7,FALSE))</f>
        <v>0</v>
      </c>
      <c r="E77" s="99">
        <f>IF($AJ$74=0,0,HLOOKUP($AJ$74,'Daten-Funktion'!$B$4:$BC$14,Database!$B7,FALSE))</f>
        <v>0</v>
      </c>
      <c r="F77" s="39">
        <f>IF($AJ$74=0,0,HLOOKUP($AJ$74,'Daten-THGE'!$B$4:$BC$14,Database!$B7,FALSE))</f>
        <v>0</v>
      </c>
      <c r="G77" s="39">
        <f>IF($AJ$74=0,0,HLOOKUP($AJ$74,'Daten-Dichte'!$B$4:$BC$14,Database!$B7,FALSE))</f>
        <v>0</v>
      </c>
      <c r="H77" s="39">
        <f>IF($AJ$74=0,0,HLOOKUP($AJ$74,'Daten-Dicke'!$B$4:$BC$14,Database!$B7,FALSE))</f>
        <v>0</v>
      </c>
      <c r="I77" s="44"/>
      <c r="J77" s="49">
        <f t="shared" si="60"/>
        <v>0</v>
      </c>
      <c r="T77" s="37"/>
      <c r="U77" s="39">
        <f>IF($AK$74=0,0,HLOOKUP($AK$74,'Daten-Zusammensetzung Bauteil'!$B$4:$BC$14,Database!$B7,FALSE))</f>
        <v>0</v>
      </c>
      <c r="V77" s="99">
        <f>IF($AK$74=0,0,HLOOKUP($AK$74,'Daten-Funktion'!$B$4:$BC$14,Database!$B7,FALSE))</f>
        <v>0</v>
      </c>
      <c r="W77" s="39">
        <f>IF($AK$74=0,0,HLOOKUP($AK$74,'Daten-THGE'!$B$4:$BC$14,Database!$B7,FALSE))</f>
        <v>0</v>
      </c>
      <c r="X77" s="39">
        <f>IF($AK$74=0,0,HLOOKUP($AK$74,'Daten-Dichte'!$B$4:$BC$14,Database!$B7,FALSE))</f>
        <v>0</v>
      </c>
      <c r="Y77" s="39">
        <f>IF($AK$74=0,0,HLOOKUP($AK$74,'Daten-Dicke'!$B$4:$BC$14,Database!$B7,FALSE))</f>
        <v>0</v>
      </c>
      <c r="Z77" s="44"/>
      <c r="AA77" s="49">
        <f t="shared" si="61"/>
        <v>0</v>
      </c>
    </row>
    <row r="78" spans="2:37" ht="15.75" x14ac:dyDescent="0.25">
      <c r="D78" s="39"/>
      <c r="E78" s="99"/>
      <c r="J78" s="49"/>
      <c r="AA78" s="49"/>
    </row>
    <row r="79" spans="2:37" ht="15.75" x14ac:dyDescent="0.25">
      <c r="C79" s="40" t="s">
        <v>191</v>
      </c>
      <c r="D79" s="39" t="str">
        <f>HLOOKUP($AJ$75,'Daten-Zusammensetzung Bauteil'!$B$4:$BC$14,Database!$B4,FALSE)</f>
        <v>Linoleum [m2]</v>
      </c>
      <c r="E79" s="99" t="str">
        <f>HLOOKUP($AJ$75,'Daten-Funktion'!$B$4:$BC$14,Database!$B4,FALSE)</f>
        <v>G2.2</v>
      </c>
      <c r="F79" s="39">
        <f>HLOOKUP($AJ$75,'Daten-THGE'!$B$4:$BC$14,Database!$B4,FALSE)</f>
        <v>7.3103448275862085E-2</v>
      </c>
      <c r="G79" s="39">
        <f>HLOOKUP($AJ$75,'Daten-Dichte'!$B$4:$BC$14,Database!$B4,FALSE)</f>
        <v>1160</v>
      </c>
      <c r="H79" s="39">
        <f>HLOOKUP($AJ$75,'Daten-Dicke'!$B$4:$BC$14,Database!$B4,FALSE)</f>
        <v>0.25</v>
      </c>
      <c r="I79" s="44"/>
      <c r="J79" s="49">
        <f t="shared" ref="J79:J83" si="62">IF(I79=0,G79*H79/100*F79,F79*G79*I79/1000)</f>
        <v>0.21200000000000005</v>
      </c>
      <c r="T79" s="40" t="s">
        <v>191</v>
      </c>
      <c r="U79" s="39" t="str">
        <f>HLOOKUP($AK$75,'Daten-Zusammensetzung Bauteil'!$B$4:$BC$14,Database!$B4,FALSE)</f>
        <v>Parkett 2-Schicht werkversiegelt, 11 mm [m2]</v>
      </c>
      <c r="V79" s="99" t="str">
        <f>HLOOKUP($AK$75,'Daten-Funktion'!$B$4:$BC$14,Database!$B4,FALSE)</f>
        <v>G2.2</v>
      </c>
      <c r="W79" s="39">
        <f>HLOOKUP($AK$75,'Daten-THGE'!$B$4:$BC$14,Database!$B4,FALSE)</f>
        <v>4.1038251366120222E-2</v>
      </c>
      <c r="X79" s="39">
        <f>HLOOKUP($AK$75,'Daten-Dichte'!$B$4:$BC$14,Database!$B4,FALSE)</f>
        <v>554.5454545454545</v>
      </c>
      <c r="Y79" s="39">
        <f>HLOOKUP($AK$75,'Daten-Dicke'!$B$4:$BC$14,Database!$B4,FALSE)</f>
        <v>1.1000000000000001</v>
      </c>
      <c r="Z79" s="44"/>
      <c r="AA79" s="49">
        <f t="shared" ref="AA79:AA83" si="63">IF(Z79=0,X79*Y79/100*W79,W79*X79*Z79/1000)</f>
        <v>0.25033333333333335</v>
      </c>
    </row>
    <row r="80" spans="2:37" ht="15.75" x14ac:dyDescent="0.25">
      <c r="D80" s="39" t="str">
        <f>HLOOKUP($AJ$75,'Daten-Zusammensetzung Bauteil'!$B$4:$BC$14,Database!$B5,FALSE)</f>
        <v>Klebstoff [kg]</v>
      </c>
      <c r="E80" s="99" t="str">
        <f>HLOOKUP($AJ$75,'Daten-Funktion'!$B$4:$BC$14,Database!$B5,FALSE)</f>
        <v>G2.2</v>
      </c>
      <c r="F80" s="39">
        <f>HLOOKUP($AJ$75,'Daten-THGE'!$B$4:$BC$14,Database!$B5,FALSE)</f>
        <v>0.19833333333333333</v>
      </c>
      <c r="G80" s="39">
        <f>HLOOKUP($AJ$75,'Daten-Dichte'!$B$4:$BC$14,Database!$B5,FALSE)</f>
        <v>1500</v>
      </c>
      <c r="H80" s="39">
        <f>HLOOKUP($AJ$75,'Daten-Dicke'!$B$4:$BC$14,Database!$B5,FALSE)</f>
        <v>2.6666666666666668E-2</v>
      </c>
      <c r="I80" s="44"/>
      <c r="J80" s="49">
        <f t="shared" si="62"/>
        <v>7.9333333333333339E-2</v>
      </c>
      <c r="U80" s="39" t="str">
        <f>HLOOKUP($AK$75,'Daten-Zusammensetzung Bauteil'!$B$4:$BC$14,Database!$B5,FALSE)</f>
        <v>Klebstoff [kg]</v>
      </c>
      <c r="V80" s="99" t="str">
        <f>HLOOKUP($AK$75,'Daten-Funktion'!$B$4:$BC$14,Database!$B5,FALSE)</f>
        <v>G2.2</v>
      </c>
      <c r="W80" s="39">
        <f>HLOOKUP($AK$75,'Daten-THGE'!$B$4:$BC$14,Database!$B5,FALSE)</f>
        <v>0.19833333333333333</v>
      </c>
      <c r="X80" s="39">
        <f>HLOOKUP($AK$75,'Daten-Dichte'!$B$4:$BC$14,Database!$B5,FALSE)</f>
        <v>1500</v>
      </c>
      <c r="Y80" s="39">
        <f>HLOOKUP($AK$75,'Daten-Dicke'!$B$4:$BC$14,Database!$B5,FALSE)</f>
        <v>6.6666666666666666E-2</v>
      </c>
      <c r="Z80" s="44"/>
      <c r="AA80" s="49">
        <f t="shared" si="63"/>
        <v>0.19833333333333333</v>
      </c>
    </row>
    <row r="81" spans="4:35" ht="15.75" x14ac:dyDescent="0.25">
      <c r="D81" s="39">
        <f>HLOOKUP($AJ$75,'Daten-Zusammensetzung Bauteil'!$B$4:$BC$14,Database!$B6,FALSE)</f>
        <v>0</v>
      </c>
      <c r="E81" s="99">
        <f>HLOOKUP($AJ$75,'Daten-Funktion'!$B$4:$BC$14,Database!$B6,FALSE)</f>
        <v>0</v>
      </c>
      <c r="F81" s="39">
        <f>HLOOKUP($AJ$75,'Daten-THGE'!$B$4:$BC$14,Database!$B6,FALSE)</f>
        <v>0</v>
      </c>
      <c r="G81" s="39">
        <f>HLOOKUP($AJ$75,'Daten-Dichte'!$B$4:$BC$14,Database!$B6,FALSE)</f>
        <v>0</v>
      </c>
      <c r="H81" s="39">
        <f>HLOOKUP($AJ$75,'Daten-Dicke'!$B$4:$BC$14,Database!$B6,FALSE)</f>
        <v>0</v>
      </c>
      <c r="I81" s="44"/>
      <c r="J81" s="49">
        <f t="shared" si="62"/>
        <v>0</v>
      </c>
      <c r="U81" s="39">
        <f>HLOOKUP($AK$75,'Daten-Zusammensetzung Bauteil'!$B$4:$BC$14,Database!$B6,FALSE)</f>
        <v>0</v>
      </c>
      <c r="V81" s="99">
        <f>HLOOKUP($AK$75,'Daten-Funktion'!$B$4:$BC$14,Database!$B6,FALSE)</f>
        <v>0</v>
      </c>
      <c r="W81" s="39">
        <f>HLOOKUP($AK$75,'Daten-THGE'!$B$4:$BC$14,Database!$B6,FALSE)</f>
        <v>0</v>
      </c>
      <c r="X81" s="39">
        <f>HLOOKUP($AK$75,'Daten-Dichte'!$B$4:$BC$14,Database!$B6,FALSE)</f>
        <v>0</v>
      </c>
      <c r="Y81" s="39">
        <f>HLOOKUP($AK$75,'Daten-Dicke'!$B$4:$BC$14,Database!$B6,FALSE)</f>
        <v>0</v>
      </c>
      <c r="Z81" s="44"/>
      <c r="AA81" s="49">
        <f t="shared" si="63"/>
        <v>0</v>
      </c>
    </row>
    <row r="82" spans="4:35" ht="15.75" x14ac:dyDescent="0.25">
      <c r="D82" s="39">
        <f>HLOOKUP($AJ$75,'Daten-Zusammensetzung Bauteil'!$B$4:$BC$14,Database!$B7,FALSE)</f>
        <v>0</v>
      </c>
      <c r="E82" s="99">
        <f>HLOOKUP($AJ$75,'Daten-Funktion'!$B$4:$BC$14,Database!$B7,FALSE)</f>
        <v>0</v>
      </c>
      <c r="F82" s="39">
        <f>HLOOKUP($AJ$75,'Daten-THGE'!$B$4:$BC$14,Database!$B7,FALSE)</f>
        <v>0</v>
      </c>
      <c r="G82" s="39">
        <f>HLOOKUP($AJ$75,'Daten-Dichte'!$B$4:$BC$14,Database!$B7,FALSE)</f>
        <v>0</v>
      </c>
      <c r="H82" s="39">
        <f>HLOOKUP($AJ$75,'Daten-Dicke'!$B$4:$BC$14,Database!$B7,FALSE)</f>
        <v>0</v>
      </c>
      <c r="I82" s="44"/>
      <c r="J82" s="49">
        <f t="shared" si="62"/>
        <v>0</v>
      </c>
      <c r="U82" s="39">
        <f>HLOOKUP($AK$75,'Daten-Zusammensetzung Bauteil'!$B$4:$BC$14,Database!$B7,FALSE)</f>
        <v>0</v>
      </c>
      <c r="V82" s="99">
        <f>HLOOKUP($AK$75,'Daten-Funktion'!$B$4:$BC$14,Database!$B7,FALSE)</f>
        <v>0</v>
      </c>
      <c r="W82" s="39">
        <f>HLOOKUP($AK$75,'Daten-THGE'!$B$4:$BC$14,Database!$B7,FALSE)</f>
        <v>0</v>
      </c>
      <c r="X82" s="39">
        <f>HLOOKUP($AK$75,'Daten-Dichte'!$B$4:$BC$14,Database!$B7,FALSE)</f>
        <v>0</v>
      </c>
      <c r="Y82" s="39">
        <f>HLOOKUP($AK$75,'Daten-Dicke'!$B$4:$BC$14,Database!$B7,FALSE)</f>
        <v>0</v>
      </c>
      <c r="Z82" s="44"/>
      <c r="AA82" s="49">
        <f t="shared" si="63"/>
        <v>0</v>
      </c>
    </row>
    <row r="83" spans="4:35" ht="15.75" x14ac:dyDescent="0.25">
      <c r="D83" s="39">
        <f>HLOOKUP($AJ$75,'Daten-Zusammensetzung Bauteil'!$B$4:$BC$14,Database!$B8,FALSE)</f>
        <v>0</v>
      </c>
      <c r="E83" s="99">
        <f>HLOOKUP($AJ$75,'Daten-Funktion'!$B$4:$BC$14,Database!$B8,FALSE)</f>
        <v>0</v>
      </c>
      <c r="F83" s="39">
        <f>HLOOKUP($AJ$75,'Daten-THGE'!$B$4:$BC$14,Database!$B8,FALSE)</f>
        <v>0</v>
      </c>
      <c r="G83" s="39">
        <f>HLOOKUP($AJ$75,'Daten-Dichte'!$B$4:$BC$14,Database!$B8,FALSE)</f>
        <v>0</v>
      </c>
      <c r="H83" s="39">
        <f>HLOOKUP($AJ$75,'Daten-Dicke'!$B$4:$BC$14,Database!$B8,FALSE)</f>
        <v>0</v>
      </c>
      <c r="I83" s="44"/>
      <c r="J83" s="49">
        <f t="shared" si="62"/>
        <v>0</v>
      </c>
      <c r="U83" s="39">
        <f>HLOOKUP($AK$75,'Daten-Zusammensetzung Bauteil'!$B$4:$BC$14,Database!$B8,FALSE)</f>
        <v>0</v>
      </c>
      <c r="V83" s="99">
        <f>HLOOKUP($AK$75,'Daten-Funktion'!$B$4:$BC$14,Database!$B8,FALSE)</f>
        <v>0</v>
      </c>
      <c r="W83" s="39">
        <f>HLOOKUP($AK$75,'Daten-THGE'!$B$4:$BC$14,Database!$B8,FALSE)</f>
        <v>0</v>
      </c>
      <c r="X83" s="39">
        <f>HLOOKUP($AK$75,'Daten-Dichte'!$B$4:$BC$14,Database!$B8,FALSE)</f>
        <v>0</v>
      </c>
      <c r="Y83" s="39">
        <f>HLOOKUP($AK$75,'Daten-Dicke'!$B$4:$BC$14,Database!$B8,FALSE)</f>
        <v>0</v>
      </c>
      <c r="Z83" s="44"/>
      <c r="AA83" s="49">
        <f t="shared" si="63"/>
        <v>0</v>
      </c>
    </row>
    <row r="91" spans="4:35" x14ac:dyDescent="0.25">
      <c r="M91" s="100"/>
      <c r="N91" s="100"/>
      <c r="O91" s="100"/>
      <c r="P91" s="100"/>
      <c r="Q91" s="100"/>
      <c r="R91" s="62"/>
      <c r="AD91" s="62"/>
      <c r="AE91" s="62"/>
      <c r="AF91" s="62"/>
      <c r="AG91" s="62"/>
      <c r="AH91" s="62"/>
      <c r="AI91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600-000000000000}">
          <x14:formula1>
            <xm:f>Database!$H$4:$H$6</xm:f>
          </x14:formula1>
          <xm:sqref>T46 T5 B26:C26 S26 C46 C5 S67:T67 B67:C67</xm:sqref>
        </x14:dataValidation>
        <x14:dataValidation type="list" allowBlank="1" showInputMessage="1" showErrorMessage="1" xr:uid="{00000000-0002-0000-0600-000001000000}">
          <x14:formula1>
            <xm:f>Database!$V$54:$V$55</xm:f>
          </x14:formula1>
          <xm:sqref>B70</xm:sqref>
        </x14:dataValidation>
        <x14:dataValidation type="list" allowBlank="1" showInputMessage="1" showErrorMessage="1" xr:uid="{00000000-0002-0000-0600-000002000000}">
          <x14:formula1>
            <xm:f>Database!$S$64:$S$65</xm:f>
          </x14:formula1>
          <xm:sqref>S70</xm:sqref>
        </x14:dataValidation>
        <x14:dataValidation type="list" allowBlank="1" showInputMessage="1" showErrorMessage="1" xr:uid="{00000000-0002-0000-0600-000003000000}">
          <x14:formula1>
            <xm:f>Database!$D$14:$D$15</xm:f>
          </x14:formula1>
          <xm:sqref>S30 S68 B68 B30</xm:sqref>
        </x14:dataValidation>
        <x14:dataValidation type="list" allowBlank="1" showInputMessage="1" showErrorMessage="1" xr:uid="{00000000-0002-0000-0600-000004000000}">
          <x14:formula1>
            <xm:f>Database!$D$6:$D$8</xm:f>
          </x14:formula1>
          <xm:sqref>S27 B27</xm:sqref>
        </x14:dataValidation>
        <x14:dataValidation type="list" allowBlank="1" showInputMessage="1" showErrorMessage="1" xr:uid="{00000000-0002-0000-0600-000005000000}">
          <x14:formula1>
            <xm:f>Database!$D$11:$D$13</xm:f>
          </x14:formula1>
          <xm:sqref>S28 B28</xm:sqref>
        </x14:dataValidation>
        <x14:dataValidation type="list" allowBlank="1" showInputMessage="1" showErrorMessage="1" xr:uid="{00000000-0002-0000-0600-000006000000}">
          <x14:formula1>
            <xm:f>Database!$D$9:$D$10</xm:f>
          </x14:formula1>
          <xm:sqref>B29 S29</xm:sqref>
        </x14:dataValidation>
        <x14:dataValidation type="list" allowBlank="1" showInputMessage="1" showErrorMessage="1" xr:uid="{00000000-0002-0000-0600-000007000000}">
          <x14:formula1>
            <xm:f>Database!$H$12:$H$15</xm:f>
          </x14:formula1>
          <xm:sqref>B69 S69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theme="2" tint="-9.9978637043366805E-2"/>
  </sheetPr>
  <dimension ref="B2:AK73"/>
  <sheetViews>
    <sheetView topLeftCell="I25" zoomScale="77" zoomScaleNormal="77" workbookViewId="0">
      <selection activeCell="O61" sqref="O61"/>
    </sheetView>
  </sheetViews>
  <sheetFormatPr defaultColWidth="10.85546875" defaultRowHeight="15" x14ac:dyDescent="0.25"/>
  <cols>
    <col min="2" max="2" width="34.42578125" bestFit="1" customWidth="1"/>
    <col min="3" max="3" width="16.42578125" bestFit="1" customWidth="1"/>
    <col min="4" max="4" width="45.140625" bestFit="1" customWidth="1"/>
    <col min="5" max="5" width="8.85546875" style="94" bestFit="1" customWidth="1"/>
    <col min="6" max="6" width="16.42578125" bestFit="1" customWidth="1"/>
    <col min="7" max="7" width="13.42578125" bestFit="1" customWidth="1"/>
    <col min="8" max="8" width="10.42578125" bestFit="1" customWidth="1"/>
    <col min="9" max="9" width="19.85546875" bestFit="1" customWidth="1"/>
    <col min="10" max="10" width="17.42578125" bestFit="1" customWidth="1"/>
    <col min="11" max="11" width="18.42578125" bestFit="1" customWidth="1"/>
    <col min="12" max="12" width="11.85546875" bestFit="1" customWidth="1"/>
    <col min="13" max="13" width="30.140625" style="102" bestFit="1" customWidth="1"/>
    <col min="14" max="14" width="28.85546875" style="102" bestFit="1" customWidth="1"/>
    <col min="15" max="15" width="28.85546875" style="117" customWidth="1"/>
    <col min="16" max="16" width="28.85546875" style="102" customWidth="1"/>
    <col min="17" max="20" width="28.85546875" style="117" customWidth="1"/>
    <col min="21" max="21" width="53.85546875" style="102" bestFit="1" customWidth="1"/>
    <col min="22" max="22" width="5.42578125" bestFit="1" customWidth="1"/>
    <col min="23" max="23" width="34.42578125" bestFit="1" customWidth="1"/>
    <col min="24" max="24" width="56.42578125" bestFit="1" customWidth="1"/>
    <col min="25" max="25" width="8.85546875" style="94" bestFit="1" customWidth="1"/>
    <col min="26" max="26" width="15.42578125" bestFit="1" customWidth="1"/>
    <col min="27" max="27" width="13.42578125" bestFit="1" customWidth="1"/>
    <col min="28" max="28" width="10.42578125" bestFit="1" customWidth="1"/>
    <col min="29" max="29" width="19.85546875" bestFit="1" customWidth="1"/>
    <col min="30" max="30" width="26.85546875" bestFit="1" customWidth="1"/>
    <col min="31" max="31" width="16.42578125" bestFit="1" customWidth="1"/>
    <col min="32" max="32" width="11.85546875" bestFit="1" customWidth="1"/>
    <col min="33" max="33" width="30.140625" bestFit="1" customWidth="1"/>
    <col min="34" max="34" width="28.85546875" bestFit="1" customWidth="1"/>
    <col min="35" max="35" width="28.85546875" customWidth="1"/>
    <col min="36" max="36" width="11.42578125" customWidth="1"/>
    <col min="37" max="37" width="3.140625" customWidth="1"/>
  </cols>
  <sheetData>
    <row r="2" spans="2:37" x14ac:dyDescent="0.25">
      <c r="M2" s="107" t="s">
        <v>394</v>
      </c>
      <c r="N2" s="107" t="s">
        <v>410</v>
      </c>
      <c r="O2" s="107" t="s">
        <v>442</v>
      </c>
      <c r="P2" s="107" t="s">
        <v>414</v>
      </c>
      <c r="Q2" s="107" t="s">
        <v>415</v>
      </c>
      <c r="R2" s="107" t="s">
        <v>403</v>
      </c>
      <c r="S2" s="107" t="s">
        <v>404</v>
      </c>
      <c r="T2" s="107" t="s">
        <v>405</v>
      </c>
      <c r="U2" s="107" t="s">
        <v>406</v>
      </c>
      <c r="AG2" s="107" t="s">
        <v>394</v>
      </c>
      <c r="AH2" s="107" t="s">
        <v>416</v>
      </c>
      <c r="AI2" s="107" t="s">
        <v>417</v>
      </c>
    </row>
    <row r="3" spans="2:37" ht="20.25" x14ac:dyDescent="0.3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W3" s="41" t="s">
        <v>362</v>
      </c>
      <c r="X3" s="40" t="s">
        <v>227</v>
      </c>
      <c r="Y3" s="93" t="s">
        <v>307</v>
      </c>
      <c r="Z3" s="40" t="s">
        <v>182</v>
      </c>
      <c r="AA3" s="40" t="s">
        <v>226</v>
      </c>
      <c r="AB3" s="40" t="s">
        <v>242</v>
      </c>
      <c r="AC3" s="42" t="s">
        <v>243</v>
      </c>
      <c r="AD3" s="40" t="s">
        <v>193</v>
      </c>
      <c r="AE3" s="38" t="s">
        <v>194</v>
      </c>
      <c r="AF3" s="37"/>
      <c r="AG3" s="102"/>
      <c r="AH3" s="102"/>
      <c r="AI3" s="117"/>
    </row>
    <row r="4" spans="2:37" ht="15.75" x14ac:dyDescent="0.25">
      <c r="B4" s="40" t="s">
        <v>189</v>
      </c>
      <c r="C4" s="40" t="s">
        <v>250</v>
      </c>
      <c r="D4" s="39" t="str">
        <f>HLOOKUP($V$4,'Daten-Zusammensetzung Bauteil'!$B$4:$BC$11,Database!$B4,FALSE)</f>
        <v>Hochbaubeton 25 cm [kg]</v>
      </c>
      <c r="E4" s="99" t="str">
        <f>MID(HLOOKUP($V$4,'Daten-Funktion'!$B$4:$BC$11,Database!$B4,FALSE),1,2)</f>
        <v>C4</v>
      </c>
      <c r="F4" s="39">
        <f>HLOOKUP($V$4,'Daten-THGE'!$B$4:$BC$11,Database!$B4,FALSE)</f>
        <v>1.6533333333333333E-3</v>
      </c>
      <c r="G4" s="39">
        <f>HLOOKUP($V$4,'Daten-Dichte'!$B$4:$BC$11,Database!$B4,FALSE)</f>
        <v>2300</v>
      </c>
      <c r="H4" s="39">
        <f>HLOOKUP($V$4,'Daten-Dicke'!$B$4:$BC$11,Database!$B4,FALSE)</f>
        <v>24.745222929936304</v>
      </c>
      <c r="I4" s="43"/>
      <c r="J4" s="49">
        <f>IF(I4=0,G4*H4/100*F4,F4*G4*I4/1000)</f>
        <v>0.94097834394904445</v>
      </c>
      <c r="K4" s="50">
        <f>SUM(J4:J18)*Gebäude!$C$16</f>
        <v>2007.5635982929934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IF(E4="F1.2",1,0)</f>
        <v>0</v>
      </c>
      <c r="Q4" s="103">
        <f>IF(E4="F1.3",1,0)</f>
        <v>0</v>
      </c>
      <c r="R4" s="103">
        <f>IF(E4="E2.1",1,0)</f>
        <v>0</v>
      </c>
      <c r="S4" s="103">
        <f>IF(E4="E2.2",1,0)</f>
        <v>0</v>
      </c>
      <c r="T4" s="103">
        <f>IF(E4="E2.3",1,0)</f>
        <v>0</v>
      </c>
      <c r="U4" s="103">
        <f>IF(E4="E2.4",1,0)</f>
        <v>0</v>
      </c>
      <c r="V4" s="12" t="str">
        <f>IF($B$5=Database!$H$4,VLOOKUP('Dach unter &amp; über Terrain'!$B$6,Database!$D$18:$F$19,2,FALSE),VLOOKUP('Dach unter &amp; über Terrain'!$B$5,Database!$H$5:$M$6,5,FALSE))</f>
        <v>4c</v>
      </c>
      <c r="W4" s="40" t="s">
        <v>186</v>
      </c>
      <c r="X4" s="39" t="str">
        <f>HLOOKUP($AK$4,'Daten-Zusammensetzung Bauteil'!$B$4:$BC$14,Database!$B4,FALSE)</f>
        <v>Hochbaubeton 30 cm [kg]</v>
      </c>
      <c r="Y4" s="99" t="str">
        <f>MID(HLOOKUP($AK$4,'Daten-Funktion'!$B$4:$BC$14,Database!$B4,FALSE),1,2)</f>
        <v>C4</v>
      </c>
      <c r="Z4" s="39">
        <f>HLOOKUP($AK$4,'Daten-THGE'!$B$4:$BC$14,Database!$B4,FALSE)</f>
        <v>1.6533333333333333E-3</v>
      </c>
      <c r="AA4" s="39">
        <f>HLOOKUP($AK$4,'Daten-Dichte'!$B$4:$BC$14,Database!$B4,FALSE)</f>
        <v>2300</v>
      </c>
      <c r="AB4" s="39">
        <f>HLOOKUP($AK$4,'Daten-Dicke'!$B$4:$BC$14,Database!$B4,FALSE)</f>
        <v>29.57006369426751</v>
      </c>
      <c r="AC4" s="43"/>
      <c r="AD4" s="49">
        <f>IF(AC4=0,AA4*AB4/100*Z4,Z4*AA4*AC4/1000)</f>
        <v>1.1244509554140125</v>
      </c>
      <c r="AE4" s="50">
        <f>IF(Gebäude!G5=Database!D15,0,SUM(AD4:AD13)*Gebäude!$C$15)</f>
        <v>0</v>
      </c>
      <c r="AF4" s="40" t="s">
        <v>244</v>
      </c>
      <c r="AG4" s="103">
        <f>IF(Y4="C4",1,0)</f>
        <v>1</v>
      </c>
      <c r="AH4" s="103">
        <f>IF(Y4="F1.1",1,0)</f>
        <v>0</v>
      </c>
      <c r="AI4" s="103">
        <f>IF(Y4="F1.2",1,0)</f>
        <v>0</v>
      </c>
      <c r="AK4" s="12" t="str">
        <f>VLOOKUP($W$5,Database!$H$4:$J$6,3,FALSE)</f>
        <v>8a</v>
      </c>
    </row>
    <row r="5" spans="2:37" ht="15.75" x14ac:dyDescent="0.25">
      <c r="B5" s="40" t="str">
        <f>Gebäude!$G$4</f>
        <v>Mischbauweise</v>
      </c>
      <c r="C5" s="40"/>
      <c r="D5" s="39" t="str">
        <f>HLOOKUP($V$4,'Daten-Zusammensetzung Bauteil'!$B$4:$BC$11,Database!$B5,FALSE)</f>
        <v>Armierungsstahl (Bewehrungsgehalt 80 kg/m3) [kg]</v>
      </c>
      <c r="E5" s="99" t="str">
        <f>MID(HLOOKUP($V$4,'Daten-Funktion'!$B$4:$BC$11,Database!$B5,FALSE),1,2)</f>
        <v>C4</v>
      </c>
      <c r="F5" s="39">
        <f>HLOOKUP($V$4,'Daten-THGE'!$B$4:$BC$11,Database!$B5,FALSE)</f>
        <v>1.1366666666666667E-2</v>
      </c>
      <c r="G5" s="39">
        <f>HLOOKUP($V$4,'Daten-Dichte'!$B$4:$BC$11,Database!$B5,FALSE)</f>
        <v>7850</v>
      </c>
      <c r="H5" s="39">
        <f>HLOOKUP($V$4,'Daten-Dicke'!$B$4:$BC$11,Database!$B5,FALSE)</f>
        <v>0.25477707006369427</v>
      </c>
      <c r="I5" s="43"/>
      <c r="J5" s="49">
        <f t="shared" ref="J5:J10" si="0">IF(I5=0,G5*H5/100*F5,F5*G5*I5/1000)</f>
        <v>0.22733333333333333</v>
      </c>
      <c r="K5" s="39"/>
      <c r="L5" s="37"/>
      <c r="M5" s="103">
        <f t="shared" ref="M5:M10" si="1">IF(E5="C4",1,0)</f>
        <v>1</v>
      </c>
      <c r="N5" s="103">
        <f t="shared" ref="N5:N9" si="2">IF(E5="G4.1",1,0)</f>
        <v>0</v>
      </c>
      <c r="O5" s="103">
        <f t="shared" ref="O5:O10" si="3">IF(E5="G4.2",1,0)</f>
        <v>0</v>
      </c>
      <c r="P5" s="103">
        <f t="shared" ref="P5:P10" si="4">IF(E5="F1.2",1,0)</f>
        <v>0</v>
      </c>
      <c r="Q5" s="103">
        <f t="shared" ref="Q5:Q10" si="5">IF(E5="F1.3",1,0)</f>
        <v>0</v>
      </c>
      <c r="R5" s="103">
        <f t="shared" ref="R5:R10" si="6">IF(E5="E2.1",1,0)</f>
        <v>0</v>
      </c>
      <c r="S5" s="103">
        <f t="shared" ref="S5:S10" si="7">IF(E5="E2.2",1,0)</f>
        <v>0</v>
      </c>
      <c r="T5" s="103">
        <f t="shared" ref="T5:T10" si="8">IF(E5="E2.3",1,0)</f>
        <v>0</v>
      </c>
      <c r="U5" s="103">
        <f t="shared" ref="U5:U10" si="9">IF(E5="E2.4",1,0)</f>
        <v>0</v>
      </c>
      <c r="V5" s="12" t="str">
        <f>IF($B$5=Database!$H$4,VLOOKUP($B$6,Database!$D$18:$F$19,3,FALSE),VLOOKUP($B$5,Database!$H$5:$M$6,6,FALSE))</f>
        <v>5a</v>
      </c>
      <c r="W5" s="40" t="str">
        <f>Gebäude!$G$4</f>
        <v>Mischbauweise</v>
      </c>
      <c r="X5" s="39" t="str">
        <f>HLOOKUP($AK$4,'Daten-Zusammensetzung Bauteil'!$B$4:$BC$14,Database!$B5,FALSE)</f>
        <v>Armierungsstahl [kg]</v>
      </c>
      <c r="Y5" s="99" t="str">
        <f>MID(HLOOKUP($AK$4,'Daten-Funktion'!$B$4:$BC$14,Database!$B5,FALSE),1,2)</f>
        <v>C4</v>
      </c>
      <c r="Z5" s="39">
        <f>HLOOKUP($AK$4,'Daten-THGE'!$B$4:$BC$14,Database!$B5,FALSE)</f>
        <v>1.1366666666666667E-2</v>
      </c>
      <c r="AA5" s="39">
        <f>HLOOKUP($AK$4,'Daten-Dichte'!$B$4:$BC$14,Database!$B5,FALSE)</f>
        <v>7850</v>
      </c>
      <c r="AB5" s="39">
        <f>HLOOKUP($AK$4,'Daten-Dicke'!$B$4:$BC$14,Database!$B5,FALSE)</f>
        <v>0.42993630573248409</v>
      </c>
      <c r="AC5" s="43"/>
      <c r="AD5" s="49">
        <f t="shared" ref="AD5:AD13" si="10">IF(AC5=0,AA5*AB5/100*Z5,Z5*AA5*AC5/1000)</f>
        <v>0.38362499999999999</v>
      </c>
      <c r="AE5" s="39"/>
      <c r="AF5" s="37"/>
      <c r="AG5" s="103">
        <f t="shared" ref="AG5:AG13" si="11">IF(Y5="C4",1,0)</f>
        <v>1</v>
      </c>
      <c r="AH5" s="103">
        <f t="shared" ref="AH5:AH13" si="12">IF(Y5="F1.1",1,0)</f>
        <v>0</v>
      </c>
      <c r="AI5" s="103">
        <f t="shared" ref="AI5:AI13" si="13">IF(Y5="F1.2",1,0)</f>
        <v>0</v>
      </c>
      <c r="AK5" s="12">
        <f>IF(AE4&gt;0,1,0)</f>
        <v>0</v>
      </c>
    </row>
    <row r="6" spans="2:37" ht="15.75" x14ac:dyDescent="0.25">
      <c r="B6" s="37" t="str">
        <f>Gebäude!$G$13</f>
        <v>Geneigtes Dach</v>
      </c>
      <c r="C6" s="37"/>
      <c r="D6" s="39" t="str">
        <f>HLOOKUP($V$4,'Daten-Zusammensetzung Bauteil'!$B$4:$BC$11,Database!$B6,FALSE)</f>
        <v>Stahlblech [kg]</v>
      </c>
      <c r="E6" s="99" t="str">
        <f>MID(HLOOKUP($V$4,'Daten-Funktion'!$B$4:$BC$11,Database!$B6,FALSE),1,2)</f>
        <v>C4</v>
      </c>
      <c r="F6" s="39">
        <f>HLOOKUP($V$4,'Daten-THGE'!$B$4:$BC$11,Database!$B6,FALSE)</f>
        <v>5.8499999999999996E-2</v>
      </c>
      <c r="G6" s="39">
        <f>HLOOKUP($V$4,'Daten-Dichte'!$B$4:$BC$11,Database!$B6,FALSE)</f>
        <v>7850</v>
      </c>
      <c r="H6" s="39">
        <f>HLOOKUP($V$4,'Daten-Dicke'!$B$4:$BC$11,Database!$B6,FALSE)</f>
        <v>0.16560509554140126</v>
      </c>
      <c r="I6" s="44"/>
      <c r="J6" s="49">
        <f t="shared" si="0"/>
        <v>0.76049999999999995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R6" s="103">
        <f t="shared" si="6"/>
        <v>0</v>
      </c>
      <c r="S6" s="103">
        <f t="shared" si="7"/>
        <v>0</v>
      </c>
      <c r="T6" s="103">
        <f t="shared" si="8"/>
        <v>0</v>
      </c>
      <c r="U6" s="103">
        <f t="shared" si="9"/>
        <v>0</v>
      </c>
      <c r="V6" s="12"/>
      <c r="W6" s="37"/>
      <c r="X6" s="39" t="str">
        <f>HLOOKUP($AK$4,'Daten-Zusammensetzung Bauteil'!$B$4:$BC$14,Database!$B6,FALSE)</f>
        <v>3-SP Schalung 2.5 cm (Annahme 5xverwendet) [kg]</v>
      </c>
      <c r="Y6" s="99" t="str">
        <f>MID(HLOOKUP($AK$4,'Daten-Funktion'!$B$4:$BC$14,Database!$B6,FALSE),1,2)</f>
        <v>C4</v>
      </c>
      <c r="Z6" s="39">
        <f>HLOOKUP($AK$4,'Daten-THGE'!$B$4:$BC$14,Database!$B6,FALSE)</f>
        <v>8.7166666666666677E-3</v>
      </c>
      <c r="AA6" s="39">
        <f>HLOOKUP($AK$4,'Daten-Dichte'!$B$4:$BC$14,Database!$B6,FALSE)</f>
        <v>470</v>
      </c>
      <c r="AB6" s="39">
        <f>HLOOKUP($AK$4,'Daten-Dicke'!$B$4:$BC$14,Database!$B6,FALSE)</f>
        <v>1.0000000000000002</v>
      </c>
      <c r="AC6" s="44"/>
      <c r="AD6" s="49">
        <f t="shared" si="10"/>
        <v>4.096833333333335E-2</v>
      </c>
      <c r="AE6" s="37"/>
      <c r="AF6" s="37"/>
      <c r="AG6" s="103">
        <f t="shared" si="11"/>
        <v>1</v>
      </c>
      <c r="AH6" s="103">
        <f t="shared" si="12"/>
        <v>0</v>
      </c>
      <c r="AI6" s="103">
        <f t="shared" si="13"/>
        <v>0</v>
      </c>
      <c r="AK6" s="12"/>
    </row>
    <row r="7" spans="2:37" ht="15.75" x14ac:dyDescent="0.25">
      <c r="B7" s="37"/>
      <c r="C7" s="37"/>
      <c r="D7" s="39" t="str">
        <f>HLOOKUP($V$4,'Daten-Zusammensetzung Bauteil'!$B$4:$BC$11,Database!$B7,FALSE)</f>
        <v>Stahlträger [kg]</v>
      </c>
      <c r="E7" s="99" t="str">
        <f>MID(HLOOKUP($V$4,'Daten-Funktion'!$B$4:$BC$11,Database!$B7,FALSE),1,2)</f>
        <v>C4</v>
      </c>
      <c r="F7" s="39">
        <f>HLOOKUP($V$4,'Daten-THGE'!$B$4:$BC$11,Database!$B7,FALSE)</f>
        <v>1.2233333333333334E-2</v>
      </c>
      <c r="G7" s="39">
        <f>HLOOKUP($V$4,'Daten-Dichte'!$B$4:$BC$11,Database!$B7,FALSE)</f>
        <v>7850</v>
      </c>
      <c r="H7" s="39">
        <f>HLOOKUP($V$4,'Daten-Dicke'!$B$4:$BC$11,Database!$B7,FALSE)</f>
        <v>0.12738853503184713</v>
      </c>
      <c r="I7" s="44"/>
      <c r="J7" s="49">
        <f t="shared" si="0"/>
        <v>0.12233333333333334</v>
      </c>
      <c r="K7" s="37"/>
      <c r="L7" s="37"/>
      <c r="M7" s="103">
        <f t="shared" si="1"/>
        <v>1</v>
      </c>
      <c r="N7" s="103">
        <f t="shared" si="2"/>
        <v>0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R7" s="103">
        <f t="shared" si="6"/>
        <v>0</v>
      </c>
      <c r="S7" s="103">
        <f t="shared" si="7"/>
        <v>0</v>
      </c>
      <c r="T7" s="103">
        <f t="shared" si="8"/>
        <v>0</v>
      </c>
      <c r="U7" s="103">
        <f t="shared" si="9"/>
        <v>0</v>
      </c>
      <c r="V7" s="12"/>
      <c r="W7" s="37"/>
      <c r="X7" s="39" t="str">
        <f>HLOOKUP($AK$4,'Daten-Zusammensetzung Bauteil'!$B$4:$BC$14,Database!$B7,FALSE)</f>
        <v>Bitumenemulsion [m2]</v>
      </c>
      <c r="Y7" s="99" t="str">
        <f>HLOOKUP($AK$4,'Daten-Funktion'!$B$4:$BC$14,Database!$B7,FALSE)</f>
        <v>F1.1</v>
      </c>
      <c r="Z7" s="39">
        <f>HLOOKUP($AK$4,'Daten-THGE'!$B$4:$BC$14,Database!$B7,FALSE)</f>
        <v>4.7066666666666666E-2</v>
      </c>
      <c r="AA7" s="39">
        <f>HLOOKUP($AK$4,'Daten-Dichte'!$B$4:$BC$14,Database!$B7,FALSE)</f>
        <v>250</v>
      </c>
      <c r="AB7" s="39">
        <f>HLOOKUP($AK$4,'Daten-Dicke'!$B$4:$BC$14,Database!$B7,FALSE)</f>
        <v>0.1</v>
      </c>
      <c r="AC7" s="44"/>
      <c r="AD7" s="49">
        <f t="shared" si="10"/>
        <v>1.1766666666666667E-2</v>
      </c>
      <c r="AE7" s="37"/>
      <c r="AF7" s="37"/>
      <c r="AG7" s="103">
        <f t="shared" si="11"/>
        <v>0</v>
      </c>
      <c r="AH7" s="103">
        <f t="shared" si="12"/>
        <v>1</v>
      </c>
      <c r="AI7" s="103">
        <f t="shared" si="13"/>
        <v>0</v>
      </c>
      <c r="AK7" s="12"/>
    </row>
    <row r="8" spans="2:37" ht="15.75" x14ac:dyDescent="0.25">
      <c r="B8" s="37"/>
      <c r="C8" s="37"/>
      <c r="D8" s="39">
        <f>HLOOKUP($V$4,'Daten-Zusammensetzung Bauteil'!$B$4:$BC$11,Database!$B8,FALSE)</f>
        <v>0</v>
      </c>
      <c r="E8" s="99">
        <f>HLOOKUP($V$4,'Daten-Funktion'!$B$4:$BC$11,Database!$B8,FALSE)</f>
        <v>0</v>
      </c>
      <c r="F8" s="39">
        <f>HLOOKUP($V$4,'Daten-THGE'!$B$4:$BC$11,Database!$B8,FALSE)</f>
        <v>0</v>
      </c>
      <c r="G8" s="39">
        <f>HLOOKUP($V$4,'Daten-Dichte'!$B$4:$BC$11,Database!$B8,FALSE)</f>
        <v>0</v>
      </c>
      <c r="H8" s="39">
        <f>HLOOKUP($V$4,'Daten-Dicke'!$B$4:$BC$11,Database!$B8,FALSE)</f>
        <v>0</v>
      </c>
      <c r="I8" s="44"/>
      <c r="J8" s="49">
        <f t="shared" si="0"/>
        <v>0</v>
      </c>
      <c r="K8" s="37"/>
      <c r="L8" s="37"/>
      <c r="M8" s="103">
        <f t="shared" si="1"/>
        <v>0</v>
      </c>
      <c r="N8" s="103">
        <f t="shared" si="2"/>
        <v>0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R8" s="103">
        <f t="shared" si="6"/>
        <v>0</v>
      </c>
      <c r="S8" s="103">
        <f t="shared" si="7"/>
        <v>0</v>
      </c>
      <c r="T8" s="103">
        <f t="shared" si="8"/>
        <v>0</v>
      </c>
      <c r="U8" s="103">
        <f t="shared" si="9"/>
        <v>0</v>
      </c>
      <c r="V8" s="12"/>
      <c r="W8" s="37"/>
      <c r="X8" s="39" t="str">
        <f>HLOOKUP($AK$4,'Daten-Zusammensetzung Bauteil'!$B$4:$BC$14,Database!$B8,FALSE)</f>
        <v>Polymerbitumenbahn EP5 [kg]</v>
      </c>
      <c r="Y8" s="99" t="str">
        <f>HLOOKUP($AK$4,'Daten-Funktion'!$B$4:$BC$14,Database!$B8,FALSE)</f>
        <v>F1.1</v>
      </c>
      <c r="Z8" s="39">
        <f>HLOOKUP($AK$4,'Daten-THGE'!$B$4:$BC$14,Database!$B8,FALSE)</f>
        <v>5.1000000000000004E-2</v>
      </c>
      <c r="AA8" s="39">
        <f>HLOOKUP($AK$4,'Daten-Dichte'!$B$4:$BC$14,Database!$B8,FALSE)</f>
        <v>1180</v>
      </c>
      <c r="AB8" s="39">
        <f>HLOOKUP($AK$4,'Daten-Dicke'!$B$4:$BC$14,Database!$B8,FALSE)</f>
        <v>0.5</v>
      </c>
      <c r="AC8" s="44"/>
      <c r="AD8" s="49">
        <f t="shared" si="10"/>
        <v>0.30090000000000006</v>
      </c>
      <c r="AE8" s="37"/>
      <c r="AF8" s="37"/>
      <c r="AG8" s="103">
        <f t="shared" si="11"/>
        <v>0</v>
      </c>
      <c r="AH8" s="103">
        <f t="shared" si="12"/>
        <v>1</v>
      </c>
      <c r="AI8" s="103">
        <f t="shared" si="13"/>
        <v>0</v>
      </c>
      <c r="AK8" s="12"/>
    </row>
    <row r="9" spans="2:37" ht="15.75" x14ac:dyDescent="0.25">
      <c r="B9" s="37"/>
      <c r="C9" s="37"/>
      <c r="D9" s="39">
        <f>HLOOKUP($V$4,'Daten-Zusammensetzung Bauteil'!$B$4:$BC$11,Database!$B9,FALSE)</f>
        <v>0</v>
      </c>
      <c r="E9" s="99">
        <f>HLOOKUP($V$4,'Daten-Funktion'!$B$4:$BC$11,Database!$B9,FALSE)</f>
        <v>0</v>
      </c>
      <c r="F9" s="39">
        <f>HLOOKUP($V$4,'Daten-THGE'!$B$4:$BC$11,Database!$B9,FALSE)</f>
        <v>0</v>
      </c>
      <c r="G9" s="39">
        <f>HLOOKUP($V$4,'Daten-Dichte'!$B$4:$BC$11,Database!$B9,FALSE)</f>
        <v>0</v>
      </c>
      <c r="H9" s="39">
        <f>HLOOKUP($V$4,'Daten-Dicke'!$B$4:$BC$11,Database!$B9,FALSE)</f>
        <v>0</v>
      </c>
      <c r="I9" s="44"/>
      <c r="J9" s="49">
        <f t="shared" si="0"/>
        <v>0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0</v>
      </c>
      <c r="P9" s="103">
        <f t="shared" si="4"/>
        <v>0</v>
      </c>
      <c r="Q9" s="103">
        <f t="shared" si="5"/>
        <v>0</v>
      </c>
      <c r="R9" s="103">
        <f t="shared" si="6"/>
        <v>0</v>
      </c>
      <c r="S9" s="103">
        <f t="shared" si="7"/>
        <v>0</v>
      </c>
      <c r="T9" s="103">
        <f t="shared" si="8"/>
        <v>0</v>
      </c>
      <c r="U9" s="103">
        <f t="shared" si="9"/>
        <v>0</v>
      </c>
      <c r="W9" s="37"/>
      <c r="X9" s="39" t="str">
        <f>HLOOKUP($AK$4,'Daten-Zusammensetzung Bauteil'!$B$4:$BC$14,Database!$B9,FALSE)</f>
        <v>Trenn-/Schutzvlies [kg]</v>
      </c>
      <c r="Y9" s="99" t="str">
        <f>HLOOKUP($AK$4,'Daten-Funktion'!$B$4:$BC$14,Database!$B9,FALSE)</f>
        <v>F1.1</v>
      </c>
      <c r="Z9" s="39">
        <f>HLOOKUP($AK$4,'Daten-THGE'!$B$4:$BC$14,Database!$B9,FALSE)</f>
        <v>9.2166666666666675E-2</v>
      </c>
      <c r="AA9" s="39">
        <f>HLOOKUP($AK$4,'Daten-Dichte'!$B$4:$BC$14,Database!$B9,FALSE)</f>
        <v>920</v>
      </c>
      <c r="AB9" s="39">
        <f>HLOOKUP($AK$4,'Daten-Dicke'!$B$4:$BC$14,Database!$B9,FALSE)</f>
        <v>4.3478260869565216E-2</v>
      </c>
      <c r="AC9" s="44"/>
      <c r="AD9" s="49">
        <f t="shared" si="10"/>
        <v>3.6866666666666673E-2</v>
      </c>
      <c r="AE9" s="37"/>
      <c r="AF9" s="37"/>
      <c r="AG9" s="103">
        <f t="shared" si="11"/>
        <v>0</v>
      </c>
      <c r="AH9" s="103">
        <f t="shared" si="12"/>
        <v>1</v>
      </c>
      <c r="AI9" s="103">
        <f t="shared" si="13"/>
        <v>0</v>
      </c>
    </row>
    <row r="10" spans="2:37" ht="15.75" x14ac:dyDescent="0.25">
      <c r="B10" s="37"/>
      <c r="C10" s="37"/>
      <c r="D10" s="39">
        <f>HLOOKUP($V$4,'Daten-Zusammensetzung Bauteil'!$B$4:$BC$11,Database!$B10,FALSE)</f>
        <v>0</v>
      </c>
      <c r="E10" s="99">
        <f>HLOOKUP($V$4,'Daten-Funktion'!$B$4:$BC$11,Database!$B10,FALSE)</f>
        <v>0</v>
      </c>
      <c r="F10" s="39">
        <f>HLOOKUP($V$4,'Daten-THGE'!$B$4:$BC$11,Database!$B10,FALSE)</f>
        <v>0</v>
      </c>
      <c r="G10" s="39">
        <f>HLOOKUP($V$4,'Daten-Dichte'!$B$4:$BC$11,Database!$B10,FALSE)</f>
        <v>0</v>
      </c>
      <c r="H10" s="39">
        <f>HLOOKUP($V$4,'Daten-Dicke'!$B$4:$BC$11,Database!$B10,FALSE)</f>
        <v>0</v>
      </c>
      <c r="I10" s="44"/>
      <c r="J10" s="49">
        <f t="shared" si="0"/>
        <v>0</v>
      </c>
      <c r="K10" s="37"/>
      <c r="L10" s="37"/>
      <c r="M10" s="103">
        <f t="shared" si="1"/>
        <v>0</v>
      </c>
      <c r="N10" s="103">
        <f>IF(E10="G4.1",1,0)</f>
        <v>0</v>
      </c>
      <c r="O10" s="103">
        <f t="shared" si="3"/>
        <v>0</v>
      </c>
      <c r="P10" s="103">
        <f t="shared" si="4"/>
        <v>0</v>
      </c>
      <c r="Q10" s="103">
        <f t="shared" si="5"/>
        <v>0</v>
      </c>
      <c r="R10" s="103">
        <f t="shared" si="6"/>
        <v>0</v>
      </c>
      <c r="S10" s="103">
        <f t="shared" si="7"/>
        <v>0</v>
      </c>
      <c r="T10" s="103">
        <f t="shared" si="8"/>
        <v>0</v>
      </c>
      <c r="U10" s="103">
        <f t="shared" si="9"/>
        <v>0</v>
      </c>
      <c r="W10" s="37"/>
      <c r="X10" s="39" t="str">
        <f>HLOOKUP($AK$4,'Daten-Zusammensetzung Bauteil'!$B$4:$BC$14,Database!$B10,FALSE)</f>
        <v>Kies 3 cm [kg]</v>
      </c>
      <c r="Y10" s="99" t="str">
        <f>HLOOKUP($AK$4,'Daten-Funktion'!$B$4:$BC$14,Database!$B10,FALSE)</f>
        <v>F1.2</v>
      </c>
      <c r="Z10" s="39">
        <f>HLOOKUP($AK$4,'Daten-THGE'!$B$4:$BC$14,Database!$B10,FALSE)</f>
        <v>1.95E-4</v>
      </c>
      <c r="AA10" s="39">
        <f>HLOOKUP($AK$4,'Daten-Dichte'!$B$4:$BC$14,Database!$B10,FALSE)</f>
        <v>2000</v>
      </c>
      <c r="AB10" s="39">
        <f>HLOOKUP($AK$4,'Daten-Dicke'!$B$4:$BC$14,Database!$B10,FALSE)</f>
        <v>3</v>
      </c>
      <c r="AC10" s="44"/>
      <c r="AD10" s="49">
        <f t="shared" si="10"/>
        <v>1.17E-2</v>
      </c>
      <c r="AE10" s="37"/>
      <c r="AF10" s="37"/>
      <c r="AG10" s="103">
        <f t="shared" si="11"/>
        <v>0</v>
      </c>
      <c r="AH10" s="103">
        <f t="shared" si="12"/>
        <v>0</v>
      </c>
      <c r="AI10" s="103">
        <f t="shared" si="13"/>
        <v>1</v>
      </c>
    </row>
    <row r="11" spans="2:37" ht="15.75" x14ac:dyDescent="0.25">
      <c r="B11" s="37"/>
      <c r="D11" s="39"/>
      <c r="E11" s="99"/>
      <c r="F11" s="39"/>
      <c r="G11" s="39"/>
      <c r="H11" s="39"/>
      <c r="I11" s="39"/>
      <c r="J11" s="49"/>
      <c r="K11" s="37"/>
      <c r="L11" s="121"/>
      <c r="M11" s="124"/>
      <c r="N11" s="124"/>
      <c r="O11" s="124"/>
      <c r="P11" s="124"/>
      <c r="Q11" s="124"/>
      <c r="R11" s="124"/>
      <c r="S11" s="124"/>
      <c r="T11" s="124"/>
      <c r="U11" s="124"/>
      <c r="W11" s="37"/>
      <c r="X11" s="39">
        <f>HLOOKUP($AK$4,'Daten-Zusammensetzung Bauteil'!$B$4:$BC$14,Database!$B11,FALSE)</f>
        <v>0</v>
      </c>
      <c r="Y11" s="99">
        <f>HLOOKUP($AK$4,'Daten-Funktion'!$B$4:$BC$14,Database!$B11,FALSE)</f>
        <v>0</v>
      </c>
      <c r="Z11" s="39">
        <f>HLOOKUP($AK$4,'Daten-THGE'!$B$4:$BC$14,Database!$B11,FALSE)</f>
        <v>0</v>
      </c>
      <c r="AA11" s="39">
        <f>HLOOKUP($AK$4,'Daten-Dichte'!$B$4:$BC$14,Database!$B11,FALSE)</f>
        <v>0</v>
      </c>
      <c r="AB11" s="39">
        <f>HLOOKUP($AK$4,'Daten-Dicke'!$B$4:$BC$14,Database!$B11,FALSE)</f>
        <v>0</v>
      </c>
      <c r="AC11" s="44"/>
      <c r="AD11" s="49">
        <f t="shared" si="10"/>
        <v>0</v>
      </c>
      <c r="AE11" s="37"/>
      <c r="AF11" s="37"/>
      <c r="AG11" s="103">
        <f t="shared" si="11"/>
        <v>0</v>
      </c>
      <c r="AH11" s="103">
        <f t="shared" si="12"/>
        <v>0</v>
      </c>
      <c r="AI11" s="103">
        <f t="shared" si="13"/>
        <v>0</v>
      </c>
    </row>
    <row r="12" spans="2:37" ht="15.75" x14ac:dyDescent="0.25">
      <c r="B12" s="37"/>
      <c r="C12" s="40" t="s">
        <v>251</v>
      </c>
      <c r="D12" s="39" t="str">
        <f>HLOOKUP($V$5,'Daten-Zusammensetzung Bauteil'!$B$4:$BC$11,Database!$B4,FALSE)</f>
        <v>EPS 25 Standard, 22 cm, 25 kg/m3 [kg]</v>
      </c>
      <c r="E12" s="99" t="str">
        <f>HLOOKUP($V$5,'Daten-Funktion'!$B$4:$BC$11,Database!$B4,FALSE)</f>
        <v>F1.2</v>
      </c>
      <c r="F12" s="39">
        <f>HLOOKUP($V$5,'Daten-THGE'!$B$4:$BC$11,Database!$B4,FALSE)</f>
        <v>0.25466666666666665</v>
      </c>
      <c r="G12" s="39">
        <f>HLOOKUP($V$5,'Daten-Dichte'!$B$4:$BC$11,Database!$B4,FALSE)</f>
        <v>25</v>
      </c>
      <c r="H12" s="39">
        <f>HLOOKUP($V$5,'Daten-Dicke'!$B$4:$BC$11,Database!$B4,FALSE)</f>
        <v>22</v>
      </c>
      <c r="I12" s="44"/>
      <c r="J12" s="49">
        <f>IF(I12=0,G12*H12/100*F12,F12*G12*I12/1000)</f>
        <v>1.4006666666666665</v>
      </c>
      <c r="K12" s="37"/>
      <c r="L12" s="37"/>
      <c r="M12" s="103">
        <v>0</v>
      </c>
      <c r="N12" s="120">
        <f>IF(E12="G4.1",1,0)</f>
        <v>0</v>
      </c>
      <c r="O12" s="120">
        <f>IF(E12="G4.2",1,0)</f>
        <v>0</v>
      </c>
      <c r="P12" s="103">
        <f>IF(E12="F1.2",1,0)</f>
        <v>1</v>
      </c>
      <c r="Q12" s="103">
        <f>IF(E12="F1.3",1,0)</f>
        <v>0</v>
      </c>
      <c r="R12" s="103">
        <f>IF(E12="E2.1",1,0)</f>
        <v>0</v>
      </c>
      <c r="S12" s="103">
        <f>IF(E12="E2.2",1,0)</f>
        <v>0</v>
      </c>
      <c r="T12" s="103">
        <f>IF(E12="E2.3",1,0)</f>
        <v>0</v>
      </c>
      <c r="U12" s="103">
        <f>IF(E12="E2.4",1,0)</f>
        <v>0</v>
      </c>
      <c r="W12" s="37"/>
      <c r="X12" s="39">
        <f>HLOOKUP($AK$4,'Daten-Zusammensetzung Bauteil'!$B$4:$BC$14,Database!$B12,FALSE)</f>
        <v>0</v>
      </c>
      <c r="Y12" s="99">
        <f>HLOOKUP($AK$4,'Daten-Funktion'!$B$4:$BC$14,Database!$B12,FALSE)</f>
        <v>0</v>
      </c>
      <c r="Z12" s="39">
        <f>HLOOKUP($AK$4,'Daten-THGE'!$B$4:$BC$14,Database!$B12,FALSE)</f>
        <v>0</v>
      </c>
      <c r="AA12" s="39">
        <f>HLOOKUP($AK$4,'Daten-Dichte'!$B$4:$BC$14,Database!$B12,FALSE)</f>
        <v>0</v>
      </c>
      <c r="AB12" s="39">
        <f>HLOOKUP($AK$4,'Daten-Dicke'!$B$4:$BC$14,Database!$B12,FALSE)</f>
        <v>0</v>
      </c>
      <c r="AC12" s="44"/>
      <c r="AD12" s="49">
        <f t="shared" si="10"/>
        <v>0</v>
      </c>
      <c r="AE12" s="37"/>
      <c r="AF12" s="37"/>
      <c r="AG12" s="103">
        <f t="shared" si="11"/>
        <v>0</v>
      </c>
      <c r="AH12" s="103">
        <f t="shared" si="12"/>
        <v>0</v>
      </c>
      <c r="AI12" s="103">
        <f t="shared" si="13"/>
        <v>0</v>
      </c>
    </row>
    <row r="13" spans="2:37" ht="15.75" x14ac:dyDescent="0.25">
      <c r="B13" s="37"/>
      <c r="D13" s="39" t="str">
        <f>HLOOKUP($V$5,'Daten-Zusammensetzung Bauteil'!$B$4:$BC$11,Database!$B5,FALSE)</f>
        <v>2 x EGV3 Polymerbitumenbahn [kg]</v>
      </c>
      <c r="E13" s="99" t="str">
        <f>HLOOKUP($V$5,'Daten-Funktion'!$B$4:$BC$11,Database!$B5,FALSE)</f>
        <v>F1.2</v>
      </c>
      <c r="F13" s="39">
        <f>HLOOKUP($V$5,'Daten-THGE'!$B$4:$BC$11,Database!$B5,FALSE)</f>
        <v>0.11800000000000001</v>
      </c>
      <c r="G13" s="39">
        <f>HLOOKUP($V$5,'Daten-Dichte'!$B$4:$BC$11,Database!$B5,FALSE)</f>
        <v>1100</v>
      </c>
      <c r="H13" s="39">
        <f>HLOOKUP($V$5,'Daten-Dicke'!$B$4:$BC$11,Database!$B5,FALSE)</f>
        <v>0.65454545454545454</v>
      </c>
      <c r="I13" s="44"/>
      <c r="J13" s="49">
        <f t="shared" ref="J13:J18" si="14">IF(I13=0,G13*H13/100*F13,F13*G13*I13/1000)</f>
        <v>0.84960000000000002</v>
      </c>
      <c r="K13" s="37"/>
      <c r="L13" s="37"/>
      <c r="M13" s="103">
        <v>0</v>
      </c>
      <c r="N13" s="120">
        <f t="shared" ref="N13:N18" si="15">IF(E13="G4.1",1,0)</f>
        <v>0</v>
      </c>
      <c r="O13" s="120">
        <f t="shared" ref="O13:O18" si="16">IF(E13="G4.2",1,0)</f>
        <v>0</v>
      </c>
      <c r="P13" s="103">
        <f t="shared" ref="P13:P18" si="17">IF(E13="F1.2",1,0)</f>
        <v>1</v>
      </c>
      <c r="Q13" s="103">
        <f t="shared" ref="Q13:Q18" si="18">IF(E13="F1.3",1,0)</f>
        <v>0</v>
      </c>
      <c r="R13" s="103">
        <f t="shared" ref="R13:R18" si="19">IF(E13="E2.1",1,0)</f>
        <v>0</v>
      </c>
      <c r="S13" s="103">
        <f t="shared" ref="S13:S18" si="20">IF(E13="E2.2",1,0)</f>
        <v>0</v>
      </c>
      <c r="T13" s="103">
        <f t="shared" ref="T13:T18" si="21">IF(E13="E2.3",1,0)</f>
        <v>0</v>
      </c>
      <c r="U13" s="103">
        <f t="shared" ref="U13:U18" si="22">IF(E13="E2.4",1,0)</f>
        <v>0</v>
      </c>
      <c r="W13" s="37"/>
      <c r="X13" s="39">
        <f>HLOOKUP($AK$4,'Daten-Zusammensetzung Bauteil'!$B$4:$BC$14,Database!$B13,FALSE)</f>
        <v>0</v>
      </c>
      <c r="Y13" s="99">
        <f>HLOOKUP($AK$4,'Daten-Funktion'!$B$4:$BC$14,Database!$B13,FALSE)</f>
        <v>0</v>
      </c>
      <c r="Z13" s="39">
        <f>HLOOKUP($AK$4,'Daten-THGE'!$B$4:$BC$14,Database!$B13,FALSE)</f>
        <v>0</v>
      </c>
      <c r="AA13" s="39">
        <f>HLOOKUP($AK$4,'Daten-Dichte'!$B$4:$BC$14,Database!$B13,FALSE)</f>
        <v>0</v>
      </c>
      <c r="AB13" s="39">
        <f>HLOOKUP($AK$4,'Daten-Dicke'!$B$4:$BC$14,Database!$B13,FALSE)</f>
        <v>0</v>
      </c>
      <c r="AC13" s="44"/>
      <c r="AD13" s="49">
        <f t="shared" si="10"/>
        <v>0</v>
      </c>
      <c r="AE13" s="37"/>
      <c r="AF13" s="37"/>
      <c r="AG13" s="103">
        <f t="shared" si="11"/>
        <v>0</v>
      </c>
      <c r="AH13" s="103">
        <f t="shared" si="12"/>
        <v>0</v>
      </c>
      <c r="AI13" s="103">
        <f t="shared" si="13"/>
        <v>0</v>
      </c>
    </row>
    <row r="14" spans="2:37" ht="15.75" x14ac:dyDescent="0.25">
      <c r="B14" s="37"/>
      <c r="C14" s="37"/>
      <c r="D14" s="39" t="str">
        <f>HLOOKUP($V$5,'Daten-Zusammensetzung Bauteil'!$B$4:$BC$11,Database!$B6,FALSE)</f>
        <v>Bitumenemulsion [m2]</v>
      </c>
      <c r="E14" s="99" t="str">
        <f>HLOOKUP($V$5,'Daten-Funktion'!$B$4:$BC$11,Database!$B6,FALSE)</f>
        <v>F1.2</v>
      </c>
      <c r="F14" s="39">
        <f>HLOOKUP($V$5,'Daten-THGE'!$B$4:$BC$11,Database!$B6,FALSE)</f>
        <v>9.4133333333333333E-2</v>
      </c>
      <c r="G14" s="39">
        <f>HLOOKUP($V$5,'Daten-Dichte'!$B$4:$BC$11,Database!$B6,FALSE)</f>
        <v>125</v>
      </c>
      <c r="H14" s="39">
        <f>HLOOKUP($V$5,'Daten-Dicke'!$B$4:$BC$11,Database!$B6,FALSE)</f>
        <v>0.2</v>
      </c>
      <c r="I14" s="44"/>
      <c r="J14" s="49">
        <f t="shared" si="14"/>
        <v>2.3533333333333333E-2</v>
      </c>
      <c r="K14" s="37"/>
      <c r="L14" s="37"/>
      <c r="M14" s="103">
        <v>0</v>
      </c>
      <c r="N14" s="120">
        <f t="shared" si="15"/>
        <v>0</v>
      </c>
      <c r="O14" s="120">
        <f t="shared" si="16"/>
        <v>0</v>
      </c>
      <c r="P14" s="103">
        <f t="shared" si="17"/>
        <v>1</v>
      </c>
      <c r="Q14" s="103">
        <f t="shared" si="18"/>
        <v>0</v>
      </c>
      <c r="R14" s="103">
        <f t="shared" si="19"/>
        <v>0</v>
      </c>
      <c r="S14" s="103">
        <f t="shared" si="20"/>
        <v>0</v>
      </c>
      <c r="T14" s="103">
        <f t="shared" si="21"/>
        <v>0</v>
      </c>
      <c r="U14" s="103">
        <f t="shared" si="22"/>
        <v>0</v>
      </c>
      <c r="W14" s="37"/>
      <c r="X14" s="39"/>
      <c r="Y14" s="99"/>
      <c r="Z14" s="39"/>
      <c r="AA14" s="39"/>
      <c r="AB14" s="39"/>
      <c r="AC14" s="39"/>
      <c r="AD14" s="49"/>
      <c r="AE14" s="37"/>
      <c r="AF14" s="37"/>
      <c r="AG14" s="104">
        <f>IF(AK5=0,0,SUMPRODUCT(AD4:AD13*AG4:AG13)/SUM(AD4:AD13))</f>
        <v>0</v>
      </c>
      <c r="AH14" s="104">
        <f>IF(AK5=0,0,SUMPRODUCT(AD4:AD13*AH4:AH13)/SUM(AD4:AD13))</f>
        <v>0</v>
      </c>
      <c r="AI14" s="104">
        <f>IF(AK5=0,0,SUMPRODUCT(AD4:AD13*AI4:AI13)/SUM(AD4:AD13))</f>
        <v>0</v>
      </c>
      <c r="AJ14" s="104">
        <f>SUM(AG14:AI14)</f>
        <v>0</v>
      </c>
    </row>
    <row r="15" spans="2:37" ht="15.75" x14ac:dyDescent="0.25">
      <c r="C15" s="37"/>
      <c r="D15" s="39" t="str">
        <f>HLOOKUP($V$5,'Daten-Zusammensetzung Bauteil'!$B$4:$BC$11,Database!$B7,FALSE)</f>
        <v>1x EP4 Polymerbitumenbahn [kg]</v>
      </c>
      <c r="E15" s="99" t="str">
        <f>HLOOKUP($V$5,'Daten-Funktion'!$B$4:$BC$11,Database!$B7,FALSE)</f>
        <v>F1.2</v>
      </c>
      <c r="F15" s="39">
        <f>HLOOKUP($V$5,'Daten-THGE'!$B$4:$BC$11,Database!$B7,FALSE)</f>
        <v>0.10833333333333334</v>
      </c>
      <c r="G15" s="39">
        <f>HLOOKUP($V$5,'Daten-Dichte'!$B$4:$BC$11,Database!$B7,FALSE)</f>
        <v>1100</v>
      </c>
      <c r="H15" s="39">
        <f>HLOOKUP($V$5,'Daten-Dicke'!$B$4:$BC$11,Database!$B7,FALSE)</f>
        <v>0.47272727272727277</v>
      </c>
      <c r="I15" s="44"/>
      <c r="J15" s="49">
        <f t="shared" si="14"/>
        <v>0.56333333333333335</v>
      </c>
      <c r="M15" s="103">
        <v>0</v>
      </c>
      <c r="N15" s="120">
        <f t="shared" si="15"/>
        <v>0</v>
      </c>
      <c r="O15" s="120">
        <f t="shared" si="16"/>
        <v>0</v>
      </c>
      <c r="P15" s="103">
        <f t="shared" si="17"/>
        <v>1</v>
      </c>
      <c r="Q15" s="103">
        <f t="shared" si="18"/>
        <v>0</v>
      </c>
      <c r="R15" s="103">
        <f t="shared" si="19"/>
        <v>0</v>
      </c>
      <c r="S15" s="103">
        <f t="shared" si="20"/>
        <v>0</v>
      </c>
      <c r="T15" s="103">
        <f t="shared" si="21"/>
        <v>0</v>
      </c>
      <c r="U15" s="103">
        <f t="shared" si="22"/>
        <v>0</v>
      </c>
      <c r="W15" s="47" t="s">
        <v>241</v>
      </c>
      <c r="AG15" s="102"/>
      <c r="AH15" s="102"/>
      <c r="AI15" s="117"/>
    </row>
    <row r="16" spans="2:37" ht="20.25" x14ac:dyDescent="0.3">
      <c r="D16" s="39" t="str">
        <f>HLOOKUP($V$5,'Daten-Zusammensetzung Bauteil'!$B$4:$BC$11,Database!$B8,FALSE)</f>
        <v>PP-Vlies Trenn-/Schutzvlies [kg]</v>
      </c>
      <c r="E16" s="99" t="str">
        <f>HLOOKUP($V$5,'Daten-Funktion'!$B$4:$BC$11,Database!$B8,FALSE)</f>
        <v>F1.2</v>
      </c>
      <c r="F16" s="39">
        <f>HLOOKUP($V$5,'Daten-THGE'!$B$4:$BC$11,Database!$B8,FALSE)</f>
        <v>0.18433333333333335</v>
      </c>
      <c r="G16" s="39">
        <f>HLOOKUP($V$5,'Daten-Dichte'!$B$4:$BC$11,Database!$B8,FALSE)</f>
        <v>920</v>
      </c>
      <c r="H16" s="39">
        <f>HLOOKUP($V$5,'Daten-Dicke'!$B$4:$BC$11,Database!$B8,FALSE)</f>
        <v>1.5217391304347827E-2</v>
      </c>
      <c r="I16" s="44"/>
      <c r="J16" s="49">
        <f t="shared" si="14"/>
        <v>2.5806666666666672E-2</v>
      </c>
      <c r="M16" s="103">
        <v>0</v>
      </c>
      <c r="N16" s="120">
        <f t="shared" si="15"/>
        <v>0</v>
      </c>
      <c r="O16" s="120">
        <f t="shared" si="16"/>
        <v>0</v>
      </c>
      <c r="P16" s="103">
        <f t="shared" si="17"/>
        <v>1</v>
      </c>
      <c r="Q16" s="103">
        <f t="shared" si="18"/>
        <v>0</v>
      </c>
      <c r="R16" s="103">
        <f t="shared" si="19"/>
        <v>0</v>
      </c>
      <c r="S16" s="103">
        <f t="shared" si="20"/>
        <v>0</v>
      </c>
      <c r="T16" s="103">
        <f t="shared" si="21"/>
        <v>0</v>
      </c>
      <c r="U16" s="103">
        <f t="shared" si="22"/>
        <v>0</v>
      </c>
      <c r="W16" s="41" t="s">
        <v>362</v>
      </c>
      <c r="X16" s="40" t="s">
        <v>227</v>
      </c>
      <c r="Y16" s="93"/>
      <c r="Z16" s="40" t="s">
        <v>182</v>
      </c>
      <c r="AA16" s="40" t="s">
        <v>226</v>
      </c>
      <c r="AB16" s="40" t="s">
        <v>242</v>
      </c>
      <c r="AC16" s="42" t="s">
        <v>243</v>
      </c>
      <c r="AD16" s="40" t="s">
        <v>193</v>
      </c>
      <c r="AE16" s="38" t="s">
        <v>194</v>
      </c>
      <c r="AF16" s="37"/>
      <c r="AG16" s="102"/>
      <c r="AH16" s="102"/>
      <c r="AI16" s="117"/>
    </row>
    <row r="17" spans="2:37" ht="15.75" x14ac:dyDescent="0.25">
      <c r="C17" s="40"/>
      <c r="D17" s="39" t="str">
        <f>HLOOKUP($V$5,'Daten-Zusammensetzung Bauteil'!$B$4:$BC$11,Database!$B9,FALSE)</f>
        <v>Kies 3 cm [kg]</v>
      </c>
      <c r="E17" s="99" t="str">
        <f>HLOOKUP($V$5,'Daten-Funktion'!$B$4:$BC$11,Database!$B9,FALSE)</f>
        <v>F1.2</v>
      </c>
      <c r="F17" s="39">
        <f>HLOOKUP($V$5,'Daten-THGE'!$B$4:$BC$11,Database!$B9,FALSE)</f>
        <v>3.8999999999999999E-4</v>
      </c>
      <c r="G17" s="39">
        <f>HLOOKUP($V$5,'Daten-Dichte'!$B$4:$BC$11,Database!$B9,FALSE)</f>
        <v>2000</v>
      </c>
      <c r="H17" s="39">
        <f>HLOOKUP($V$5,'Daten-Dicke'!$B$4:$BC$11,Database!$B9,FALSE)</f>
        <v>2.25</v>
      </c>
      <c r="I17" s="44"/>
      <c r="J17" s="49">
        <f t="shared" si="14"/>
        <v>1.755E-2</v>
      </c>
      <c r="M17" s="103">
        <v>0</v>
      </c>
      <c r="N17" s="120">
        <f t="shared" si="15"/>
        <v>0</v>
      </c>
      <c r="O17" s="120">
        <f t="shared" si="16"/>
        <v>0</v>
      </c>
      <c r="P17" s="103">
        <f t="shared" si="17"/>
        <v>1</v>
      </c>
      <c r="Q17" s="103">
        <f t="shared" si="18"/>
        <v>0</v>
      </c>
      <c r="R17" s="103">
        <f t="shared" si="19"/>
        <v>0</v>
      </c>
      <c r="S17" s="103">
        <f t="shared" si="20"/>
        <v>0</v>
      </c>
      <c r="T17" s="103">
        <f t="shared" si="21"/>
        <v>0</v>
      </c>
      <c r="U17" s="103">
        <f t="shared" si="22"/>
        <v>0</v>
      </c>
      <c r="W17" s="40" t="s">
        <v>186</v>
      </c>
      <c r="X17" s="39" t="str">
        <f>HLOOKUP($AK$17,'Daten-Zusammensetzung Bauteil'!$B$4:$BC$14,Database!$B4,FALSE)</f>
        <v>Hochbaubeton 30 cm [kg]</v>
      </c>
      <c r="Y17" s="99" t="str">
        <f>MID(HLOOKUP($AK$17,'Daten-Funktion'!$B$4:$BC$14,Database!$B4,FALSE),1,2)</f>
        <v>C4</v>
      </c>
      <c r="Z17" s="39">
        <f>HLOOKUP($AK$17,'Daten-THGE'!$B$4:$BC$14,Database!$B4,FALSE)</f>
        <v>1.6533333333333333E-3</v>
      </c>
      <c r="AA17" s="39">
        <f>HLOOKUP($AK$17,'Daten-Dichte'!$B$4:$BC$14,Database!$B4,FALSE)</f>
        <v>2300</v>
      </c>
      <c r="AB17" s="39">
        <f>HLOOKUP($AK$17,'Daten-Dicke'!$B$4:$BC$14,Database!$B4,FALSE)</f>
        <v>29.57006369426751</v>
      </c>
      <c r="AC17" s="43"/>
      <c r="AD17" s="49">
        <f>IF(AC17=0,AA17*AB17/100*Z17,Z17*AA17*AC17/1000)</f>
        <v>1.1244509554140125</v>
      </c>
      <c r="AE17" s="48">
        <f>IF(W19=Database!D15,0,SUM(AD17:AD26)*W21)</f>
        <v>725.90549639065819</v>
      </c>
      <c r="AF17" s="40" t="s">
        <v>244</v>
      </c>
      <c r="AG17" s="102"/>
      <c r="AH17" s="102"/>
      <c r="AI17" s="117"/>
      <c r="AK17" s="12" t="str">
        <f>VLOOKUP($W$18,Database!$H$4:$J$6,3,FALSE)</f>
        <v>8a</v>
      </c>
    </row>
    <row r="18" spans="2:37" ht="15.75" x14ac:dyDescent="0.25">
      <c r="D18" s="39" t="str">
        <f>HLOOKUP($V$5,'Daten-Zusammensetzung Bauteil'!$B$4:$BC$11,Database!$B10,FALSE)</f>
        <v>Substrat 7 cm [kg]</v>
      </c>
      <c r="E18" s="99" t="str">
        <f>HLOOKUP($V$5,'Daten-Funktion'!$B$4:$BC$11,Database!$B10,FALSE)</f>
        <v>F1.2</v>
      </c>
      <c r="F18" s="39">
        <f>HLOOKUP($V$5,'Daten-THGE'!$B$4:$BC$11,Database!$B10,FALSE)</f>
        <v>4.6666666666666666E-4</v>
      </c>
      <c r="G18" s="39">
        <f>HLOOKUP($V$5,'Daten-Dichte'!$B$4:$BC$11,Database!$B10,FALSE)</f>
        <v>2000</v>
      </c>
      <c r="H18" s="39">
        <f>HLOOKUP($V$5,'Daten-Dicke'!$B$4:$BC$11,Database!$B10,FALSE)</f>
        <v>3.5000000000000004</v>
      </c>
      <c r="I18" s="44"/>
      <c r="J18" s="49">
        <f t="shared" si="14"/>
        <v>3.266666666666667E-2</v>
      </c>
      <c r="M18" s="103">
        <v>0</v>
      </c>
      <c r="N18" s="120">
        <f t="shared" si="15"/>
        <v>0</v>
      </c>
      <c r="O18" s="120">
        <f t="shared" si="16"/>
        <v>0</v>
      </c>
      <c r="P18" s="103">
        <f t="shared" si="17"/>
        <v>1</v>
      </c>
      <c r="Q18" s="103">
        <f t="shared" si="18"/>
        <v>0</v>
      </c>
      <c r="R18" s="103">
        <f t="shared" si="19"/>
        <v>0</v>
      </c>
      <c r="S18" s="103">
        <f t="shared" si="20"/>
        <v>0</v>
      </c>
      <c r="T18" s="103">
        <f t="shared" si="21"/>
        <v>0</v>
      </c>
      <c r="U18" s="103">
        <f t="shared" si="22"/>
        <v>0</v>
      </c>
      <c r="W18" s="42" t="s">
        <v>232</v>
      </c>
      <c r="X18" s="39" t="str">
        <f>HLOOKUP($AK$17,'Daten-Zusammensetzung Bauteil'!$B$4:$BC$14,Database!$B5,FALSE)</f>
        <v>Armierungsstahl [kg]</v>
      </c>
      <c r="Y18" s="99" t="str">
        <f>MID(HLOOKUP($AK$17,'Daten-Funktion'!$B$4:$BC$14,Database!$B5,FALSE),1,2)</f>
        <v>C4</v>
      </c>
      <c r="Z18" s="39">
        <f>HLOOKUP($AK$17,'Daten-THGE'!$B$4:$BC$14,Database!$B5,FALSE)</f>
        <v>1.1366666666666667E-2</v>
      </c>
      <c r="AA18" s="39">
        <f>HLOOKUP($AK$17,'Daten-Dichte'!$B$4:$BC$14,Database!$B5,FALSE)</f>
        <v>7850</v>
      </c>
      <c r="AB18" s="39">
        <f>HLOOKUP($AK$17,'Daten-Dicke'!$B$4:$BC$14,Database!$B5,FALSE)</f>
        <v>0.42993630573248409</v>
      </c>
      <c r="AC18" s="43"/>
      <c r="AD18" s="49">
        <f t="shared" ref="AD18:AD26" si="23">IF(AC18=0,AA18*AB18/100*Z18,Z18*AA18*AC18/1000)</f>
        <v>0.38362499999999999</v>
      </c>
      <c r="AE18" s="39"/>
      <c r="AF18" s="37"/>
      <c r="AG18" s="102"/>
      <c r="AH18" s="102"/>
      <c r="AI18" s="117"/>
      <c r="AK18" s="12"/>
    </row>
    <row r="19" spans="2:37" ht="15.75" x14ac:dyDescent="0.25">
      <c r="D19" s="39"/>
      <c r="E19" s="99"/>
      <c r="F19" s="39"/>
      <c r="G19" s="39"/>
      <c r="H19" s="39"/>
      <c r="J19" s="49"/>
      <c r="M19" s="104">
        <f>SUMPRODUCT(J4:J18*M4:M18)/SUM(J4:J18)</f>
        <v>0.41317896130328957</v>
      </c>
      <c r="N19" s="104">
        <f>SUMPRODUCT(J4:J18*N4:N18)/SUM(J4:J18)</f>
        <v>0</v>
      </c>
      <c r="O19" s="104">
        <f>SUMPRODUCT(J4:J18*O4:O18)/SUM(J4:J18)</f>
        <v>0</v>
      </c>
      <c r="P19" s="104">
        <f>SUMPRODUCT(J4:J18*P4:P18)/SUM(J4:J18)</f>
        <v>0.58682103869671043</v>
      </c>
      <c r="Q19" s="104">
        <f>SUMPRODUCT(J4:J18*Q4:Q18)/SUM(J4:J18)</f>
        <v>0</v>
      </c>
      <c r="R19" s="104">
        <f>SUMPRODUCT(J4:J18*R4:R18)/SUM(J4:J18)</f>
        <v>0</v>
      </c>
      <c r="S19" s="104">
        <f>SUMPRODUCT(J4:J18*S4:S18)/SUM(J4:J18)</f>
        <v>0</v>
      </c>
      <c r="T19" s="104">
        <f>SUMPRODUCT(J4:J18*T4:T18)/SUM(J4:J18)</f>
        <v>0</v>
      </c>
      <c r="U19" s="104">
        <f>SUMPRODUCT(J4:J18*U4:U18)/SUM(J4:J18)</f>
        <v>0</v>
      </c>
      <c r="V19" s="123">
        <f>SUM(M19:U19)</f>
        <v>1</v>
      </c>
      <c r="W19" s="42" t="s">
        <v>234</v>
      </c>
      <c r="X19" s="39" t="str">
        <f>HLOOKUP($AK$17,'Daten-Zusammensetzung Bauteil'!$B$4:$BC$14,Database!$B6,FALSE)</f>
        <v>3-SP Schalung 2.5 cm (Annahme 5xverwendet) [kg]</v>
      </c>
      <c r="Y19" s="99" t="str">
        <f>MID(HLOOKUP($AK$17,'Daten-Funktion'!$B$4:$BC$14,Database!$B6,FALSE),1,2)</f>
        <v>C4</v>
      </c>
      <c r="Z19" s="39">
        <f>HLOOKUP($AK$17,'Daten-THGE'!$B$4:$BC$14,Database!$B6,FALSE)</f>
        <v>8.7166666666666677E-3</v>
      </c>
      <c r="AA19" s="39">
        <f>HLOOKUP($AK$17,'Daten-Dichte'!$B$4:$BC$14,Database!$B6,FALSE)</f>
        <v>470</v>
      </c>
      <c r="AB19" s="39">
        <f>HLOOKUP($AK$17,'Daten-Dicke'!$B$4:$BC$14,Database!$B6,FALSE)</f>
        <v>1.0000000000000002</v>
      </c>
      <c r="AC19" s="44"/>
      <c r="AD19" s="49">
        <f t="shared" si="23"/>
        <v>4.096833333333335E-2</v>
      </c>
      <c r="AE19" s="37"/>
      <c r="AF19" s="37"/>
    </row>
    <row r="20" spans="2:37" ht="15.75" x14ac:dyDescent="0.25">
      <c r="B20" s="47" t="s">
        <v>241</v>
      </c>
      <c r="C20" s="47"/>
      <c r="W20" s="42" t="s">
        <v>318</v>
      </c>
      <c r="X20" s="39" t="str">
        <f>HLOOKUP($AK$17,'Daten-Zusammensetzung Bauteil'!$B$4:$BC$14,Database!$B7,FALSE)</f>
        <v>Bitumenemulsion [m2]</v>
      </c>
      <c r="Y20" s="99" t="str">
        <f>HLOOKUP($AK$17,'Daten-Funktion'!$B$4:$BC$14,Database!$B7,FALSE)</f>
        <v>F1.1</v>
      </c>
      <c r="Z20" s="39">
        <f>HLOOKUP($AK$17,'Daten-THGE'!$B$4:$BC$14,Database!$B7,FALSE)</f>
        <v>4.7066666666666666E-2</v>
      </c>
      <c r="AA20" s="39">
        <f>HLOOKUP($AK$17,'Daten-Dichte'!$B$4:$BC$14,Database!$B7,FALSE)</f>
        <v>250</v>
      </c>
      <c r="AB20" s="39">
        <f>HLOOKUP($AK$17,'Daten-Dicke'!$B$4:$BC$14,Database!$B7,FALSE)</f>
        <v>0.1</v>
      </c>
      <c r="AC20" s="44"/>
      <c r="AD20" s="49">
        <f t="shared" si="23"/>
        <v>1.1766666666666667E-2</v>
      </c>
      <c r="AE20" s="37"/>
      <c r="AF20" s="37"/>
    </row>
    <row r="21" spans="2:37" ht="20.25" x14ac:dyDescent="0.3">
      <c r="B21" s="41" t="s">
        <v>362</v>
      </c>
      <c r="C21" s="41"/>
      <c r="D21" s="40" t="s">
        <v>227</v>
      </c>
      <c r="E21" s="93"/>
      <c r="F21" s="40" t="s">
        <v>182</v>
      </c>
      <c r="G21" s="40" t="s">
        <v>226</v>
      </c>
      <c r="H21" s="40" t="s">
        <v>242</v>
      </c>
      <c r="I21" s="42" t="s">
        <v>243</v>
      </c>
      <c r="J21" s="40" t="s">
        <v>193</v>
      </c>
      <c r="K21" s="38" t="s">
        <v>194</v>
      </c>
      <c r="L21" s="37"/>
      <c r="W21" s="42">
        <v>380</v>
      </c>
      <c r="X21" s="39" t="str">
        <f>HLOOKUP($AK$17,'Daten-Zusammensetzung Bauteil'!$B$4:$BC$14,Database!$B8,FALSE)</f>
        <v>Polymerbitumenbahn EP5 [kg]</v>
      </c>
      <c r="Y21" s="99" t="str">
        <f>HLOOKUP($AK$17,'Daten-Funktion'!$B$4:$BC$14,Database!$B8,FALSE)</f>
        <v>F1.1</v>
      </c>
      <c r="Z21" s="39">
        <f>HLOOKUP($AK$17,'Daten-THGE'!$B$4:$BC$14,Database!$B8,FALSE)</f>
        <v>5.1000000000000004E-2</v>
      </c>
      <c r="AA21" s="39">
        <f>HLOOKUP($AK$17,'Daten-Dichte'!$B$4:$BC$14,Database!$B8,FALSE)</f>
        <v>1180</v>
      </c>
      <c r="AB21" s="39">
        <f>HLOOKUP($AK$17,'Daten-Dicke'!$B$4:$BC$14,Database!$B8,FALSE)</f>
        <v>0.5</v>
      </c>
      <c r="AC21" s="44"/>
      <c r="AD21" s="49">
        <f t="shared" si="23"/>
        <v>0.30090000000000006</v>
      </c>
      <c r="AE21" s="37"/>
      <c r="AF21" s="37"/>
    </row>
    <row r="22" spans="2:37" ht="15.75" x14ac:dyDescent="0.25">
      <c r="B22" s="40" t="s">
        <v>189</v>
      </c>
      <c r="C22" s="40" t="s">
        <v>250</v>
      </c>
      <c r="D22" s="39" t="str">
        <f>HLOOKUP($V$22,'Daten-Zusammensetzung Bauteil'!$B$4:$BC$11,Database!$B4,FALSE)</f>
        <v>Nadelschnittholz [kg]</v>
      </c>
      <c r="E22" s="99" t="str">
        <f>MID(HLOOKUP($V$22,'Daten-Funktion'!$B$4:$BC$11,Database!$B4,FALSE),1,2)</f>
        <v>C4</v>
      </c>
      <c r="F22" s="39">
        <f>HLOOKUP($V$22,'Daten-THGE'!$B$4:$BC$11,Database!$B4,FALSE)</f>
        <v>2.3833333333333332E-3</v>
      </c>
      <c r="G22" s="39">
        <f>HLOOKUP($V$22,'Daten-Dichte'!$B$4:$BC$11,Database!$B4,FALSE)</f>
        <v>465</v>
      </c>
      <c r="H22" s="39">
        <f>HLOOKUP($V$22,'Daten-Dicke'!$B$4:$BC$11,Database!$B4,FALSE)</f>
        <v>5.6000000000000005</v>
      </c>
      <c r="I22" s="43"/>
      <c r="J22" s="49">
        <f>IF(I22=0,G22*H22/100*F22,F22*G22*I22/1000)</f>
        <v>6.2062000000000013E-2</v>
      </c>
      <c r="K22" s="48">
        <f>SUM(J22:J36)*Gebäude!$C$16</f>
        <v>596.35639000735421</v>
      </c>
      <c r="L22" s="40" t="s">
        <v>244</v>
      </c>
      <c r="V22" s="12" t="str">
        <f>IF($B$23=Database!$H$4,VLOOKUP('Dach unter &amp; über Terrain'!$B$24,Database!$D$18:$F$19,2,FALSE),VLOOKUP('Dach unter &amp; über Terrain'!$B$23,Database!$H$5:$M$6,5,FALSE))</f>
        <v>4e</v>
      </c>
      <c r="X22" s="39" t="str">
        <f>HLOOKUP($AK$17,'Daten-Zusammensetzung Bauteil'!$B$4:$BC$14,Database!$B9,FALSE)</f>
        <v>Trenn-/Schutzvlies [kg]</v>
      </c>
      <c r="Y22" s="99" t="str">
        <f>HLOOKUP($AK$17,'Daten-Funktion'!$B$4:$BC$14,Database!$B9,FALSE)</f>
        <v>F1.1</v>
      </c>
      <c r="Z22" s="39">
        <f>HLOOKUP($AK$17,'Daten-THGE'!$B$4:$BC$14,Database!$B9,FALSE)</f>
        <v>9.2166666666666675E-2</v>
      </c>
      <c r="AA22" s="39">
        <f>HLOOKUP($AK$17,'Daten-Dichte'!$B$4:$BC$14,Database!$B9,FALSE)</f>
        <v>920</v>
      </c>
      <c r="AB22" s="39">
        <f>HLOOKUP($AK$17,'Daten-Dicke'!$B$4:$BC$14,Database!$B9,FALSE)</f>
        <v>4.3478260869565216E-2</v>
      </c>
      <c r="AC22" s="44"/>
      <c r="AD22" s="49">
        <f t="shared" si="23"/>
        <v>3.6866666666666673E-2</v>
      </c>
      <c r="AE22" s="37"/>
      <c r="AF22" s="37"/>
    </row>
    <row r="23" spans="2:37" ht="15.75" x14ac:dyDescent="0.25">
      <c r="B23" s="42" t="s">
        <v>232</v>
      </c>
      <c r="C23" s="40"/>
      <c r="D23" s="39" t="str">
        <f>HLOOKUP($V$22,'Daten-Zusammensetzung Bauteil'!$B$4:$BC$11,Database!$B5,FALSE)</f>
        <v>Sperrholz für Feuchtebreich [kg]</v>
      </c>
      <c r="E23" s="99" t="str">
        <f>MID(HLOOKUP($V$22,'Daten-Funktion'!$B$4:$BC$11,Database!$B5,FALSE),1,2)</f>
        <v>C4</v>
      </c>
      <c r="F23" s="39">
        <f>HLOOKUP($V$22,'Daten-THGE'!$B$4:$BC$11,Database!$B5,FALSE)</f>
        <v>2.4333333333333332E-2</v>
      </c>
      <c r="G23" s="39">
        <f>HLOOKUP($V$22,'Daten-Dichte'!$B$4:$BC$11,Database!$B5,FALSE)</f>
        <v>500</v>
      </c>
      <c r="H23" s="39">
        <f>HLOOKUP($V$22,'Daten-Dicke'!$B$4:$BC$11,Database!$B5,FALSE)</f>
        <v>2.4</v>
      </c>
      <c r="I23" s="43"/>
      <c r="J23" s="49">
        <f t="shared" ref="J23:J28" si="24">IF(I23=0,G23*H23/100*F23,F23*G23*I23/1000)</f>
        <v>0.29199999999999998</v>
      </c>
      <c r="K23" s="39"/>
      <c r="L23" s="37"/>
      <c r="V23" s="12" t="str">
        <f>IF($B$23=Database!$H$4,VLOOKUP($B$24,Database!$D$18:$F$19,3,FALSE),VLOOKUP($B$23,Database!$H$5:$M$6,6,FALSE))</f>
        <v>5f</v>
      </c>
      <c r="X23" s="39" t="str">
        <f>HLOOKUP($AK$17,'Daten-Zusammensetzung Bauteil'!$B$4:$BC$14,Database!$B10,FALSE)</f>
        <v>Kies 3 cm [kg]</v>
      </c>
      <c r="Y23" s="99" t="str">
        <f>HLOOKUP($AK$17,'Daten-Funktion'!$B$4:$BC$14,Database!$B10,FALSE)</f>
        <v>F1.2</v>
      </c>
      <c r="Z23" s="39">
        <f>HLOOKUP($AK$17,'Daten-THGE'!$B$4:$BC$14,Database!$B10,FALSE)</f>
        <v>1.95E-4</v>
      </c>
      <c r="AA23" s="39">
        <f>HLOOKUP($AK$17,'Daten-Dichte'!$B$4:$BC$14,Database!$B10,FALSE)</f>
        <v>2000</v>
      </c>
      <c r="AB23" s="39">
        <f>HLOOKUP($AK$17,'Daten-Dicke'!$B$4:$BC$14,Database!$B10,FALSE)</f>
        <v>3</v>
      </c>
      <c r="AC23" s="44"/>
      <c r="AD23" s="49">
        <f t="shared" si="23"/>
        <v>1.17E-2</v>
      </c>
      <c r="AE23" s="37"/>
      <c r="AF23" s="37"/>
    </row>
    <row r="24" spans="2:37" ht="15.75" x14ac:dyDescent="0.25">
      <c r="B24" s="42" t="s">
        <v>298</v>
      </c>
      <c r="C24" s="37"/>
      <c r="D24" s="39" t="str">
        <f>HLOOKUP($V$22,'Daten-Zusammensetzung Bauteil'!$B$4:$BC$11,Database!$B6,FALSE)</f>
        <v>MF-Klebstoff</v>
      </c>
      <c r="E24" s="99" t="str">
        <f>MID(HLOOKUP($V$22,'Daten-Funktion'!$B$4:$BC$11,Database!$B6,FALSE),1,2)</f>
        <v>C4</v>
      </c>
      <c r="F24" s="39">
        <f>HLOOKUP($V$22,'Daten-THGE'!$B$4:$BC$11,Database!$B6,FALSE)</f>
        <v>9.9166666666666667E-2</v>
      </c>
      <c r="G24" s="39">
        <f>HLOOKUP($V$22,'Daten-Dichte'!$B$4:$BC$11,Database!$B6,FALSE)</f>
        <v>1500</v>
      </c>
      <c r="H24" s="39">
        <f>HLOOKUP($V$22,'Daten-Dicke'!$B$4:$BC$11,Database!$B6,FALSE)</f>
        <v>1.8666666666666668E-2</v>
      </c>
      <c r="I24" s="44"/>
      <c r="J24" s="49">
        <f t="shared" si="24"/>
        <v>2.7766666666666669E-2</v>
      </c>
      <c r="K24" s="37"/>
      <c r="L24" s="37"/>
      <c r="X24" s="39">
        <f>HLOOKUP($AK$17,'Daten-Zusammensetzung Bauteil'!$B$4:$BC$14,Database!$B11,FALSE)</f>
        <v>0</v>
      </c>
      <c r="Y24" s="99">
        <f>HLOOKUP($AK$17,'Daten-Funktion'!$B$4:$BC$14,Database!$B11,FALSE)</f>
        <v>0</v>
      </c>
      <c r="Z24" s="39">
        <f>HLOOKUP($AK$17,'Daten-THGE'!$B$4:$BC$14,Database!$B11,FALSE)</f>
        <v>0</v>
      </c>
      <c r="AA24" s="39">
        <f>HLOOKUP($AK$17,'Daten-Dichte'!$B$4:$BC$14,Database!$B11,FALSE)</f>
        <v>0</v>
      </c>
      <c r="AB24" s="39">
        <f>HLOOKUP($AK$17,'Daten-Dicke'!$B$4:$BC$14,Database!$B11,FALSE)</f>
        <v>0</v>
      </c>
      <c r="AC24" s="44"/>
      <c r="AD24" s="49">
        <f t="shared" si="23"/>
        <v>0</v>
      </c>
    </row>
    <row r="25" spans="2:37" ht="15.75" x14ac:dyDescent="0.25">
      <c r="C25" s="37"/>
      <c r="D25" s="39" t="str">
        <f>HLOOKUP($V$22,'Daten-Zusammensetzung Bauteil'!$B$4:$BC$11,Database!$B7,FALSE)</f>
        <v>Nadelschnittholz [kg]</v>
      </c>
      <c r="E25" s="99" t="str">
        <f>HLOOKUP($V$22,'Daten-Funktion'!$B$4:$BC$11,Database!$B7,FALSE)</f>
        <v>G4.1</v>
      </c>
      <c r="F25" s="39">
        <f>HLOOKUP($V$22,'Daten-THGE'!$B$4:$BC$11,Database!$B7,FALSE)</f>
        <v>3.3666666666666667E-3</v>
      </c>
      <c r="G25" s="39">
        <f>HLOOKUP($V$22,'Daten-Dichte'!$B$4:$BC$11,Database!$B7,FALSE)</f>
        <v>485</v>
      </c>
      <c r="H25" s="39">
        <f>HLOOKUP($V$22,'Daten-Dicke'!$B$4:$BC$11,Database!$B7,FALSE)</f>
        <v>0.4</v>
      </c>
      <c r="I25" s="44"/>
      <c r="J25" s="49">
        <f t="shared" si="24"/>
        <v>6.5313333333333334E-3</v>
      </c>
      <c r="K25" s="37"/>
      <c r="L25" s="37"/>
      <c r="X25" s="39">
        <f>HLOOKUP($AK$17,'Daten-Zusammensetzung Bauteil'!$B$4:$BC$14,Database!$B12,FALSE)</f>
        <v>0</v>
      </c>
      <c r="Y25" s="99">
        <f>HLOOKUP($AK$17,'Daten-Funktion'!$B$4:$BC$14,Database!$B12,FALSE)</f>
        <v>0</v>
      </c>
      <c r="Z25" s="39">
        <f>HLOOKUP($AK$17,'Daten-THGE'!$B$4:$BC$14,Database!$B12,FALSE)</f>
        <v>0</v>
      </c>
      <c r="AA25" s="39">
        <f>HLOOKUP($AK$17,'Daten-Dichte'!$B$4:$BC$14,Database!$B12,FALSE)</f>
        <v>0</v>
      </c>
      <c r="AB25" s="39">
        <f>HLOOKUP($AK$17,'Daten-Dicke'!$B$4:$BC$14,Database!$B12,FALSE)</f>
        <v>0</v>
      </c>
      <c r="AC25" s="44"/>
      <c r="AD25" s="49">
        <f t="shared" si="23"/>
        <v>0</v>
      </c>
    </row>
    <row r="26" spans="2:37" ht="15.75" x14ac:dyDescent="0.25">
      <c r="C26" s="37"/>
      <c r="D26" s="39" t="str">
        <f>HLOOKUP($V$22,'Daten-Zusammensetzung Bauteil'!$B$4:$BC$11,Database!$B8,FALSE)</f>
        <v>Gipskartonplatte [kg]</v>
      </c>
      <c r="E26" s="99" t="str">
        <f>HLOOKUP($V$22,'Daten-Funktion'!$B$4:$BC$11,Database!$B8,FALSE)</f>
        <v>G4.1</v>
      </c>
      <c r="F26" s="39">
        <f>HLOOKUP($V$22,'Daten-THGE'!$B$4:$BC$11,Database!$B8,FALSE)</f>
        <v>9.7666666666666666E-3</v>
      </c>
      <c r="G26" s="39">
        <f>HLOOKUP($V$22,'Daten-Dichte'!$B$4:$BC$11,Database!$B8,FALSE)</f>
        <v>850</v>
      </c>
      <c r="H26" s="39">
        <f>HLOOKUP($V$22,'Daten-Dicke'!$B$4:$BC$11,Database!$B8,FALSE)</f>
        <v>1.25</v>
      </c>
      <c r="I26" s="44"/>
      <c r="J26" s="49">
        <f t="shared" si="24"/>
        <v>0.10377083333333333</v>
      </c>
      <c r="K26" s="37"/>
      <c r="L26" s="37"/>
      <c r="X26" s="39">
        <f>HLOOKUP($AK$17,'Daten-Zusammensetzung Bauteil'!$B$4:$BC$14,Database!$B13,FALSE)</f>
        <v>0</v>
      </c>
      <c r="Y26" s="99">
        <f>HLOOKUP($AK$17,'Daten-Funktion'!$B$4:$BC$14,Database!$B13,FALSE)</f>
        <v>0</v>
      </c>
      <c r="Z26" s="39">
        <f>HLOOKUP($AK$17,'Daten-THGE'!$B$4:$BC$14,Database!$B13,FALSE)</f>
        <v>0</v>
      </c>
      <c r="AA26" s="39">
        <f>HLOOKUP($AK$17,'Daten-Dichte'!$B$4:$BC$14,Database!$B13,FALSE)</f>
        <v>0</v>
      </c>
      <c r="AB26" s="39">
        <f>HLOOKUP($AK$17,'Daten-Dicke'!$B$4:$BC$14,Database!$B13,FALSE)</f>
        <v>0</v>
      </c>
      <c r="AC26" s="44"/>
      <c r="AD26" s="49">
        <f t="shared" si="23"/>
        <v>0</v>
      </c>
    </row>
    <row r="27" spans="2:37" ht="15.75" x14ac:dyDescent="0.25">
      <c r="C27" s="37"/>
      <c r="D27" s="39" t="str">
        <f>HLOOKUP($V$22,'Daten-Zusammensetzung Bauteil'!$B$4:$BC$11,Database!$B9,FALSE)</f>
        <v>Spachtel [kg]</v>
      </c>
      <c r="E27" s="99" t="str">
        <f>HLOOKUP($V$22,'Daten-Funktion'!$B$4:$BC$11,Database!$B9,FALSE)</f>
        <v>G4.2</v>
      </c>
      <c r="F27" s="39">
        <f>HLOOKUP($V$22,'Daten-THGE'!$B$4:$BC$11,Database!$B9,FALSE)</f>
        <v>5.1666666666666666E-3</v>
      </c>
      <c r="G27" s="39">
        <f>HLOOKUP($V$22,'Daten-Dichte'!$B$4:$BC$11,Database!$B9,FALSE)</f>
        <v>925</v>
      </c>
      <c r="H27" s="39">
        <f>HLOOKUP($V$22,'Daten-Dicke'!$B$4:$BC$11,Database!$B9,FALSE)</f>
        <v>0.60540540540540544</v>
      </c>
      <c r="I27" s="44"/>
      <c r="J27" s="49">
        <f t="shared" si="24"/>
        <v>2.8933333333333332E-2</v>
      </c>
      <c r="K27" s="37"/>
      <c r="L27" s="37"/>
      <c r="AG27" s="107" t="s">
        <v>394</v>
      </c>
      <c r="AH27" s="107" t="s">
        <v>416</v>
      </c>
      <c r="AI27" s="107" t="s">
        <v>417</v>
      </c>
      <c r="AJ27" s="62"/>
    </row>
    <row r="28" spans="2:37" ht="20.25" x14ac:dyDescent="0.3">
      <c r="B28" s="37"/>
      <c r="C28" s="37"/>
      <c r="D28" s="39" t="str">
        <f>HLOOKUP($V$22,'Daten-Zusammensetzung Bauteil'!$B$4:$BC$11,Database!$B10,FALSE)</f>
        <v>Wanddispersion [m2]</v>
      </c>
      <c r="E28" s="99" t="str">
        <f>HLOOKUP($V$22,'Daten-Funktion'!$B$4:$BC$11,Database!$B10,FALSE)</f>
        <v>G4.2</v>
      </c>
      <c r="F28" s="39">
        <f>HLOOKUP($V$22,'Daten-THGE'!$B$4:$BC$11,Database!$B10,FALSE)</f>
        <v>0.15111111111111114</v>
      </c>
      <c r="G28" s="39">
        <f>HLOOKUP($V$22,'Daten-Dichte'!$B$4:$BC$11,Database!$B10,FALSE)</f>
        <v>150</v>
      </c>
      <c r="H28" s="39">
        <f>HLOOKUP($V$22,'Daten-Dicke'!$B$4:$BC$11,Database!$B10,FALSE)</f>
        <v>0.2</v>
      </c>
      <c r="I28" s="44"/>
      <c r="J28" s="49">
        <f t="shared" si="24"/>
        <v>4.5333333333333344E-2</v>
      </c>
      <c r="K28" s="37"/>
      <c r="L28" s="37"/>
      <c r="W28" s="41" t="s">
        <v>361</v>
      </c>
      <c r="X28" s="40" t="s">
        <v>227</v>
      </c>
      <c r="Y28" s="93"/>
      <c r="Z28" s="40" t="s">
        <v>182</v>
      </c>
      <c r="AA28" s="40" t="s">
        <v>226</v>
      </c>
      <c r="AB28" s="40" t="s">
        <v>242</v>
      </c>
      <c r="AC28" s="42" t="s">
        <v>243</v>
      </c>
      <c r="AD28" s="40" t="s">
        <v>193</v>
      </c>
      <c r="AE28" s="38" t="s">
        <v>194</v>
      </c>
      <c r="AF28" s="37"/>
    </row>
    <row r="29" spans="2:37" ht="15.75" x14ac:dyDescent="0.25">
      <c r="J29" s="49"/>
      <c r="W29" s="40" t="s">
        <v>186</v>
      </c>
      <c r="X29" s="39" t="str">
        <f>HLOOKUP($AK$30,'Daten-Zusammensetzung Bauteil'!$B$4:$BC$14,Database!$B4,FALSE)</f>
        <v>Hochbaubeton 30 cm [kg]</v>
      </c>
      <c r="Y29" s="99" t="str">
        <f>MID(HLOOKUP($AK$30,'Daten-Funktion'!$B$4:$BC$14,Database!$B4,FALSE),1,2)</f>
        <v>C4</v>
      </c>
      <c r="Z29" s="39">
        <f>HLOOKUP($AK$30,'Daten-THGE'!$B$4:$BC$14,Database!$B4,FALSE)</f>
        <v>1.6533333333333333E-3</v>
      </c>
      <c r="AA29" s="39">
        <f>HLOOKUP($AK$30,'Daten-Dichte'!$B$4:$BC$14,Database!$B4,FALSE)</f>
        <v>2300</v>
      </c>
      <c r="AB29" s="39">
        <f>HLOOKUP($AK$30,'Daten-Dicke'!$B$4:$BC$14,Database!$B4,FALSE)</f>
        <v>29.57006369426751</v>
      </c>
      <c r="AC29" s="43"/>
      <c r="AD29" s="49">
        <f>IF(AC29=0,AA29*AB29/100*Z29,Z29*AA29*AC29/1000)</f>
        <v>1.1244509554140125</v>
      </c>
      <c r="AE29" s="50">
        <f>IF(Gebäude!G26=Database!D15,0,SUM(AD29:AD38)*Gebäude!$C$37)</f>
        <v>0</v>
      </c>
      <c r="AF29" s="40" t="s">
        <v>244</v>
      </c>
      <c r="AG29" s="103">
        <f>IF(Y29="C4",1,0)</f>
        <v>1</v>
      </c>
      <c r="AH29" s="103">
        <f>IF(Y29="F1.1",1,0)</f>
        <v>0</v>
      </c>
      <c r="AI29" s="103">
        <f>IF(Y29="F1.2",1,0)</f>
        <v>0</v>
      </c>
    </row>
    <row r="30" spans="2:37" ht="15.75" x14ac:dyDescent="0.25">
      <c r="C30" s="40" t="s">
        <v>251</v>
      </c>
      <c r="D30" s="39" t="str">
        <f>HLOOKUP($V$23,'Daten-Zusammensetzung Bauteil'!$B$4:$BC$11,Database!$B4,FALSE)</f>
        <v>Konter- und Ziegellattung aus Nadelschnittholz [kg]</v>
      </c>
      <c r="E30" s="99" t="str">
        <f>HLOOKUP($V$23,'Daten-Funktion'!$B$4:$BC$11,Database!$B4,FALSE)</f>
        <v>F1.3</v>
      </c>
      <c r="F30" s="39">
        <f>HLOOKUP($V$23,'Daten-THGE'!$B$4:$BC$11,Database!$B4,FALSE)</f>
        <v>2.5250000000000003E-3</v>
      </c>
      <c r="G30" s="39">
        <f>HLOOKUP($V$23,'Daten-Dichte'!$B$4:$BC$11,Database!$B4,FALSE)</f>
        <v>485</v>
      </c>
      <c r="H30" s="39">
        <f>HLOOKUP($V$23,'Daten-Dicke'!$B$4:$BC$11,Database!$B4,FALSE)</f>
        <v>0.33037997054491902</v>
      </c>
      <c r="I30" s="44"/>
      <c r="J30" s="49">
        <f>IF(I30=0,G30*H30/100*F30,F30*G30*I30/1000)</f>
        <v>4.0459157142857154E-3</v>
      </c>
      <c r="W30" s="40" t="str">
        <f>Gebäude!$G$25</f>
        <v>Massivbauweise</v>
      </c>
      <c r="X30" s="39" t="str">
        <f>HLOOKUP($AK$30,'Daten-Zusammensetzung Bauteil'!$B$4:$BC$14,Database!$B5,FALSE)</f>
        <v>Armierungsstahl [kg]</v>
      </c>
      <c r="Y30" s="99" t="str">
        <f>MID(HLOOKUP($AK$30,'Daten-Funktion'!$B$4:$BC$14,Database!$B5,FALSE),1,2)</f>
        <v>C4</v>
      </c>
      <c r="Z30" s="39">
        <f>HLOOKUP($AK$30,'Daten-THGE'!$B$4:$BC$14,Database!$B5,FALSE)</f>
        <v>1.1366666666666667E-2</v>
      </c>
      <c r="AA30" s="39">
        <f>HLOOKUP($AK$30,'Daten-Dichte'!$B$4:$BC$14,Database!$B5,FALSE)</f>
        <v>7850</v>
      </c>
      <c r="AB30" s="39">
        <f>HLOOKUP($AK$30,'Daten-Dicke'!$B$4:$BC$14,Database!$B5,FALSE)</f>
        <v>0.42993630573248409</v>
      </c>
      <c r="AC30" s="43"/>
      <c r="AD30" s="49">
        <f t="shared" ref="AD30:AD38" si="25">IF(AC30=0,AA30*AB30/100*Z30,Z30*AA30*AC30/1000)</f>
        <v>0.38362499999999999</v>
      </c>
      <c r="AE30" s="39"/>
      <c r="AF30" s="37"/>
      <c r="AG30" s="103">
        <f t="shared" ref="AG30:AG38" si="26">IF(Y30="C4",1,0)</f>
        <v>1</v>
      </c>
      <c r="AH30" s="103">
        <f t="shared" ref="AH30:AH38" si="27">IF(Y30="F1.1",1,0)</f>
        <v>0</v>
      </c>
      <c r="AI30" s="103">
        <f t="shared" ref="AI30:AI38" si="28">IF(Y30="F1.2",1,0)</f>
        <v>0</v>
      </c>
      <c r="AK30" s="12" t="str">
        <f>IF($W$30=Database!$Y$29,VLOOKUP($W$31,Database!$V$46:$W$47,2,FALSE),IF($W$30=Database!$Y$30,VLOOKUP('Dach unter &amp; über Terrain'!$W$31,Database!$U$69:$V$70,2,FALSE),VLOOKUP('Dach unter &amp; über Terrain'!$W$31,Database!$U$84:$V$85,2,FALSE)))</f>
        <v>8b</v>
      </c>
    </row>
    <row r="31" spans="2:37" ht="15.75" x14ac:dyDescent="0.25">
      <c r="D31" s="39" t="str">
        <f>HLOOKUP($V$23,'Daten-Zusammensetzung Bauteil'!$B$4:$BC$11,Database!$B5,FALSE)</f>
        <v>Unterdachfolie: PP-Vlies [kg]</v>
      </c>
      <c r="E31" s="99" t="str">
        <f>HLOOKUP($V$23,'Daten-Funktion'!$B$4:$BC$11,Database!$B5,FALSE)</f>
        <v>F1.3</v>
      </c>
      <c r="F31" s="39">
        <f>HLOOKUP($V$23,'Daten-THGE'!$B$4:$BC$11,Database!$B5,FALSE)</f>
        <v>0.13825000000000001</v>
      </c>
      <c r="G31" s="39">
        <f>HLOOKUP($V$23,'Daten-Dichte'!$B$4:$BC$11,Database!$B5,FALSE)</f>
        <v>920</v>
      </c>
      <c r="H31" s="39">
        <f>HLOOKUP($V$23,'Daten-Dicke'!$B$4:$BC$11,Database!$B5,FALSE)</f>
        <v>1.5217391304347827E-2</v>
      </c>
      <c r="I31" s="44"/>
      <c r="J31" s="49">
        <f t="shared" ref="J31:J36" si="29">IF(I31=0,G31*H31/100*F31,F31*G31*I31/1000)</f>
        <v>1.9355000000000004E-2</v>
      </c>
      <c r="W31" s="40" t="str">
        <f>Gebäude!$G$27</f>
        <v>Dach unter Terrain 1</v>
      </c>
      <c r="X31" s="39" t="str">
        <f>HLOOKUP($AK$30,'Daten-Zusammensetzung Bauteil'!$B$4:$BC$14,Database!$B6,FALSE)</f>
        <v>3-SP Schalung 2.5 cm (Annahme 5xverwendet) [kg]</v>
      </c>
      <c r="Y31" s="99" t="str">
        <f>MID(HLOOKUP($AK$30,'Daten-Funktion'!$B$4:$BC$14,Database!$B6,FALSE),1,2)</f>
        <v>C4</v>
      </c>
      <c r="Z31" s="39">
        <f>HLOOKUP($AK$30,'Daten-THGE'!$B$4:$BC$14,Database!$B6,FALSE)</f>
        <v>8.7166666666666677E-3</v>
      </c>
      <c r="AA31" s="39">
        <f>HLOOKUP($AK$30,'Daten-Dichte'!$B$4:$BC$14,Database!$B6,FALSE)</f>
        <v>470</v>
      </c>
      <c r="AB31" s="39">
        <f>HLOOKUP($AK$30,'Daten-Dicke'!$B$4:$BC$14,Database!$B6,FALSE)</f>
        <v>1.0000000000000002</v>
      </c>
      <c r="AC31" s="44"/>
      <c r="AD31" s="49">
        <f t="shared" si="25"/>
        <v>4.096833333333335E-2</v>
      </c>
      <c r="AE31" s="37"/>
      <c r="AF31" s="37"/>
      <c r="AG31" s="103">
        <f t="shared" si="26"/>
        <v>1</v>
      </c>
      <c r="AH31" s="103">
        <f t="shared" si="27"/>
        <v>0</v>
      </c>
      <c r="AI31" s="103">
        <f t="shared" si="28"/>
        <v>0</v>
      </c>
      <c r="AK31" s="12">
        <f>IF(AE29&gt;0,1,0)</f>
        <v>0</v>
      </c>
    </row>
    <row r="32" spans="2:37" ht="15.75" x14ac:dyDescent="0.25">
      <c r="C32" s="37"/>
      <c r="D32" s="39" t="str">
        <f>HLOOKUP($V$23,'Daten-Zusammensetzung Bauteil'!$B$4:$BC$11,Database!$B6,FALSE)</f>
        <v>Ziegeleindeckeung [kg]</v>
      </c>
      <c r="E32" s="99" t="str">
        <f>HLOOKUP($V$23,'Daten-Funktion'!$B$4:$BC$11,Database!$B6,FALSE)</f>
        <v>F1.3</v>
      </c>
      <c r="F32" s="39">
        <f>HLOOKUP($V$23,'Daten-THGE'!$B$4:$BC$11,Database!$B6,FALSE)</f>
        <v>9.3749999999999997E-3</v>
      </c>
      <c r="G32" s="39">
        <f>HLOOKUP($V$23,'Daten-Dichte'!$B$4:$BC$11,Database!$B6,FALSE)</f>
        <v>1700</v>
      </c>
      <c r="H32" s="39">
        <f>HLOOKUP($V$23,'Daten-Dicke'!$B$4:$BC$11,Database!$B6,FALSE)</f>
        <v>2.9411764705882351</v>
      </c>
      <c r="I32" s="44"/>
      <c r="J32" s="49">
        <f t="shared" si="29"/>
        <v>0.46875</v>
      </c>
      <c r="W32" s="37"/>
      <c r="X32" s="39" t="str">
        <f>HLOOKUP($AK$30,'Daten-Zusammensetzung Bauteil'!$B$4:$BC$14,Database!$B7,FALSE)</f>
        <v>Bitumenemulsion [m2]</v>
      </c>
      <c r="Y32" s="99" t="str">
        <f>HLOOKUP($AK$30,'Daten-Funktion'!$B$4:$BC$14,Database!$B7,FALSE)</f>
        <v>F1.1</v>
      </c>
      <c r="Z32" s="39">
        <f>HLOOKUP($AK$30,'Daten-THGE'!$B$4:$BC$14,Database!$B7,FALSE)</f>
        <v>4.7066666666666666E-2</v>
      </c>
      <c r="AA32" s="39">
        <f>HLOOKUP($AK$30,'Daten-Dichte'!$B$4:$BC$14,Database!$B7,FALSE)</f>
        <v>250</v>
      </c>
      <c r="AB32" s="39">
        <f>HLOOKUP($AK$30,'Daten-Dicke'!$B$4:$BC$14,Database!$B7,FALSE)</f>
        <v>0.1</v>
      </c>
      <c r="AC32" s="44"/>
      <c r="AD32" s="49">
        <f t="shared" si="25"/>
        <v>1.1766666666666667E-2</v>
      </c>
      <c r="AE32" s="37"/>
      <c r="AF32" s="37"/>
      <c r="AG32" s="103">
        <f t="shared" si="26"/>
        <v>0</v>
      </c>
      <c r="AH32" s="103">
        <f t="shared" si="27"/>
        <v>1</v>
      </c>
      <c r="AI32" s="103">
        <f t="shared" si="28"/>
        <v>0</v>
      </c>
      <c r="AK32" s="12"/>
    </row>
    <row r="33" spans="2:37" ht="15.75" x14ac:dyDescent="0.25">
      <c r="C33" s="37"/>
      <c r="D33" s="39" t="str">
        <f>HLOOKUP($V$23,'Daten-Zusammensetzung Bauteil'!$B$4:$BC$11,Database!$B7,FALSE)</f>
        <v>Befestigung mit verzinkten Stahlschrauben [kg]</v>
      </c>
      <c r="E33" s="99" t="str">
        <f>HLOOKUP($V$23,'Daten-Funktion'!$B$4:$BC$11,Database!$B7,FALSE)</f>
        <v>F1.3</v>
      </c>
      <c r="F33" s="39">
        <f>HLOOKUP($V$23,'Daten-THGE'!$B$4:$BC$11,Database!$B7,FALSE)</f>
        <v>8.7749999999999995E-2</v>
      </c>
      <c r="G33" s="39">
        <f>HLOOKUP($V$23,'Daten-Dichte'!$B$4:$BC$11,Database!$B7,FALSE)</f>
        <v>7850</v>
      </c>
      <c r="H33" s="39">
        <f>HLOOKUP($V$23,'Daten-Dicke'!$B$4:$BC$11,Database!$B7,FALSE)</f>
        <v>2.7925590000000009E-3</v>
      </c>
      <c r="I33" s="44"/>
      <c r="J33" s="49">
        <f t="shared" si="29"/>
        <v>1.9236193601625002E-2</v>
      </c>
      <c r="W33" s="37"/>
      <c r="X33" s="39" t="str">
        <f>HLOOKUP($AK$30,'Daten-Zusammensetzung Bauteil'!$B$4:$BC$14,Database!$B8,FALSE)</f>
        <v>Polymerbitumenbahn EP4 [kg]</v>
      </c>
      <c r="Y33" s="99" t="str">
        <f>HLOOKUP($AK$30,'Daten-Funktion'!$B$4:$BC$14,Database!$B8,FALSE)</f>
        <v>F1.1</v>
      </c>
      <c r="Z33" s="39">
        <f>HLOOKUP($AK$30,'Daten-THGE'!$B$4:$BC$14,Database!$B8,FALSE)</f>
        <v>5.1166666666666666E-2</v>
      </c>
      <c r="AA33" s="39">
        <f>HLOOKUP($AK$30,'Daten-Dichte'!$B$4:$BC$14,Database!$B8,FALSE)</f>
        <v>1175</v>
      </c>
      <c r="AB33" s="39">
        <f>HLOOKUP($AK$30,'Daten-Dicke'!$B$4:$BC$14,Database!$B8,FALSE)</f>
        <v>0.4</v>
      </c>
      <c r="AC33" s="44"/>
      <c r="AD33" s="49">
        <f t="shared" si="25"/>
        <v>0.24048333333333333</v>
      </c>
      <c r="AE33" s="37"/>
      <c r="AF33" s="37"/>
      <c r="AG33" s="103">
        <f t="shared" si="26"/>
        <v>0</v>
      </c>
      <c r="AH33" s="103">
        <f t="shared" si="27"/>
        <v>1</v>
      </c>
      <c r="AI33" s="103">
        <f t="shared" si="28"/>
        <v>0</v>
      </c>
      <c r="AK33" s="12"/>
    </row>
    <row r="34" spans="2:37" ht="15.75" x14ac:dyDescent="0.25">
      <c r="D34" s="39" t="str">
        <f>HLOOKUP($V$23,'Daten-Zusammensetzung Bauteil'!$B$4:$BC$11,Database!$B8,FALSE)</f>
        <v>Glaswolle (60 kg/m3)</v>
      </c>
      <c r="E34" s="99" t="str">
        <f>HLOOKUP($V$23,'Daten-Funktion'!$B$4:$BC$11,Database!$B8,FALSE)</f>
        <v>F1.3</v>
      </c>
      <c r="F34" s="39">
        <f>HLOOKUP($V$23,'Daten-THGE'!$B$4:$BC$11,Database!$B8,FALSE)</f>
        <v>2.8249999999999997E-2</v>
      </c>
      <c r="G34" s="39">
        <f>HLOOKUP($V$23,'Daten-Dichte'!$B$4:$BC$11,Database!$B8,FALSE)</f>
        <v>60</v>
      </c>
      <c r="H34" s="39">
        <f>HLOOKUP($V$23,'Daten-Dicke'!$B$4:$BC$11,Database!$B8,FALSE)</f>
        <v>22</v>
      </c>
      <c r="I34" s="44"/>
      <c r="J34" s="49">
        <f t="shared" si="29"/>
        <v>0.37289999999999995</v>
      </c>
      <c r="W34" s="37"/>
      <c r="X34" s="39" t="str">
        <f>HLOOKUP($AK$30,'Daten-Zusammensetzung Bauteil'!$B$4:$BC$14,Database!$B9,FALSE)</f>
        <v>Polystyrol extrudiert, 33 kg/m3, lamdaD 0.033 W/mK, 20 cm [kg]</v>
      </c>
      <c r="Y34" s="99" t="str">
        <f>HLOOKUP($AK$30,'Daten-Funktion'!$B$4:$BC$14,Database!$B9,FALSE)</f>
        <v>F1.1</v>
      </c>
      <c r="Z34" s="39">
        <f>HLOOKUP($AK$30,'Daten-THGE'!$B$4:$BC$14,Database!$B9,FALSE)</f>
        <v>0.24166666666666667</v>
      </c>
      <c r="AA34" s="39">
        <f>HLOOKUP($AK$30,'Daten-Dichte'!$B$4:$BC$14,Database!$B9,FALSE)</f>
        <v>33</v>
      </c>
      <c r="AB34" s="39">
        <f>HLOOKUP($AK$30,'Daten-Dicke'!$B$4:$BC$14,Database!$B9,FALSE)</f>
        <v>20</v>
      </c>
      <c r="AC34" s="44"/>
      <c r="AD34" s="49">
        <f t="shared" si="25"/>
        <v>1.595</v>
      </c>
      <c r="AE34" s="37"/>
      <c r="AF34" s="37"/>
      <c r="AG34" s="103">
        <f t="shared" si="26"/>
        <v>0</v>
      </c>
      <c r="AH34" s="103">
        <f t="shared" si="27"/>
        <v>1</v>
      </c>
      <c r="AI34" s="103">
        <f t="shared" si="28"/>
        <v>0</v>
      </c>
      <c r="AK34" s="12"/>
    </row>
    <row r="35" spans="2:37" ht="15.75" x14ac:dyDescent="0.25">
      <c r="D35" s="39" t="str">
        <f>HLOOKUP($V$23,'Daten-Zusammensetzung Bauteil'!$B$4:$BC$11,Database!$B9,FALSE)</f>
        <v>PE Dampfbremse [kg]</v>
      </c>
      <c r="E35" s="99" t="str">
        <f>HLOOKUP($V$23,'Daten-Funktion'!$B$4:$BC$11,Database!$B9,FALSE)</f>
        <v>F1.3</v>
      </c>
      <c r="F35" s="39">
        <f>HLOOKUP($V$23,'Daten-THGE'!$B$4:$BC$11,Database!$B9,FALSE)</f>
        <v>0.13325000000000001</v>
      </c>
      <c r="G35" s="39">
        <f>HLOOKUP($V$23,'Daten-Dichte'!$B$4:$BC$11,Database!$B9,FALSE)</f>
        <v>920</v>
      </c>
      <c r="H35" s="39">
        <f>HLOOKUP($V$23,'Daten-Dicke'!$B$4:$BC$11,Database!$B9,FALSE)</f>
        <v>1.9565217391304346E-2</v>
      </c>
      <c r="I35" s="44"/>
      <c r="J35" s="49">
        <f t="shared" si="29"/>
        <v>2.3984999999999999E-2</v>
      </c>
      <c r="W35" s="37"/>
      <c r="X35" s="39" t="str">
        <f>HLOOKUP($AK$30,'Daten-Zusammensetzung Bauteil'!$B$4:$BC$14,Database!$B10,FALSE)</f>
        <v>2xPolymerbitumenbahn EGV3 [kg]</v>
      </c>
      <c r="Y35" s="99" t="str">
        <f>HLOOKUP($AK$30,'Daten-Funktion'!$B$4:$BC$14,Database!$B10,FALSE)</f>
        <v>F1.1</v>
      </c>
      <c r="Z35" s="39">
        <f>HLOOKUP($AK$30,'Daten-THGE'!$B$4:$BC$14,Database!$B10,FALSE)</f>
        <v>4.9666666666666665E-2</v>
      </c>
      <c r="AA35" s="39">
        <f>HLOOKUP($AK$30,'Daten-Dichte'!$B$4:$BC$14,Database!$B10,FALSE)</f>
        <v>1200</v>
      </c>
      <c r="AB35" s="39">
        <f>HLOOKUP($AK$30,'Daten-Dicke'!$B$4:$BC$14,Database!$B10,FALSE)</f>
        <v>0.6</v>
      </c>
      <c r="AC35" s="44"/>
      <c r="AD35" s="49">
        <f t="shared" si="25"/>
        <v>0.35759999999999997</v>
      </c>
      <c r="AE35" s="37"/>
      <c r="AF35" s="37"/>
      <c r="AG35" s="103">
        <f t="shared" si="26"/>
        <v>0</v>
      </c>
      <c r="AH35" s="103">
        <f t="shared" si="27"/>
        <v>1</v>
      </c>
      <c r="AI35" s="103">
        <f t="shared" si="28"/>
        <v>0</v>
      </c>
    </row>
    <row r="36" spans="2:37" ht="15.75" x14ac:dyDescent="0.25">
      <c r="D36" s="39">
        <f>HLOOKUP($V$23,'Daten-Zusammensetzung Bauteil'!$B$4:$BC$11,Database!$B10,FALSE)</f>
        <v>0</v>
      </c>
      <c r="E36" s="99">
        <f>HLOOKUP($V$23,'Daten-Funktion'!$B$4:$BC$11,Database!$B10,FALSE)</f>
        <v>0</v>
      </c>
      <c r="F36" s="39">
        <f>HLOOKUP($V$23,'Daten-THGE'!$B$4:$BC$11,Database!$B10,FALSE)</f>
        <v>0</v>
      </c>
      <c r="G36" s="39">
        <f>HLOOKUP($V$23,'Daten-Dichte'!$B$4:$BC$11,Database!$B10,FALSE)</f>
        <v>0</v>
      </c>
      <c r="H36" s="39">
        <f>HLOOKUP($V$23,'Daten-Dicke'!$B$4:$BC$11,Database!$B10,FALSE)</f>
        <v>0</v>
      </c>
      <c r="I36" s="44"/>
      <c r="J36" s="49">
        <f t="shared" si="29"/>
        <v>0</v>
      </c>
      <c r="W36" s="37"/>
      <c r="X36" s="39" t="str">
        <f>HLOOKUP($AK$30,'Daten-Zusammensetzung Bauteil'!$B$4:$BC$14,Database!$B11,FALSE)</f>
        <v>Trenn-/Schutzvlies [kg]</v>
      </c>
      <c r="Y36" s="99" t="str">
        <f>HLOOKUP($AK$30,'Daten-Funktion'!$B$4:$BC$14,Database!$B11,FALSE)</f>
        <v>F1.1</v>
      </c>
      <c r="Z36" s="39">
        <f>HLOOKUP($AK$30,'Daten-THGE'!$B$4:$BC$14,Database!$B11,FALSE)</f>
        <v>9.2166666666666675E-2</v>
      </c>
      <c r="AA36" s="39">
        <f>HLOOKUP($AK$30,'Daten-Dichte'!$B$4:$BC$14,Database!$B11,FALSE)</f>
        <v>920</v>
      </c>
      <c r="AB36" s="39">
        <f>HLOOKUP($AK$30,'Daten-Dicke'!$B$4:$BC$14,Database!$B11,FALSE)</f>
        <v>4.3478260869565216E-2</v>
      </c>
      <c r="AC36" s="44"/>
      <c r="AD36" s="49">
        <f t="shared" si="25"/>
        <v>3.6866666666666673E-2</v>
      </c>
      <c r="AE36" s="37"/>
      <c r="AF36" s="37"/>
      <c r="AG36" s="103">
        <f t="shared" si="26"/>
        <v>0</v>
      </c>
      <c r="AH36" s="103">
        <f t="shared" si="27"/>
        <v>1</v>
      </c>
      <c r="AI36" s="103">
        <f t="shared" si="28"/>
        <v>0</v>
      </c>
    </row>
    <row r="37" spans="2:37" ht="15.75" x14ac:dyDescent="0.25">
      <c r="D37" s="39"/>
      <c r="E37" s="99"/>
      <c r="F37" s="39"/>
      <c r="G37" s="39"/>
      <c r="H37" s="39"/>
      <c r="M37" s="107" t="s">
        <v>394</v>
      </c>
      <c r="N37" s="107" t="s">
        <v>410</v>
      </c>
      <c r="O37" s="107" t="s">
        <v>442</v>
      </c>
      <c r="P37" s="107" t="s">
        <v>414</v>
      </c>
      <c r="Q37" s="107" t="s">
        <v>415</v>
      </c>
      <c r="R37" s="107" t="s">
        <v>403</v>
      </c>
      <c r="S37" s="107" t="s">
        <v>404</v>
      </c>
      <c r="T37" s="107" t="s">
        <v>405</v>
      </c>
      <c r="U37" s="107" t="s">
        <v>406</v>
      </c>
      <c r="W37" s="37"/>
      <c r="X37" s="39" t="str">
        <f>HLOOKUP($AK$30,'Daten-Zusammensetzung Bauteil'!$B$4:$BC$14,Database!$B12,FALSE)</f>
        <v>Kies 3 cm [kg]</v>
      </c>
      <c r="Y37" s="99" t="str">
        <f>HLOOKUP($AK$30,'Daten-Funktion'!$B$4:$BC$14,Database!$B12,FALSE)</f>
        <v>F1.2</v>
      </c>
      <c r="Z37" s="39">
        <f>HLOOKUP($AK$30,'Daten-THGE'!$B$4:$BC$14,Database!$B12,FALSE)</f>
        <v>1.95E-4</v>
      </c>
      <c r="AA37" s="39">
        <f>HLOOKUP($AK$30,'Daten-Dichte'!$B$4:$BC$14,Database!$B12,FALSE)</f>
        <v>2000</v>
      </c>
      <c r="AB37" s="39">
        <f>HLOOKUP($AK$30,'Daten-Dicke'!$B$4:$BC$14,Database!$B12,FALSE)</f>
        <v>3</v>
      </c>
      <c r="AC37" s="44"/>
      <c r="AD37" s="49">
        <f t="shared" si="25"/>
        <v>1.17E-2</v>
      </c>
      <c r="AE37" s="37"/>
      <c r="AF37" s="37"/>
      <c r="AG37" s="103">
        <f t="shared" si="26"/>
        <v>0</v>
      </c>
      <c r="AH37" s="103">
        <f t="shared" si="27"/>
        <v>0</v>
      </c>
      <c r="AI37" s="103">
        <f t="shared" si="28"/>
        <v>1</v>
      </c>
    </row>
    <row r="38" spans="2:37" ht="20.25" x14ac:dyDescent="0.3">
      <c r="B38" s="41" t="s">
        <v>361</v>
      </c>
      <c r="C38" s="41"/>
      <c r="D38" s="40" t="s">
        <v>227</v>
      </c>
      <c r="E38" s="93"/>
      <c r="F38" s="40" t="s">
        <v>182</v>
      </c>
      <c r="G38" s="40" t="s">
        <v>226</v>
      </c>
      <c r="H38" s="40" t="s">
        <v>242</v>
      </c>
      <c r="I38" s="42" t="s">
        <v>243</v>
      </c>
      <c r="J38" s="40" t="s">
        <v>193</v>
      </c>
      <c r="K38" s="38" t="s">
        <v>194</v>
      </c>
      <c r="L38" s="37"/>
      <c r="W38" s="37"/>
      <c r="X38" s="39">
        <f>HLOOKUP($AK$30,'Daten-Zusammensetzung Bauteil'!$B$4:$BC$14,Database!$B13,FALSE)</f>
        <v>0</v>
      </c>
      <c r="Y38" s="99">
        <f>HLOOKUP($AK$30,'Daten-Funktion'!$B$4:$BC$14,Database!$B13,FALSE)</f>
        <v>0</v>
      </c>
      <c r="Z38" s="39">
        <f>HLOOKUP($AK$30,'Daten-THGE'!$B$4:$BC$14,Database!$B13,FALSE)</f>
        <v>0</v>
      </c>
      <c r="AA38" s="39">
        <f>HLOOKUP($AK$30,'Daten-Dichte'!$B$4:$BC$14,Database!$B13,FALSE)</f>
        <v>0</v>
      </c>
      <c r="AB38" s="39">
        <f>HLOOKUP($AK$30,'Daten-Dicke'!$B$4:$BC$14,Database!$B13,FALSE)</f>
        <v>0</v>
      </c>
      <c r="AC38" s="44"/>
      <c r="AD38" s="49">
        <f t="shared" si="25"/>
        <v>0</v>
      </c>
      <c r="AE38" s="37"/>
      <c r="AF38" s="37"/>
      <c r="AG38" s="119">
        <f t="shared" si="26"/>
        <v>0</v>
      </c>
      <c r="AH38" s="119">
        <f t="shared" si="27"/>
        <v>0</v>
      </c>
      <c r="AI38" s="119">
        <f t="shared" si="28"/>
        <v>0</v>
      </c>
    </row>
    <row r="39" spans="2:37" ht="15.75" x14ac:dyDescent="0.25">
      <c r="B39" s="40" t="s">
        <v>189</v>
      </c>
      <c r="C39" s="40" t="s">
        <v>250</v>
      </c>
      <c r="D39" s="39" t="str">
        <f>HLOOKUP($V$40,'Daten-Zusammensetzung Bauteil'!$B$4:$BC$14,Database!$B4,FALSE)</f>
        <v>Hochbaubeton 25 cm [kg]</v>
      </c>
      <c r="E39" s="99" t="str">
        <f>MID(HLOOKUP($V$40,'Daten-Funktion'!$B$4:$BC$14,Database!$B4,FALSE),1,2)</f>
        <v>C4</v>
      </c>
      <c r="F39" s="39">
        <f>HLOOKUP($V$40,'Daten-THGE'!$B$4:$BC$14,Database!$B4,FALSE)</f>
        <v>1.6533333333333333E-3</v>
      </c>
      <c r="G39" s="39">
        <f>HLOOKUP($V$40,'Daten-Dichte'!$B$4:$BC$14,Database!$B4,FALSE)</f>
        <v>2300</v>
      </c>
      <c r="H39" s="39">
        <f>HLOOKUP($V$40,'Daten-Dicke'!$B$4:$BC$14,Database!$B4,FALSE)</f>
        <v>24.71337579617834</v>
      </c>
      <c r="I39" s="43"/>
      <c r="J39" s="49">
        <f>IF(I39=0,G39*H39/100*F39,F39*G39*I39/1000)</f>
        <v>0.93976730360934158</v>
      </c>
      <c r="K39" s="50">
        <f>SUM(J39:J53)*Gebäude!$C$38</f>
        <v>1879.2976075796178</v>
      </c>
      <c r="L39" s="40" t="s">
        <v>244</v>
      </c>
      <c r="M39" s="103">
        <f>IF(E39="C4",1,0)</f>
        <v>1</v>
      </c>
      <c r="N39" s="103">
        <f>IF(E39="G4.1",1,0)</f>
        <v>0</v>
      </c>
      <c r="O39" s="103">
        <f>IF(E39="G4.2",1,0)</f>
        <v>0</v>
      </c>
      <c r="P39" s="103">
        <f>IF(E39="F1.2",1,0)</f>
        <v>0</v>
      </c>
      <c r="Q39" s="103">
        <f>IF(E39="F1.3",1,0)</f>
        <v>0</v>
      </c>
      <c r="R39" s="103">
        <f>IF(E39="E2.1",1,0)</f>
        <v>0</v>
      </c>
      <c r="S39" s="103">
        <f>IF(E39="E2.2",1,0)</f>
        <v>0</v>
      </c>
      <c r="T39" s="103">
        <f>IF(E39="E2.3",1,0)</f>
        <v>0</v>
      </c>
      <c r="U39" s="103">
        <f>IF(E39="E2.4",1,0)</f>
        <v>0</v>
      </c>
      <c r="AG39" s="104">
        <f>IF(AK31=0,0,SUMPRODUCT(AD29:AD38*AG29:AG38)/SUM(AD29:AD38))</f>
        <v>0</v>
      </c>
      <c r="AH39" s="104">
        <f>IF(AK31=0,0,SUMPRODUCT(AD29:AD38*AH29:AH38)/SUM(AD29:AD38))</f>
        <v>0</v>
      </c>
      <c r="AI39" s="104">
        <f>IF(AK31=0,0,SUMPRODUCT(AD29:AD38*AI29:AI38)/SUM(AD29:AD38))</f>
        <v>0</v>
      </c>
      <c r="AJ39" s="104">
        <f>SUM(AG39:AI39)</f>
        <v>0</v>
      </c>
    </row>
    <row r="40" spans="2:37" ht="15.75" x14ac:dyDescent="0.25">
      <c r="B40" s="40" t="str">
        <f>Gebäude!$G$25</f>
        <v>Massivbauweise</v>
      </c>
      <c r="C40" s="40"/>
      <c r="D40" s="39" t="str">
        <f>HLOOKUP($V$40,'Daten-Zusammensetzung Bauteil'!$B$4:$BC$14,Database!$B5,FALSE)</f>
        <v>Armierungsstahl (Bewehurngsgehalt 90 kg/m3) [kg]</v>
      </c>
      <c r="E40" s="99" t="str">
        <f>MID(HLOOKUP($V$40,'Daten-Funktion'!$B$4:$BC$14,Database!$B5,FALSE),1,2)</f>
        <v>C4</v>
      </c>
      <c r="F40" s="39">
        <f>HLOOKUP($V$40,'Daten-THGE'!$B$4:$BC$14,Database!$B5,FALSE)</f>
        <v>1.1366666666666667E-2</v>
      </c>
      <c r="G40" s="39">
        <f>HLOOKUP($V$40,'Daten-Dichte'!$B$4:$BC$14,Database!$B5,FALSE)</f>
        <v>7850</v>
      </c>
      <c r="H40" s="39">
        <f>HLOOKUP($V$40,'Daten-Dicke'!$B$4:$BC$14,Database!$B5,FALSE)</f>
        <v>0.28662420382165604</v>
      </c>
      <c r="I40" s="43"/>
      <c r="J40" s="49">
        <f t="shared" ref="J40:J53" si="30">IF(I40=0,G40*H40/100*F40,F40*G40*I40/1000)</f>
        <v>0.25575000000000003</v>
      </c>
      <c r="K40" s="39"/>
      <c r="L40" s="37"/>
      <c r="M40" s="103">
        <f t="shared" ref="M40:M45" si="31">IF(E40="C4",1,0)</f>
        <v>1</v>
      </c>
      <c r="N40" s="103">
        <f t="shared" ref="N40:N44" si="32">IF(E40="G4.1",1,0)</f>
        <v>0</v>
      </c>
      <c r="O40" s="103">
        <f t="shared" ref="O40:O45" si="33">IF(E40="G4.2",1,0)</f>
        <v>0</v>
      </c>
      <c r="P40" s="103">
        <f t="shared" ref="P40:P45" si="34">IF(E40="F1.2",1,0)</f>
        <v>0</v>
      </c>
      <c r="Q40" s="103">
        <f t="shared" ref="Q40:Q45" si="35">IF(E40="F1.3",1,0)</f>
        <v>0</v>
      </c>
      <c r="R40" s="103">
        <f t="shared" ref="R40:R45" si="36">IF(E40="E2.1",1,0)</f>
        <v>0</v>
      </c>
      <c r="S40" s="103">
        <f t="shared" ref="S40:S45" si="37">IF(E40="E2.2",1,0)</f>
        <v>0</v>
      </c>
      <c r="T40" s="103">
        <f t="shared" ref="T40:T45" si="38">IF(E40="E2.3",1,0)</f>
        <v>0</v>
      </c>
      <c r="U40" s="103">
        <f t="shared" ref="U40:U45" si="39">IF(E40="E2.4",1,0)</f>
        <v>0</v>
      </c>
      <c r="V40" s="12" t="str">
        <f>IF($B$40=Database!$Y$29,VLOOKUP('Dach unter &amp; über Terrain'!$B$42,Database!$S$46:$U$49,IF('Dach unter &amp; über Terrain'!$B$41=Database!$T$45,2,3),FALSE),VLOOKUP($B$40,Database!$Y$30:$AI$31,11,FALSE))</f>
        <v>4a</v>
      </c>
      <c r="W40" s="47" t="s">
        <v>241</v>
      </c>
      <c r="AG40" s="62"/>
      <c r="AH40" s="62"/>
      <c r="AI40" s="62"/>
      <c r="AJ40" s="62"/>
    </row>
    <row r="41" spans="2:37" ht="20.25" x14ac:dyDescent="0.3">
      <c r="B41" s="40" t="str">
        <f>Gebäude!$G$35</f>
        <v>Flachdach</v>
      </c>
      <c r="C41" s="37"/>
      <c r="D41" s="39" t="str">
        <f>HLOOKUP($V$40,'Daten-Zusammensetzung Bauteil'!$B$4:$BC$14,Database!$B6,FALSE)</f>
        <v>3-SP Schalung 2.5cm (Annahme 5xverwendet) [kg]</v>
      </c>
      <c r="E41" s="99" t="str">
        <f>MID(HLOOKUP($V$40,'Daten-Funktion'!$B$4:$BC$14,Database!$B6,FALSE),1,2)</f>
        <v>C4</v>
      </c>
      <c r="F41" s="39">
        <f>HLOOKUP($V$40,'Daten-THGE'!$B$4:$BC$14,Database!$B6,FALSE)</f>
        <v>8.7166666666666677E-3</v>
      </c>
      <c r="G41" s="39">
        <f>HLOOKUP($V$40,'Daten-Dichte'!$B$4:$BC$14,Database!$B6,FALSE)</f>
        <v>470</v>
      </c>
      <c r="H41" s="39">
        <f>HLOOKUP($V$40,'Daten-Dicke'!$B$4:$BC$14,Database!$B6,FALSE)</f>
        <v>1.0000000000000002</v>
      </c>
      <c r="I41" s="44"/>
      <c r="J41" s="49">
        <f t="shared" si="30"/>
        <v>4.096833333333335E-2</v>
      </c>
      <c r="K41" s="37"/>
      <c r="L41" s="37"/>
      <c r="M41" s="103">
        <f t="shared" si="31"/>
        <v>1</v>
      </c>
      <c r="N41" s="103">
        <f t="shared" si="32"/>
        <v>0</v>
      </c>
      <c r="O41" s="103">
        <f t="shared" si="33"/>
        <v>0</v>
      </c>
      <c r="P41" s="103">
        <f t="shared" si="34"/>
        <v>0</v>
      </c>
      <c r="Q41" s="103">
        <f t="shared" si="35"/>
        <v>0</v>
      </c>
      <c r="R41" s="103">
        <f t="shared" si="36"/>
        <v>0</v>
      </c>
      <c r="S41" s="103">
        <f t="shared" si="37"/>
        <v>0</v>
      </c>
      <c r="T41" s="103">
        <f t="shared" si="38"/>
        <v>0</v>
      </c>
      <c r="U41" s="103">
        <f t="shared" si="39"/>
        <v>0</v>
      </c>
      <c r="V41" s="12" t="str">
        <f>IF($B$40=Database!$Y$29,VLOOKUP('Dach unter &amp; über Terrain'!$B$43,Database!$S$46:$U$49,IF('Dach unter &amp; über Terrain'!$B$41=Database!$T$45,2,3),FALSE),VLOOKUP($B$43,Database!$S$69:$T$70,2,FALSE))</f>
        <v>5c</v>
      </c>
      <c r="W41" s="41" t="s">
        <v>361</v>
      </c>
      <c r="X41" s="40" t="s">
        <v>227</v>
      </c>
      <c r="Y41" s="93"/>
      <c r="Z41" s="40" t="s">
        <v>182</v>
      </c>
      <c r="AA41" s="40" t="s">
        <v>226</v>
      </c>
      <c r="AB41" s="40" t="s">
        <v>242</v>
      </c>
      <c r="AC41" s="42" t="s">
        <v>243</v>
      </c>
      <c r="AD41" s="40" t="s">
        <v>193</v>
      </c>
      <c r="AE41" s="38" t="s">
        <v>194</v>
      </c>
      <c r="AF41" s="37"/>
    </row>
    <row r="42" spans="2:37" ht="15.75" x14ac:dyDescent="0.25">
      <c r="B42" s="40" t="str">
        <f>Gebäude!$G$36</f>
        <v>Dach 1</v>
      </c>
      <c r="C42" s="37"/>
      <c r="D42" s="39" t="str">
        <f>HLOOKUP($V$40,'Daten-Zusammensetzung Bauteil'!$B$4:$BC$14,Database!$B7,FALSE)</f>
        <v>Kalk-Zementgrundputz [kg]</v>
      </c>
      <c r="E42" s="99" t="str">
        <f>MID(HLOOKUP($V$40,'Daten-Funktion'!$B$4:$BC$14,Database!$B7,FALSE),1,2)</f>
        <v>G4</v>
      </c>
      <c r="F42" s="39">
        <f>HLOOKUP($V$40,'Daten-THGE'!$B$4:$BC$14,Database!$B7,FALSE)</f>
        <v>8.2333333333333338E-3</v>
      </c>
      <c r="G42" s="39">
        <f>HLOOKUP($V$40,'Daten-Dichte'!$B$4:$BC$14,Database!$B7,FALSE)</f>
        <v>1550</v>
      </c>
      <c r="H42" s="39">
        <f>HLOOKUP($V$40,'Daten-Dicke'!$B$4:$BC$14,Database!$B7,FALSE)</f>
        <v>1.1612903225806452</v>
      </c>
      <c r="I42" s="44"/>
      <c r="J42" s="49">
        <f t="shared" si="30"/>
        <v>0.14820000000000003</v>
      </c>
      <c r="K42" s="37"/>
      <c r="L42" s="37"/>
      <c r="M42" s="103">
        <f t="shared" si="31"/>
        <v>0</v>
      </c>
      <c r="N42" s="103">
        <f t="shared" si="32"/>
        <v>0</v>
      </c>
      <c r="O42" s="103">
        <f t="shared" si="33"/>
        <v>0</v>
      </c>
      <c r="P42" s="103">
        <f t="shared" si="34"/>
        <v>0</v>
      </c>
      <c r="Q42" s="103">
        <f t="shared" si="35"/>
        <v>0</v>
      </c>
      <c r="R42" s="103">
        <f t="shared" si="36"/>
        <v>0</v>
      </c>
      <c r="S42" s="103">
        <f t="shared" si="37"/>
        <v>0</v>
      </c>
      <c r="T42" s="103">
        <f t="shared" si="38"/>
        <v>0</v>
      </c>
      <c r="U42" s="103">
        <f t="shared" si="39"/>
        <v>0</v>
      </c>
      <c r="W42" s="40" t="s">
        <v>186</v>
      </c>
      <c r="X42" s="39" t="str">
        <f>HLOOKUP($AK$43,'Daten-Zusammensetzung Bauteil'!$B$4:$BC$14,Database!$B4,FALSE)</f>
        <v>Hochbaubeton 30 cm [kg]</v>
      </c>
      <c r="Y42" s="99" t="str">
        <f>MID(HLOOKUP($AK$43,'Daten-Funktion'!$B$4:$BC$14,Database!$B4,FALSE),1,2)</f>
        <v>C4</v>
      </c>
      <c r="Z42" s="39">
        <f>HLOOKUP($AK$43,'Daten-THGE'!$B$4:$BC$14,Database!$B4,FALSE)</f>
        <v>1.6533333333333333E-3</v>
      </c>
      <c r="AA42" s="39">
        <f>HLOOKUP($AK$43,'Daten-Dichte'!$B$4:$BC$14,Database!$B4,FALSE)</f>
        <v>2300</v>
      </c>
      <c r="AB42" s="39">
        <f>HLOOKUP($AK$43,'Daten-Dicke'!$B$4:$BC$14,Database!$B4,FALSE)</f>
        <v>29.57006369426751</v>
      </c>
      <c r="AC42" s="43"/>
      <c r="AD42" s="49">
        <f>IF(AC42=0,AA42*AB42/100*Z42,Z42*AA42*AC42/1000)</f>
        <v>1.1244509554140125</v>
      </c>
      <c r="AE42" s="50">
        <f>IF(W44=Database!D15,0,SUM(AD42:AD51)*W47)</f>
        <v>0</v>
      </c>
      <c r="AF42" s="40" t="s">
        <v>244</v>
      </c>
    </row>
    <row r="43" spans="2:37" ht="15.75" x14ac:dyDescent="0.25">
      <c r="B43" s="40" t="str">
        <f>Gebäude!$G$37</f>
        <v>Dach Eindeckung 2</v>
      </c>
      <c r="C43" s="37"/>
      <c r="D43" s="39" t="str">
        <f>HLOOKUP($V$40,'Daten-Zusammensetzung Bauteil'!$B$4:$BC$14,Database!$B8,FALSE)</f>
        <v>Deckputz (Weissputz) [kg]</v>
      </c>
      <c r="E43" s="99" t="str">
        <f>HLOOKUP($V$40,'Daten-Funktion'!$B$4:$BC$14,Database!$B8,FALSE)</f>
        <v>G4.2</v>
      </c>
      <c r="F43" s="39">
        <f>HLOOKUP($V$40,'Daten-THGE'!$B$4:$BC$14,Database!$B8,FALSE)</f>
        <v>4.8999999999999998E-3</v>
      </c>
      <c r="G43" s="39">
        <f>HLOOKUP($V$40,'Daten-Dichte'!$B$4:$BC$14,Database!$B8,FALSE)</f>
        <v>1100</v>
      </c>
      <c r="H43" s="39">
        <f>HLOOKUP($V$40,'Daten-Dicke'!$B$4:$BC$14,Database!$B8,FALSE)</f>
        <v>0.31818181818181818</v>
      </c>
      <c r="I43" s="44"/>
      <c r="J43" s="49">
        <f t="shared" si="30"/>
        <v>1.7149999999999999E-2</v>
      </c>
      <c r="K43" s="37"/>
      <c r="L43" s="37"/>
      <c r="M43" s="103">
        <f t="shared" si="31"/>
        <v>0</v>
      </c>
      <c r="N43" s="103">
        <f t="shared" si="32"/>
        <v>0</v>
      </c>
      <c r="O43" s="103">
        <f t="shared" si="33"/>
        <v>1</v>
      </c>
      <c r="P43" s="103">
        <f t="shared" si="34"/>
        <v>0</v>
      </c>
      <c r="Q43" s="103">
        <f t="shared" si="35"/>
        <v>0</v>
      </c>
      <c r="R43" s="103">
        <f t="shared" si="36"/>
        <v>0</v>
      </c>
      <c r="S43" s="103">
        <f t="shared" si="37"/>
        <v>0</v>
      </c>
      <c r="T43" s="103">
        <f t="shared" si="38"/>
        <v>0</v>
      </c>
      <c r="U43" s="103">
        <f t="shared" si="39"/>
        <v>0</v>
      </c>
      <c r="W43" s="42" t="s">
        <v>1</v>
      </c>
      <c r="X43" s="39" t="str">
        <f>HLOOKUP($AK$43,'Daten-Zusammensetzung Bauteil'!$B$4:$BC$14,Database!$B5,FALSE)</f>
        <v>Armierungsstahl [kg]</v>
      </c>
      <c r="Y43" s="99" t="str">
        <f>MID(HLOOKUP($AK$43,'Daten-Funktion'!$B$4:$BC$14,Database!$B5,FALSE),1,2)</f>
        <v>C4</v>
      </c>
      <c r="Z43" s="39">
        <f>HLOOKUP($AK$43,'Daten-THGE'!$B$4:$BC$14,Database!$B5,FALSE)</f>
        <v>1.1366666666666667E-2</v>
      </c>
      <c r="AA43" s="39">
        <f>HLOOKUP($AK$43,'Daten-Dichte'!$B$4:$BC$14,Database!$B5,FALSE)</f>
        <v>7850</v>
      </c>
      <c r="AB43" s="39">
        <f>HLOOKUP($AK$43,'Daten-Dicke'!$B$4:$BC$14,Database!$B5,FALSE)</f>
        <v>0.42993630573248409</v>
      </c>
      <c r="AC43" s="43"/>
      <c r="AD43" s="49">
        <f t="shared" ref="AD43:AD51" si="40">IF(AC43=0,AA43*AB43/100*Z43,Z43*AA43*AC43/1000)</f>
        <v>0.38362499999999999</v>
      </c>
      <c r="AE43" s="39"/>
      <c r="AF43" s="37"/>
      <c r="AK43" s="12" t="str">
        <f>IF($W$43=Database!$Y$29,VLOOKUP($W$45,Database!$V$46:$W$47,2,FALSE),IF($W$43=Database!$Y$30,VLOOKUP('Dach unter &amp; über Terrain'!$W$45,Database!$U$69:$V$70,2,FALSE),VLOOKUP('Dach unter &amp; über Terrain'!$W$45,Database!$U$84:$V$85,2,FALSE)))</f>
        <v>8b</v>
      </c>
    </row>
    <row r="44" spans="2:37" ht="15.75" x14ac:dyDescent="0.25">
      <c r="B44" s="37"/>
      <c r="C44" s="37"/>
      <c r="D44" s="39" t="str">
        <f>HLOOKUP($V$40,'Daten-Zusammensetzung Bauteil'!$B$4:$BC$14,Database!$B9,FALSE)</f>
        <v>Wanddispersion [m2]</v>
      </c>
      <c r="E44" s="99" t="str">
        <f>HLOOKUP($V$40,'Daten-Funktion'!$B$4:$BC$14,Database!$B9,FALSE)</f>
        <v>G4.2</v>
      </c>
      <c r="F44" s="39">
        <f>HLOOKUP($V$40,'Daten-THGE'!$B$4:$BC$14,Database!$B9,FALSE)</f>
        <v>0.15111111111111114</v>
      </c>
      <c r="G44" s="39">
        <f>HLOOKUP($V$40,'Daten-Dichte'!$B$4:$BC$14,Database!$B9,FALSE)</f>
        <v>150</v>
      </c>
      <c r="H44" s="39">
        <f>HLOOKUP($V$40,'Daten-Dicke'!$B$4:$BC$14,Database!$B9,FALSE)</f>
        <v>0.2</v>
      </c>
      <c r="I44" s="44"/>
      <c r="J44" s="49">
        <f t="shared" si="30"/>
        <v>4.5333333333333344E-2</v>
      </c>
      <c r="K44" s="37"/>
      <c r="L44" s="37"/>
      <c r="M44" s="103">
        <f t="shared" si="31"/>
        <v>0</v>
      </c>
      <c r="N44" s="103">
        <f t="shared" si="32"/>
        <v>0</v>
      </c>
      <c r="O44" s="103">
        <f t="shared" si="33"/>
        <v>1</v>
      </c>
      <c r="P44" s="103">
        <f t="shared" si="34"/>
        <v>0</v>
      </c>
      <c r="Q44" s="103">
        <f t="shared" si="35"/>
        <v>0</v>
      </c>
      <c r="R44" s="103">
        <f t="shared" si="36"/>
        <v>0</v>
      </c>
      <c r="S44" s="103">
        <f t="shared" si="37"/>
        <v>0</v>
      </c>
      <c r="T44" s="103">
        <f t="shared" si="38"/>
        <v>0</v>
      </c>
      <c r="U44" s="103">
        <f t="shared" si="39"/>
        <v>0</v>
      </c>
      <c r="W44" s="42" t="s">
        <v>235</v>
      </c>
      <c r="X44" s="39" t="str">
        <f>HLOOKUP($AK$43,'Daten-Zusammensetzung Bauteil'!$B$4:$BC$14,Database!$B6,FALSE)</f>
        <v>3-SP Schalung 2.5 cm (Annahme 5xverwendet) [kg]</v>
      </c>
      <c r="Y44" s="99" t="str">
        <f>MID(HLOOKUP($AK$43,'Daten-Funktion'!$B$4:$BC$14,Database!$B6,FALSE),1,2)</f>
        <v>C4</v>
      </c>
      <c r="Z44" s="39">
        <f>HLOOKUP($AK$43,'Daten-THGE'!$B$4:$BC$14,Database!$B6,FALSE)</f>
        <v>8.7166666666666677E-3</v>
      </c>
      <c r="AA44" s="39">
        <f>HLOOKUP($AK$43,'Daten-Dichte'!$B$4:$BC$14,Database!$B6,FALSE)</f>
        <v>470</v>
      </c>
      <c r="AB44" s="39">
        <f>HLOOKUP($AK$43,'Daten-Dicke'!$B$4:$BC$14,Database!$B6,FALSE)</f>
        <v>1.0000000000000002</v>
      </c>
      <c r="AC44" s="44"/>
      <c r="AD44" s="49">
        <f t="shared" si="40"/>
        <v>4.096833333333335E-2</v>
      </c>
      <c r="AE44" s="37"/>
      <c r="AF44" s="37"/>
      <c r="AK44" s="12"/>
    </row>
    <row r="45" spans="2:37" ht="15.75" x14ac:dyDescent="0.25">
      <c r="B45" s="37"/>
      <c r="C45" s="37"/>
      <c r="D45" s="39">
        <f>HLOOKUP($V$40,'Daten-Zusammensetzung Bauteil'!$B$4:$BC$14,Database!$B10,FALSE)</f>
        <v>0</v>
      </c>
      <c r="E45" s="99">
        <f>HLOOKUP($V$40,'Daten-Funktion'!$B$4:$BC$14,Database!$B10,FALSE)</f>
        <v>0</v>
      </c>
      <c r="F45" s="39">
        <f>HLOOKUP($V$40,'Daten-THGE'!$B$4:$BC$14,Database!$B10,FALSE)</f>
        <v>0</v>
      </c>
      <c r="G45" s="39">
        <f>HLOOKUP($V$40,'Daten-Dichte'!$B$4:$BC$14,Database!$B10,FALSE)</f>
        <v>0</v>
      </c>
      <c r="H45" s="39">
        <f>HLOOKUP($V$40,'Daten-Dicke'!$B$4:$BC$14,Database!$B10,FALSE)</f>
        <v>0</v>
      </c>
      <c r="I45" s="44"/>
      <c r="J45" s="49">
        <f t="shared" si="30"/>
        <v>0</v>
      </c>
      <c r="K45" s="37"/>
      <c r="L45" s="37"/>
      <c r="M45" s="103">
        <f t="shared" si="31"/>
        <v>0</v>
      </c>
      <c r="N45" s="103">
        <f>IF(E45="G4.1",1,0)</f>
        <v>0</v>
      </c>
      <c r="O45" s="103">
        <f t="shared" si="33"/>
        <v>0</v>
      </c>
      <c r="P45" s="103">
        <f t="shared" si="34"/>
        <v>0</v>
      </c>
      <c r="Q45" s="103">
        <f t="shared" si="35"/>
        <v>0</v>
      </c>
      <c r="R45" s="103">
        <f t="shared" si="36"/>
        <v>0</v>
      </c>
      <c r="S45" s="103">
        <f t="shared" si="37"/>
        <v>0</v>
      </c>
      <c r="T45" s="103">
        <f t="shared" si="38"/>
        <v>0</v>
      </c>
      <c r="U45" s="103">
        <f t="shared" si="39"/>
        <v>0</v>
      </c>
      <c r="W45" s="42" t="s">
        <v>273</v>
      </c>
      <c r="X45" s="39" t="str">
        <f>HLOOKUP($AK$43,'Daten-Zusammensetzung Bauteil'!$B$4:$BC$14,Database!$B7,FALSE)</f>
        <v>Bitumenemulsion [m2]</v>
      </c>
      <c r="Y45" s="99" t="str">
        <f>HLOOKUP($AK$43,'Daten-Funktion'!$B$4:$BC$14,Database!$B7,FALSE)</f>
        <v>F1.1</v>
      </c>
      <c r="Z45" s="39">
        <f>HLOOKUP($AK$43,'Daten-THGE'!$B$4:$BC$14,Database!$B7,FALSE)</f>
        <v>4.7066666666666666E-2</v>
      </c>
      <c r="AA45" s="39">
        <f>HLOOKUP($AK$43,'Daten-Dichte'!$B$4:$BC$14,Database!$B7,FALSE)</f>
        <v>250</v>
      </c>
      <c r="AB45" s="39">
        <f>HLOOKUP($AK$43,'Daten-Dicke'!$B$4:$BC$14,Database!$B7,FALSE)</f>
        <v>0.1</v>
      </c>
      <c r="AC45" s="44"/>
      <c r="AD45" s="49">
        <f t="shared" si="40"/>
        <v>1.1766666666666667E-2</v>
      </c>
      <c r="AE45" s="37"/>
      <c r="AF45" s="37"/>
      <c r="AK45" s="12"/>
    </row>
    <row r="46" spans="2:37" ht="15.75" x14ac:dyDescent="0.25">
      <c r="B46" s="37"/>
      <c r="D46" s="39"/>
      <c r="E46" s="99"/>
      <c r="F46" s="39"/>
      <c r="G46" s="39"/>
      <c r="H46" s="39"/>
      <c r="I46" s="39"/>
      <c r="J46" s="49"/>
      <c r="K46" s="37"/>
      <c r="L46" s="37"/>
      <c r="N46" s="124"/>
      <c r="O46" s="124"/>
      <c r="P46" s="124"/>
      <c r="Q46" s="124"/>
      <c r="R46" s="124"/>
      <c r="S46" s="124"/>
      <c r="T46" s="124"/>
      <c r="U46" s="124"/>
      <c r="W46" s="42" t="s">
        <v>318</v>
      </c>
      <c r="X46" s="39" t="str">
        <f>HLOOKUP($AK$43,'Daten-Zusammensetzung Bauteil'!$B$4:$BC$14,Database!$B8,FALSE)</f>
        <v>Polymerbitumenbahn EP4 [kg]</v>
      </c>
      <c r="Y46" s="99" t="str">
        <f>HLOOKUP($AK$43,'Daten-Funktion'!$B$4:$BC$14,Database!$B8,FALSE)</f>
        <v>F1.1</v>
      </c>
      <c r="Z46" s="39">
        <f>HLOOKUP($AK$43,'Daten-THGE'!$B$4:$BC$14,Database!$B8,FALSE)</f>
        <v>5.1166666666666666E-2</v>
      </c>
      <c r="AA46" s="39">
        <f>HLOOKUP($AK$43,'Daten-Dichte'!$B$4:$BC$14,Database!$B8,FALSE)</f>
        <v>1175</v>
      </c>
      <c r="AB46" s="39">
        <f>HLOOKUP($AK$43,'Daten-Dicke'!$B$4:$BC$14,Database!$B8,FALSE)</f>
        <v>0.4</v>
      </c>
      <c r="AC46" s="44"/>
      <c r="AD46" s="49">
        <f t="shared" si="40"/>
        <v>0.24048333333333333</v>
      </c>
      <c r="AE46" s="37"/>
      <c r="AF46" s="37"/>
      <c r="AK46" s="12"/>
    </row>
    <row r="47" spans="2:37" ht="15.75" x14ac:dyDescent="0.25">
      <c r="B47" s="37"/>
      <c r="C47" s="40" t="s">
        <v>251</v>
      </c>
      <c r="D47" s="39" t="str">
        <f>HLOOKUP($V$41,'Daten-Zusammensetzung Bauteil'!$B$4:$BC$14,Database!$B4,FALSE)</f>
        <v>Steinwolle 28 cm, 160kg/m3 [kg]</v>
      </c>
      <c r="E47" s="99" t="str">
        <f>HLOOKUP($V$41,'Daten-Funktion'!$B$4:$BC$14,Database!$B4,FALSE)</f>
        <v>F1.2</v>
      </c>
      <c r="F47" s="39">
        <f>HLOOKUP($V$41,'Daten-THGE'!$B$4:$BC$14,Database!$B4,FALSE)</f>
        <v>3.7666666666666661E-2</v>
      </c>
      <c r="G47" s="39">
        <f>HLOOKUP($V$41,'Daten-Dichte'!$B$4:$BC$14,Database!$B4,FALSE)</f>
        <v>160</v>
      </c>
      <c r="H47" s="39">
        <f>HLOOKUP($V$41,'Daten-Dicke'!$B$4:$BC$14,Database!$B4,FALSE)</f>
        <v>28.000000000000004</v>
      </c>
      <c r="I47" s="44"/>
      <c r="J47" s="49">
        <f t="shared" si="30"/>
        <v>1.6874666666666669</v>
      </c>
      <c r="K47" s="37"/>
      <c r="L47" s="37"/>
      <c r="M47" s="103">
        <v>0</v>
      </c>
      <c r="N47" s="120">
        <f>IF(E47="G4.1",1,0)</f>
        <v>0</v>
      </c>
      <c r="O47" s="120">
        <f>IF(E47="G4.2",1,0)</f>
        <v>0</v>
      </c>
      <c r="P47" s="103">
        <f>IF(E47="F1.2",1,0)</f>
        <v>1</v>
      </c>
      <c r="Q47" s="103">
        <f>IF(E47="F1.3",1,0)</f>
        <v>0</v>
      </c>
      <c r="R47" s="103">
        <f>IF(E47="E2.1",1,0)</f>
        <v>0</v>
      </c>
      <c r="S47" s="103">
        <f>IF(E47="E2.2",1,0)</f>
        <v>0</v>
      </c>
      <c r="T47" s="103">
        <f>IF(E47="E2.3",1,0)</f>
        <v>0</v>
      </c>
      <c r="U47" s="103">
        <f>IF(E47="E2.4",1,0)</f>
        <v>0</v>
      </c>
      <c r="W47" s="42">
        <v>380</v>
      </c>
      <c r="X47" s="39" t="str">
        <f>HLOOKUP($AK$43,'Daten-Zusammensetzung Bauteil'!$B$4:$BC$14,Database!$B9,FALSE)</f>
        <v>Polystyrol extrudiert, 33 kg/m3, lamdaD 0.033 W/mK, 20 cm [kg]</v>
      </c>
      <c r="Y47" s="99" t="str">
        <f>HLOOKUP($AK$43,'Daten-Funktion'!$B$4:$BC$14,Database!$B9,FALSE)</f>
        <v>F1.1</v>
      </c>
      <c r="Z47" s="39">
        <f>HLOOKUP($AK$43,'Daten-THGE'!$B$4:$BC$14,Database!$B9,FALSE)</f>
        <v>0.24166666666666667</v>
      </c>
      <c r="AA47" s="39">
        <f>HLOOKUP($AK$43,'Daten-Dichte'!$B$4:$BC$14,Database!$B9,FALSE)</f>
        <v>33</v>
      </c>
      <c r="AB47" s="39">
        <f>HLOOKUP($AK$43,'Daten-Dicke'!$B$4:$BC$14,Database!$B9,FALSE)</f>
        <v>20</v>
      </c>
      <c r="AC47" s="44"/>
      <c r="AD47" s="49">
        <f t="shared" si="40"/>
        <v>1.595</v>
      </c>
      <c r="AE47" s="37"/>
      <c r="AF47" s="37"/>
      <c r="AK47" s="12"/>
    </row>
    <row r="48" spans="2:37" ht="15.75" x14ac:dyDescent="0.25">
      <c r="B48" s="37"/>
      <c r="D48" s="39" t="str">
        <f>HLOOKUP($V$41,'Daten-Zusammensetzung Bauteil'!$B$4:$BC$14,Database!$B5,FALSE)</f>
        <v>2 x EGV3 Polymerbitumenbahn [kg]</v>
      </c>
      <c r="E48" s="99" t="str">
        <f>HLOOKUP($V$41,'Daten-Funktion'!$B$4:$BC$14,Database!$B5,FALSE)</f>
        <v>F1.2</v>
      </c>
      <c r="F48" s="39">
        <f>HLOOKUP($V$41,'Daten-THGE'!$B$4:$BC$14,Database!$B5,FALSE)</f>
        <v>0.11800000000000001</v>
      </c>
      <c r="G48" s="39">
        <f>HLOOKUP($V$41,'Daten-Dichte'!$B$4:$BC$14,Database!$B5,FALSE)</f>
        <v>1100</v>
      </c>
      <c r="H48" s="39">
        <f>HLOOKUP($V$41,'Daten-Dicke'!$B$4:$BC$14,Database!$B5,FALSE)</f>
        <v>0.65454545454545454</v>
      </c>
      <c r="I48" s="44"/>
      <c r="J48" s="49">
        <f t="shared" si="30"/>
        <v>0.84960000000000002</v>
      </c>
      <c r="K48" s="37"/>
      <c r="L48" s="37"/>
      <c r="M48" s="103">
        <v>0</v>
      </c>
      <c r="N48" s="120">
        <f t="shared" ref="N48:N53" si="41">IF(E48="G4.1",1,0)</f>
        <v>0</v>
      </c>
      <c r="O48" s="120">
        <f t="shared" ref="O48:O53" si="42">IF(E48="G4.2",1,0)</f>
        <v>0</v>
      </c>
      <c r="P48" s="103">
        <f t="shared" ref="P48:P53" si="43">IF(E48="F1.2",1,0)</f>
        <v>1</v>
      </c>
      <c r="Q48" s="103">
        <f t="shared" ref="Q48:Q53" si="44">IF(E48="F1.3",1,0)</f>
        <v>0</v>
      </c>
      <c r="R48" s="103">
        <f t="shared" ref="R48:R53" si="45">IF(E48="E2.1",1,0)</f>
        <v>0</v>
      </c>
      <c r="S48" s="103">
        <f t="shared" ref="S48:S53" si="46">IF(E48="E2.2",1,0)</f>
        <v>0</v>
      </c>
      <c r="T48" s="103">
        <f t="shared" ref="T48:T53" si="47">IF(E48="E2.3",1,0)</f>
        <v>0</v>
      </c>
      <c r="U48" s="103">
        <f t="shared" ref="U48:U53" si="48">IF(E48="E2.4",1,0)</f>
        <v>0</v>
      </c>
      <c r="X48" s="39" t="str">
        <f>HLOOKUP($AK$43,'Daten-Zusammensetzung Bauteil'!$B$4:$BC$14,Database!$B10,FALSE)</f>
        <v>2xPolymerbitumenbahn EGV3 [kg]</v>
      </c>
      <c r="Y48" s="99" t="str">
        <f>HLOOKUP($AK$43,'Daten-Funktion'!$B$4:$BC$14,Database!$B10,FALSE)</f>
        <v>F1.1</v>
      </c>
      <c r="Z48" s="39">
        <f>HLOOKUP($AK$43,'Daten-THGE'!$B$4:$BC$14,Database!$B10,FALSE)</f>
        <v>4.9666666666666665E-2</v>
      </c>
      <c r="AA48" s="39">
        <f>HLOOKUP($AK$43,'Daten-Dichte'!$B$4:$BC$14,Database!$B10,FALSE)</f>
        <v>1200</v>
      </c>
      <c r="AB48" s="39">
        <f>HLOOKUP($AK$43,'Daten-Dicke'!$B$4:$BC$14,Database!$B10,FALSE)</f>
        <v>0.6</v>
      </c>
      <c r="AC48" s="44"/>
      <c r="AD48" s="49">
        <f t="shared" si="40"/>
        <v>0.35759999999999997</v>
      </c>
      <c r="AE48" s="37"/>
      <c r="AF48" s="37"/>
    </row>
    <row r="49" spans="2:36" ht="15.75" x14ac:dyDescent="0.25">
      <c r="B49" s="37"/>
      <c r="C49" s="37"/>
      <c r="D49" s="39" t="str">
        <f>HLOOKUP($V$41,'Daten-Zusammensetzung Bauteil'!$B$4:$BC$14,Database!$B6,FALSE)</f>
        <v>Bitumenemulsion [m2]</v>
      </c>
      <c r="E49" s="99" t="str">
        <f>HLOOKUP($V$41,'Daten-Funktion'!$B$4:$BC$14,Database!$B6,FALSE)</f>
        <v>F1.2</v>
      </c>
      <c r="F49" s="39">
        <f>HLOOKUP($V$41,'Daten-THGE'!$B$4:$BC$14,Database!$B6,FALSE)</f>
        <v>9.4133333333333333E-2</v>
      </c>
      <c r="G49" s="39">
        <f>HLOOKUP($V$41,'Daten-Dichte'!$B$4:$BC$14,Database!$B6,FALSE)</f>
        <v>125</v>
      </c>
      <c r="H49" s="39">
        <f>HLOOKUP($V$41,'Daten-Dicke'!$B$4:$BC$14,Database!$B6,FALSE)</f>
        <v>0.2</v>
      </c>
      <c r="I49" s="44"/>
      <c r="J49" s="49">
        <f t="shared" si="30"/>
        <v>2.3533333333333333E-2</v>
      </c>
      <c r="K49" s="37"/>
      <c r="L49" s="37"/>
      <c r="M49" s="103">
        <v>0</v>
      </c>
      <c r="N49" s="120">
        <f t="shared" si="41"/>
        <v>0</v>
      </c>
      <c r="O49" s="120">
        <f t="shared" si="42"/>
        <v>0</v>
      </c>
      <c r="P49" s="103">
        <f t="shared" si="43"/>
        <v>1</v>
      </c>
      <c r="Q49" s="103">
        <f t="shared" si="44"/>
        <v>0</v>
      </c>
      <c r="R49" s="103">
        <f t="shared" si="45"/>
        <v>0</v>
      </c>
      <c r="S49" s="103">
        <f t="shared" si="46"/>
        <v>0</v>
      </c>
      <c r="T49" s="103">
        <f t="shared" si="47"/>
        <v>0</v>
      </c>
      <c r="U49" s="103">
        <f t="shared" si="48"/>
        <v>0</v>
      </c>
      <c r="X49" s="39" t="str">
        <f>HLOOKUP($AK$43,'Daten-Zusammensetzung Bauteil'!$B$4:$BC$14,Database!$B11,FALSE)</f>
        <v>Trenn-/Schutzvlies [kg]</v>
      </c>
      <c r="Y49" s="99" t="str">
        <f>HLOOKUP($AK$43,'Daten-Funktion'!$B$4:$BC$14,Database!$B11,FALSE)</f>
        <v>F1.1</v>
      </c>
      <c r="Z49" s="39">
        <f>HLOOKUP($AK$43,'Daten-THGE'!$B$4:$BC$14,Database!$B11,FALSE)</f>
        <v>9.2166666666666675E-2</v>
      </c>
      <c r="AA49" s="39">
        <f>HLOOKUP($AK$43,'Daten-Dichte'!$B$4:$BC$14,Database!$B11,FALSE)</f>
        <v>920</v>
      </c>
      <c r="AB49" s="39">
        <f>HLOOKUP($AK$43,'Daten-Dicke'!$B$4:$BC$14,Database!$B11,FALSE)</f>
        <v>4.3478260869565216E-2</v>
      </c>
      <c r="AC49" s="44"/>
      <c r="AD49" s="49">
        <f t="shared" si="40"/>
        <v>3.6866666666666673E-2</v>
      </c>
      <c r="AE49" s="37"/>
      <c r="AF49" s="37"/>
    </row>
    <row r="50" spans="2:36" ht="15.75" x14ac:dyDescent="0.25">
      <c r="C50" s="37"/>
      <c r="D50" s="39" t="str">
        <f>HLOOKUP($V$41,'Daten-Zusammensetzung Bauteil'!$B$4:$BC$14,Database!$B7,FALSE)</f>
        <v>1x EP4 Polymerbitumenbahn [kg]</v>
      </c>
      <c r="E50" s="99" t="str">
        <f>HLOOKUP($V$41,'Daten-Funktion'!$B$4:$BC$14,Database!$B7,FALSE)</f>
        <v>F1.2</v>
      </c>
      <c r="F50" s="39">
        <f>HLOOKUP($V$41,'Daten-THGE'!$B$4:$BC$14,Database!$B7,FALSE)</f>
        <v>0.10833333333333334</v>
      </c>
      <c r="G50" s="39">
        <f>HLOOKUP($V$41,'Daten-Dichte'!$B$4:$BC$14,Database!$B7,FALSE)</f>
        <v>1100</v>
      </c>
      <c r="H50" s="39">
        <f>HLOOKUP($V$41,'Daten-Dicke'!$B$4:$BC$14,Database!$B7,FALSE)</f>
        <v>0.47272727272727277</v>
      </c>
      <c r="I50" s="44"/>
      <c r="J50" s="49">
        <f t="shared" si="30"/>
        <v>0.56333333333333335</v>
      </c>
      <c r="M50" s="103">
        <v>0</v>
      </c>
      <c r="N50" s="120">
        <f t="shared" si="41"/>
        <v>0</v>
      </c>
      <c r="O50" s="120">
        <f t="shared" si="42"/>
        <v>0</v>
      </c>
      <c r="P50" s="103">
        <f t="shared" si="43"/>
        <v>1</v>
      </c>
      <c r="Q50" s="103">
        <f t="shared" si="44"/>
        <v>0</v>
      </c>
      <c r="R50" s="103">
        <f t="shared" si="45"/>
        <v>0</v>
      </c>
      <c r="S50" s="103">
        <f t="shared" si="46"/>
        <v>0</v>
      </c>
      <c r="T50" s="103">
        <f t="shared" si="47"/>
        <v>0</v>
      </c>
      <c r="U50" s="103">
        <f t="shared" si="48"/>
        <v>0</v>
      </c>
      <c r="X50" s="39" t="str">
        <f>HLOOKUP($AK$43,'Daten-Zusammensetzung Bauteil'!$B$4:$BC$14,Database!$B12,FALSE)</f>
        <v>Kies 3 cm [kg]</v>
      </c>
      <c r="Y50" s="99" t="str">
        <f>HLOOKUP($AK$43,'Daten-Funktion'!$B$4:$BC$14,Database!$B12,FALSE)</f>
        <v>F1.2</v>
      </c>
      <c r="Z50" s="39">
        <f>HLOOKUP($AK$43,'Daten-THGE'!$B$4:$BC$14,Database!$B12,FALSE)</f>
        <v>1.95E-4</v>
      </c>
      <c r="AA50" s="39">
        <f>HLOOKUP($AK$43,'Daten-Dichte'!$B$4:$BC$14,Database!$B12,FALSE)</f>
        <v>2000</v>
      </c>
      <c r="AB50" s="39">
        <f>HLOOKUP($AK$43,'Daten-Dicke'!$B$4:$BC$14,Database!$B12,FALSE)</f>
        <v>3</v>
      </c>
      <c r="AC50" s="44"/>
      <c r="AD50" s="49">
        <f t="shared" si="40"/>
        <v>1.17E-2</v>
      </c>
      <c r="AE50" s="37"/>
      <c r="AF50" s="37"/>
    </row>
    <row r="51" spans="2:36" ht="15.75" x14ac:dyDescent="0.25">
      <c r="D51" s="39" t="str">
        <f>HLOOKUP($V$41,'Daten-Zusammensetzung Bauteil'!$B$4:$BC$14,Database!$B8,FALSE)</f>
        <v>PP-Vlies Trenn-/Schutzvlies [kg]</v>
      </c>
      <c r="E51" s="99" t="str">
        <f>HLOOKUP($V$41,'Daten-Funktion'!$B$4:$BC$14,Database!$B8,FALSE)</f>
        <v>F1.2</v>
      </c>
      <c r="F51" s="39">
        <f>HLOOKUP($V$41,'Daten-THGE'!$B$4:$BC$14,Database!$B8,FALSE)</f>
        <v>0.18433333333333335</v>
      </c>
      <c r="G51" s="39">
        <f>HLOOKUP($V$41,'Daten-Dichte'!$B$4:$BC$14,Database!$B8,FALSE)</f>
        <v>920</v>
      </c>
      <c r="H51" s="39">
        <f>HLOOKUP($V$41,'Daten-Dicke'!$B$4:$BC$14,Database!$B8,FALSE)</f>
        <v>1.5217391304347827E-2</v>
      </c>
      <c r="I51" s="44"/>
      <c r="J51" s="49">
        <f t="shared" si="30"/>
        <v>2.5806666666666672E-2</v>
      </c>
      <c r="M51" s="103">
        <v>0</v>
      </c>
      <c r="N51" s="120">
        <f t="shared" si="41"/>
        <v>0</v>
      </c>
      <c r="O51" s="120">
        <f t="shared" si="42"/>
        <v>0</v>
      </c>
      <c r="P51" s="103">
        <f t="shared" si="43"/>
        <v>1</v>
      </c>
      <c r="Q51" s="103">
        <f t="shared" si="44"/>
        <v>0</v>
      </c>
      <c r="R51" s="103">
        <f t="shared" si="45"/>
        <v>0</v>
      </c>
      <c r="S51" s="103">
        <f t="shared" si="46"/>
        <v>0</v>
      </c>
      <c r="T51" s="103">
        <f t="shared" si="47"/>
        <v>0</v>
      </c>
      <c r="U51" s="103">
        <f t="shared" si="48"/>
        <v>0</v>
      </c>
      <c r="W51" s="37"/>
      <c r="X51" s="39">
        <f>HLOOKUP($AK$43,'Daten-Zusammensetzung Bauteil'!$B$4:$BC$14,Database!$B13,FALSE)</f>
        <v>0</v>
      </c>
      <c r="Y51" s="99">
        <f>HLOOKUP($AK$43,'Daten-Funktion'!$B$4:$BC$14,Database!$B13,FALSE)</f>
        <v>0</v>
      </c>
      <c r="Z51" s="39">
        <f>HLOOKUP($AK$43,'Daten-THGE'!$B$4:$BC$14,Database!$B13,FALSE)</f>
        <v>0</v>
      </c>
      <c r="AA51" s="39">
        <f>HLOOKUP($AK$43,'Daten-Dichte'!$B$4:$BC$14,Database!$B13,FALSE)</f>
        <v>0</v>
      </c>
      <c r="AB51" s="39">
        <f>HLOOKUP($AK$43,'Daten-Dicke'!$B$4:$BC$14,Database!$B13,FALSE)</f>
        <v>0</v>
      </c>
      <c r="AC51" s="44"/>
      <c r="AD51" s="49">
        <f t="shared" si="40"/>
        <v>0</v>
      </c>
      <c r="AE51" s="37"/>
      <c r="AF51" s="37"/>
    </row>
    <row r="52" spans="2:36" ht="15.75" x14ac:dyDescent="0.25">
      <c r="C52" s="40"/>
      <c r="D52" s="39" t="str">
        <f>HLOOKUP($V$41,'Daten-Zusammensetzung Bauteil'!$B$4:$BC$14,Database!$B9,FALSE)</f>
        <v>Kies 3 cm [kg]</v>
      </c>
      <c r="E52" s="99" t="str">
        <f>HLOOKUP($V$41,'Daten-Funktion'!$B$4:$BC$14,Database!$B9,FALSE)</f>
        <v>F1.2</v>
      </c>
      <c r="F52" s="39">
        <f>HLOOKUP($V$41,'Daten-THGE'!$B$4:$BC$14,Database!$B9,FALSE)</f>
        <v>3.8999999999999999E-4</v>
      </c>
      <c r="G52" s="39">
        <f>HLOOKUP($V$41,'Daten-Dichte'!$B$4:$BC$14,Database!$B9,FALSE)</f>
        <v>2000</v>
      </c>
      <c r="H52" s="39">
        <f>HLOOKUP($V$41,'Daten-Dicke'!$B$4:$BC$14,Database!$B9,FALSE)</f>
        <v>2.25</v>
      </c>
      <c r="I52" s="44"/>
      <c r="J52" s="49">
        <f t="shared" si="30"/>
        <v>1.755E-2</v>
      </c>
      <c r="M52" s="103">
        <v>0</v>
      </c>
      <c r="N52" s="120">
        <f t="shared" si="41"/>
        <v>0</v>
      </c>
      <c r="O52" s="120">
        <f t="shared" si="42"/>
        <v>0</v>
      </c>
      <c r="P52" s="103">
        <f t="shared" si="43"/>
        <v>1</v>
      </c>
      <c r="Q52" s="103">
        <f t="shared" si="44"/>
        <v>0</v>
      </c>
      <c r="R52" s="103">
        <f t="shared" si="45"/>
        <v>0</v>
      </c>
      <c r="S52" s="103">
        <f t="shared" si="46"/>
        <v>0</v>
      </c>
      <c r="T52" s="103">
        <f t="shared" si="47"/>
        <v>0</v>
      </c>
      <c r="U52" s="103">
        <f t="shared" si="48"/>
        <v>0</v>
      </c>
    </row>
    <row r="53" spans="2:36" ht="15.75" x14ac:dyDescent="0.25">
      <c r="D53" s="39" t="str">
        <f>HLOOKUP($V$41,'Daten-Zusammensetzung Bauteil'!$B$4:$BC$14,Database!$B10,FALSE)</f>
        <v>Substrat 7cm [kg]</v>
      </c>
      <c r="E53" s="99" t="str">
        <f>HLOOKUP($V$41,'Daten-Funktion'!$B$4:$BC$14,Database!$B10,FALSE)</f>
        <v>F1.2</v>
      </c>
      <c r="F53" s="39">
        <f>HLOOKUP($V$41,'Daten-THGE'!$B$4:$BC$14,Database!$B10,FALSE)</f>
        <v>4.6666666666666666E-4</v>
      </c>
      <c r="G53" s="39">
        <f>HLOOKUP($V$41,'Daten-Dichte'!$B$4:$BC$14,Database!$B10,FALSE)</f>
        <v>2000</v>
      </c>
      <c r="H53" s="39">
        <f>HLOOKUP($V$41,'Daten-Dicke'!$B$4:$BC$14,Database!$B10,FALSE)</f>
        <v>3.5000000000000004</v>
      </c>
      <c r="I53" s="44"/>
      <c r="J53" s="49">
        <f t="shared" si="30"/>
        <v>3.266666666666667E-2</v>
      </c>
      <c r="M53" s="103">
        <v>0</v>
      </c>
      <c r="N53" s="120">
        <f t="shared" si="41"/>
        <v>0</v>
      </c>
      <c r="O53" s="120">
        <f t="shared" si="42"/>
        <v>0</v>
      </c>
      <c r="P53" s="103">
        <f t="shared" si="43"/>
        <v>1</v>
      </c>
      <c r="Q53" s="103">
        <f t="shared" si="44"/>
        <v>0</v>
      </c>
      <c r="R53" s="103">
        <f t="shared" si="45"/>
        <v>0</v>
      </c>
      <c r="S53" s="103">
        <f t="shared" si="46"/>
        <v>0</v>
      </c>
      <c r="T53" s="103">
        <f t="shared" si="47"/>
        <v>0</v>
      </c>
      <c r="U53" s="103">
        <f t="shared" si="48"/>
        <v>0</v>
      </c>
      <c r="AG53" s="62"/>
      <c r="AH53" s="62"/>
      <c r="AI53" s="62"/>
      <c r="AJ53" s="62"/>
    </row>
    <row r="54" spans="2:36" x14ac:dyDescent="0.25">
      <c r="M54" s="104">
        <f>SUMPRODUCT(J39:J53*M39:M53)/SUM(J39:J53)</f>
        <v>0.2660753621793952</v>
      </c>
      <c r="N54" s="104">
        <f>SUMPRODUCT(J39:J53*N39:N53)/SUM(J39:J53)</f>
        <v>0</v>
      </c>
      <c r="O54" s="104">
        <f>SUMPRODUCT(J39:J53*O39:O53)/SUM(J39:J53)</f>
        <v>1.344558727584582E-2</v>
      </c>
      <c r="P54" s="104">
        <f>SUMPRODUCT(J39:J53*P39:P53)/SUM(J39:J53)</f>
        <v>0.68858836981474536</v>
      </c>
      <c r="Q54" s="104">
        <f>SUMPRODUCT(J39:J53*Q39:Q53)/SUM(J39:J53)</f>
        <v>0</v>
      </c>
      <c r="R54" s="104">
        <f>SUMPRODUCT(J39:J53*R39:R53)/SUM(J39:J53)</f>
        <v>0</v>
      </c>
      <c r="S54" s="104">
        <f>SUMPRODUCT(J39:J53*S39:S53)/SUM(J39:J53)</f>
        <v>0</v>
      </c>
      <c r="T54" s="104">
        <f>SUMPRODUCT(J39:J53*T39:T53)/SUM(J39:J53)</f>
        <v>0</v>
      </c>
      <c r="U54" s="104">
        <f>SUMPRODUCT(J39:J53*U39:U53)/SUM(J39:J53)</f>
        <v>0</v>
      </c>
      <c r="V54" s="123">
        <f>SUM(M54:U54)</f>
        <v>0.96810931926998633</v>
      </c>
    </row>
    <row r="55" spans="2:36" x14ac:dyDescent="0.25">
      <c r="B55" s="47" t="s">
        <v>241</v>
      </c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36" ht="20.25" x14ac:dyDescent="0.3">
      <c r="B56" s="41" t="s">
        <v>361</v>
      </c>
      <c r="C56" s="41"/>
      <c r="D56" s="40" t="s">
        <v>227</v>
      </c>
      <c r="E56" s="93"/>
      <c r="F56" s="40" t="s">
        <v>182</v>
      </c>
      <c r="G56" s="40" t="s">
        <v>226</v>
      </c>
      <c r="H56" s="40" t="s">
        <v>242</v>
      </c>
      <c r="I56" s="42" t="s">
        <v>243</v>
      </c>
      <c r="J56" s="40" t="s">
        <v>193</v>
      </c>
      <c r="K56" s="38" t="s">
        <v>194</v>
      </c>
      <c r="L56" s="37"/>
    </row>
    <row r="57" spans="2:36" ht="15.75" x14ac:dyDescent="0.25">
      <c r="B57" s="40" t="s">
        <v>189</v>
      </c>
      <c r="C57" s="40" t="s">
        <v>250</v>
      </c>
      <c r="D57" s="39" t="str">
        <f>HLOOKUP($V$58,'Daten-Zusammensetzung Bauteil'!$B$4:$BC$14,Database!$B4,FALSE)</f>
        <v>Hochbaubeton 25 cm [kg]</v>
      </c>
      <c r="E57" s="99" t="str">
        <f>MID(HLOOKUP($V$58,'Daten-Funktion'!$B$4:$BC$14,Database!$B4,FALSE),1,2)</f>
        <v>C4</v>
      </c>
      <c r="F57" s="39">
        <f>HLOOKUP($V$58,'Daten-THGE'!$B$4:$BC$14,Database!$B4,FALSE)</f>
        <v>1.6533333333333333E-3</v>
      </c>
      <c r="G57" s="39">
        <f>HLOOKUP($V$58,'Daten-Dichte'!$B$4:$BC$14,Database!$B4,FALSE)</f>
        <v>2300</v>
      </c>
      <c r="H57" s="39">
        <f>HLOOKUP($V$58,'Daten-Dicke'!$B$4:$BC$14,Database!$B4,FALSE)</f>
        <v>24.71337579617834</v>
      </c>
      <c r="I57" s="43"/>
      <c r="J57" s="49">
        <f>IF(I57=0,G57*H57/100*F57,F57*G57*I57/1000)</f>
        <v>0.93976730360934158</v>
      </c>
      <c r="K57" s="50">
        <f>SUM(J57:J71)*Gebäude!$C$38</f>
        <v>1683.460167579618</v>
      </c>
      <c r="L57" s="40" t="s">
        <v>244</v>
      </c>
    </row>
    <row r="58" spans="2:36" ht="15.75" x14ac:dyDescent="0.25">
      <c r="B58" s="42" t="s">
        <v>232</v>
      </c>
      <c r="C58" s="40"/>
      <c r="D58" s="39" t="str">
        <f>HLOOKUP($V$58,'Daten-Zusammensetzung Bauteil'!$B$4:$BC$14,Database!$B5,FALSE)</f>
        <v>Armierungsstahl (Bewehurngsgehalt 90 kg/m3) [kg]</v>
      </c>
      <c r="E58" s="99" t="str">
        <f>MID(HLOOKUP($V$58,'Daten-Funktion'!$B$4:$BC$14,Database!$B5,FALSE),1,2)</f>
        <v>C4</v>
      </c>
      <c r="F58" s="39">
        <f>HLOOKUP($V$58,'Daten-THGE'!$B$4:$BC$14,Database!$B5,FALSE)</f>
        <v>1.1366666666666667E-2</v>
      </c>
      <c r="G58" s="39">
        <f>HLOOKUP($V$58,'Daten-Dichte'!$B$4:$BC$14,Database!$B5,FALSE)</f>
        <v>7850</v>
      </c>
      <c r="H58" s="39">
        <f>HLOOKUP($V$58,'Daten-Dicke'!$B$4:$BC$14,Database!$B5,FALSE)</f>
        <v>0.28662420382165604</v>
      </c>
      <c r="I58" s="43"/>
      <c r="J58" s="49">
        <f t="shared" ref="J58:J63" si="49">IF(I58=0,G58*H58/100*F58,F58*G58*I58/1000)</f>
        <v>0.25575000000000003</v>
      </c>
      <c r="K58" s="39"/>
      <c r="L58" s="37"/>
      <c r="V58" s="12" t="str">
        <f>IF($B$58=Database!$Y$29,VLOOKUP('Dach unter &amp; über Terrain'!$B$60,Database!$S$46:$U$49,IF('Dach unter &amp; über Terrain'!$B$59=Database!$T$45,2,3),FALSE),VLOOKUP($B$58,Database!$Y$30:$AI$31,11,FALSE))</f>
        <v>4a</v>
      </c>
    </row>
    <row r="59" spans="2:36" ht="15.75" x14ac:dyDescent="0.25">
      <c r="B59" s="42" t="s">
        <v>297</v>
      </c>
      <c r="C59" s="37"/>
      <c r="D59" s="39" t="str">
        <f>HLOOKUP($V$58,'Daten-Zusammensetzung Bauteil'!$B$4:$BC$14,Database!$B6,FALSE)</f>
        <v>3-SP Schalung 2.5cm (Annahme 5xverwendet) [kg]</v>
      </c>
      <c r="E59" s="99" t="str">
        <f>MID(HLOOKUP($V$58,'Daten-Funktion'!$B$4:$BC$14,Database!$B6,FALSE),1,2)</f>
        <v>C4</v>
      </c>
      <c r="F59" s="39">
        <f>HLOOKUP($V$58,'Daten-THGE'!$B$4:$BC$14,Database!$B6,FALSE)</f>
        <v>8.7166666666666677E-3</v>
      </c>
      <c r="G59" s="39">
        <f>HLOOKUP($V$58,'Daten-Dichte'!$B$4:$BC$14,Database!$B6,FALSE)</f>
        <v>470</v>
      </c>
      <c r="H59" s="39">
        <f>HLOOKUP($V$58,'Daten-Dicke'!$B$4:$BC$14,Database!$B6,FALSE)</f>
        <v>1.0000000000000002</v>
      </c>
      <c r="I59" s="44"/>
      <c r="J59" s="49">
        <f t="shared" si="49"/>
        <v>4.096833333333335E-2</v>
      </c>
      <c r="K59" s="37"/>
      <c r="L59" s="37"/>
      <c r="V59" s="12" t="str">
        <f>IF($B$58=Database!$Y$29,VLOOKUP('Dach unter &amp; über Terrain'!$B$61,Database!$S$46:$U$49,IF('Dach unter &amp; über Terrain'!$B$59=Database!$T$45,2,3),FALSE),VLOOKUP($B$61,Database!$S$69:$T$70,2,FALSE))</f>
        <v>5b</v>
      </c>
    </row>
    <row r="60" spans="2:36" ht="15.75" x14ac:dyDescent="0.25">
      <c r="B60" s="42" t="s">
        <v>295</v>
      </c>
      <c r="C60" s="37"/>
      <c r="D60" s="39" t="str">
        <f>HLOOKUP($V$58,'Daten-Zusammensetzung Bauteil'!$B$4:$BC$14,Database!$B7,FALSE)</f>
        <v>Kalk-Zementgrundputz [kg]</v>
      </c>
      <c r="E60" s="99" t="str">
        <f>HLOOKUP($V$58,'Daten-Funktion'!$B$4:$BC$14,Database!$B7,FALSE)</f>
        <v>G4.1</v>
      </c>
      <c r="F60" s="39">
        <f>HLOOKUP($V$58,'Daten-THGE'!$B$4:$BC$14,Database!$B7,FALSE)</f>
        <v>8.2333333333333338E-3</v>
      </c>
      <c r="G60" s="39">
        <f>HLOOKUP($V$58,'Daten-Dichte'!$B$4:$BC$14,Database!$B7,FALSE)</f>
        <v>1550</v>
      </c>
      <c r="H60" s="39">
        <f>HLOOKUP($V$58,'Daten-Dicke'!$B$4:$BC$14,Database!$B7,FALSE)</f>
        <v>1.1612903225806452</v>
      </c>
      <c r="I60" s="44"/>
      <c r="J60" s="49">
        <f t="shared" si="49"/>
        <v>0.14820000000000003</v>
      </c>
      <c r="K60" s="37"/>
      <c r="L60" s="37"/>
    </row>
    <row r="61" spans="2:36" ht="15.75" x14ac:dyDescent="0.25">
      <c r="B61" s="42" t="s">
        <v>293</v>
      </c>
      <c r="C61" s="37"/>
      <c r="D61" s="39" t="str">
        <f>HLOOKUP($V$58,'Daten-Zusammensetzung Bauteil'!$B$4:$BC$14,Database!$B8,FALSE)</f>
        <v>Deckputz (Weissputz) [kg]</v>
      </c>
      <c r="E61" s="99" t="str">
        <f>HLOOKUP($V$58,'Daten-Funktion'!$B$4:$BC$14,Database!$B8,FALSE)</f>
        <v>G4.2</v>
      </c>
      <c r="F61" s="39">
        <f>HLOOKUP($V$58,'Daten-THGE'!$B$4:$BC$14,Database!$B8,FALSE)</f>
        <v>4.8999999999999998E-3</v>
      </c>
      <c r="G61" s="39">
        <f>HLOOKUP($V$58,'Daten-Dichte'!$B$4:$BC$14,Database!$B8,FALSE)</f>
        <v>1100</v>
      </c>
      <c r="H61" s="39">
        <f>HLOOKUP($V$58,'Daten-Dicke'!$B$4:$BC$14,Database!$B8,FALSE)</f>
        <v>0.31818181818181818</v>
      </c>
      <c r="I61" s="44"/>
      <c r="J61" s="49">
        <f t="shared" si="49"/>
        <v>1.7149999999999999E-2</v>
      </c>
      <c r="K61" s="37"/>
      <c r="L61" s="37"/>
    </row>
    <row r="62" spans="2:36" ht="15.75" x14ac:dyDescent="0.25">
      <c r="B62" s="37"/>
      <c r="C62" s="37"/>
      <c r="D62" s="39" t="str">
        <f>HLOOKUP($V$58,'Daten-Zusammensetzung Bauteil'!$B$4:$BC$14,Database!$B9,FALSE)</f>
        <v>Wanddispersion [m2]</v>
      </c>
      <c r="E62" s="99" t="str">
        <f>HLOOKUP($V$58,'Daten-Funktion'!$B$4:$BC$14,Database!$B9,FALSE)</f>
        <v>G4.2</v>
      </c>
      <c r="F62" s="39">
        <f>HLOOKUP($V$58,'Daten-THGE'!$B$4:$BC$14,Database!$B9,FALSE)</f>
        <v>0.15111111111111114</v>
      </c>
      <c r="G62" s="39">
        <f>HLOOKUP($V$58,'Daten-Dichte'!$B$4:$BC$14,Database!$B9,FALSE)</f>
        <v>150</v>
      </c>
      <c r="H62" s="39">
        <f>HLOOKUP($V$58,'Daten-Dicke'!$B$4:$BC$14,Database!$B9,FALSE)</f>
        <v>0.2</v>
      </c>
      <c r="I62" s="44"/>
      <c r="J62" s="49">
        <f t="shared" si="49"/>
        <v>4.5333333333333344E-2</v>
      </c>
      <c r="K62" s="37"/>
      <c r="L62" s="37"/>
    </row>
    <row r="63" spans="2:36" ht="15.75" x14ac:dyDescent="0.25">
      <c r="B63" s="37"/>
      <c r="C63" s="37"/>
      <c r="D63" s="39">
        <f>HLOOKUP($V$58,'Daten-Zusammensetzung Bauteil'!$B$4:$BC$14,Database!$B10,FALSE)</f>
        <v>0</v>
      </c>
      <c r="E63" s="99">
        <f>HLOOKUP($V$58,'Daten-Funktion'!$B$4:$BC$14,Database!$B10,FALSE)</f>
        <v>0</v>
      </c>
      <c r="F63" s="39">
        <f>HLOOKUP($V$58,'Daten-THGE'!$B$4:$BC$14,Database!$B10,FALSE)</f>
        <v>0</v>
      </c>
      <c r="G63" s="39">
        <f>HLOOKUP($V$58,'Daten-Dichte'!$B$4:$BC$14,Database!$B10,FALSE)</f>
        <v>0</v>
      </c>
      <c r="H63" s="39">
        <f>HLOOKUP($V$58,'Daten-Dicke'!$B$4:$BC$14,Database!$B10,FALSE)</f>
        <v>0</v>
      </c>
      <c r="I63" s="44"/>
      <c r="J63" s="49">
        <f t="shared" si="49"/>
        <v>0</v>
      </c>
      <c r="K63" s="37"/>
      <c r="L63" s="37"/>
    </row>
    <row r="64" spans="2:36" ht="15.75" x14ac:dyDescent="0.25">
      <c r="B64" s="37"/>
      <c r="D64" s="39"/>
      <c r="E64" s="99"/>
      <c r="F64" s="39"/>
      <c r="G64" s="39"/>
      <c r="H64" s="39"/>
      <c r="I64" s="39"/>
      <c r="J64" s="49"/>
      <c r="K64" s="37"/>
      <c r="L64" s="37"/>
    </row>
    <row r="65" spans="2:21" ht="15.75" x14ac:dyDescent="0.25">
      <c r="B65" s="37"/>
      <c r="C65" s="40" t="s">
        <v>251</v>
      </c>
      <c r="D65" s="39" t="str">
        <f>HLOOKUP($V$59,'Daten-Zusammensetzung Bauteil'!$B$4:$BC$14,Database!$B4,FALSE)</f>
        <v>PUR, 16 cm, 30 kg/m3 [kg]</v>
      </c>
      <c r="E65" s="99" t="str">
        <f>HLOOKUP($V$59,'Daten-Funktion'!$B$4:$BC$14,Database!$B4,FALSE)</f>
        <v>F1.2</v>
      </c>
      <c r="F65" s="39">
        <f>HLOOKUP($V$59,'Daten-THGE'!$B$4:$BC$14,Database!$B4,FALSE)</f>
        <v>0.25066666666666665</v>
      </c>
      <c r="G65" s="39">
        <f>HLOOKUP($V$59,'Daten-Dichte'!$B$4:$BC$14,Database!$B4,FALSE)</f>
        <v>30</v>
      </c>
      <c r="H65" s="39">
        <f>HLOOKUP($V$59,'Daten-Dicke'!$B$4:$BC$14,Database!$B4,FALSE)</f>
        <v>16</v>
      </c>
      <c r="I65" s="44"/>
      <c r="J65" s="49">
        <f t="shared" ref="J65:J71" si="50">IF(I65=0,G65*H65/100*F65,F65*G65*I65/1000)</f>
        <v>1.2031999999999998</v>
      </c>
      <c r="K65" s="37"/>
      <c r="L65" s="37"/>
    </row>
    <row r="66" spans="2:21" ht="15.75" x14ac:dyDescent="0.25">
      <c r="B66" s="37"/>
      <c r="D66" s="39" t="str">
        <f>HLOOKUP($V$59,'Daten-Zusammensetzung Bauteil'!$B$4:$BC$14,Database!$B5,FALSE)</f>
        <v>2 x EGV3 Polymerbitumenbahn [kg]</v>
      </c>
      <c r="E66" s="99" t="str">
        <f>HLOOKUP($V$59,'Daten-Funktion'!$B$4:$BC$14,Database!$B5,FALSE)</f>
        <v>F1.2</v>
      </c>
      <c r="F66" s="39">
        <f>HLOOKUP($V$59,'Daten-THGE'!$B$4:$BC$14,Database!$B5,FALSE)</f>
        <v>0.11800000000000001</v>
      </c>
      <c r="G66" s="39">
        <f>HLOOKUP($V$59,'Daten-Dichte'!$B$4:$BC$14,Database!$B5,FALSE)</f>
        <v>1100</v>
      </c>
      <c r="H66" s="39">
        <f>HLOOKUP($V$59,'Daten-Dicke'!$B$4:$BC$14,Database!$B5,FALSE)</f>
        <v>0.65454545454545454</v>
      </c>
      <c r="I66" s="44"/>
      <c r="J66" s="49">
        <f t="shared" si="50"/>
        <v>0.84960000000000002</v>
      </c>
      <c r="K66" s="37"/>
      <c r="L66" s="37"/>
    </row>
    <row r="67" spans="2:21" ht="15.75" x14ac:dyDescent="0.25">
      <c r="B67" s="37"/>
      <c r="C67" s="37"/>
      <c r="D67" s="39" t="str">
        <f>HLOOKUP($V$59,'Daten-Zusammensetzung Bauteil'!$B$4:$BC$14,Database!$B6,FALSE)</f>
        <v>Bitumenemulsion [m2]</v>
      </c>
      <c r="E67" s="99" t="str">
        <f>HLOOKUP($V$59,'Daten-Funktion'!$B$4:$BC$14,Database!$B6,FALSE)</f>
        <v>F1.2</v>
      </c>
      <c r="F67" s="39">
        <f>HLOOKUP($V$59,'Daten-THGE'!$B$4:$BC$14,Database!$B6,FALSE)</f>
        <v>9.4133333333333333E-2</v>
      </c>
      <c r="G67" s="39">
        <f>HLOOKUP($V$59,'Daten-Dichte'!$B$4:$BC$14,Database!$B6,FALSE)</f>
        <v>125</v>
      </c>
      <c r="H67" s="39">
        <f>HLOOKUP($V$59,'Daten-Dicke'!$B$4:$BC$14,Database!$B6,FALSE)</f>
        <v>0.2</v>
      </c>
      <c r="I67" s="44"/>
      <c r="J67" s="49">
        <f t="shared" si="50"/>
        <v>2.3533333333333333E-2</v>
      </c>
      <c r="K67" s="37"/>
      <c r="L67" s="37"/>
    </row>
    <row r="68" spans="2:21" ht="15.75" x14ac:dyDescent="0.25">
      <c r="C68" s="37"/>
      <c r="D68" s="39" t="str">
        <f>HLOOKUP($V$59,'Daten-Zusammensetzung Bauteil'!$B$4:$BC$14,Database!$B7,FALSE)</f>
        <v>1x EP4 Polymerbitumenbahn [kg]</v>
      </c>
      <c r="E68" s="99" t="str">
        <f>HLOOKUP($V$59,'Daten-Funktion'!$B$4:$BC$14,Database!$B7,FALSE)</f>
        <v>F1.2</v>
      </c>
      <c r="F68" s="39">
        <f>HLOOKUP($V$59,'Daten-THGE'!$B$4:$BC$14,Database!$B7,FALSE)</f>
        <v>0.10833333333333334</v>
      </c>
      <c r="G68" s="39">
        <f>HLOOKUP($V$59,'Daten-Dichte'!$B$4:$BC$14,Database!$B7,FALSE)</f>
        <v>1100</v>
      </c>
      <c r="H68" s="39">
        <f>HLOOKUP($V$59,'Daten-Dicke'!$B$4:$BC$14,Database!$B7,FALSE)</f>
        <v>0.47272727272727277</v>
      </c>
      <c r="I68" s="44"/>
      <c r="J68" s="49">
        <f t="shared" si="50"/>
        <v>0.56333333333333335</v>
      </c>
    </row>
    <row r="69" spans="2:21" ht="15.75" x14ac:dyDescent="0.25">
      <c r="D69" s="39" t="str">
        <f>HLOOKUP($V$59,'Daten-Zusammensetzung Bauteil'!$B$4:$BC$14,Database!$B8,FALSE)</f>
        <v>PP-Vlies Trenn-/Schutzvlies [kg]</v>
      </c>
      <c r="E69" s="99" t="str">
        <f>HLOOKUP($V$59,'Daten-Funktion'!$B$4:$BC$14,Database!$B8,FALSE)</f>
        <v>F1.2</v>
      </c>
      <c r="F69" s="39">
        <f>HLOOKUP($V$59,'Daten-THGE'!$B$4:$BC$14,Database!$B8,FALSE)</f>
        <v>0.18433333333333335</v>
      </c>
      <c r="G69" s="39">
        <f>HLOOKUP($V$59,'Daten-Dichte'!$B$4:$BC$14,Database!$B8,FALSE)</f>
        <v>920</v>
      </c>
      <c r="H69" s="39">
        <f>HLOOKUP($V$59,'Daten-Dicke'!$B$4:$BC$14,Database!$B8,FALSE)</f>
        <v>1.5217391304347827E-2</v>
      </c>
      <c r="I69" s="44"/>
      <c r="J69" s="49">
        <f t="shared" si="50"/>
        <v>2.5806666666666672E-2</v>
      </c>
    </row>
    <row r="70" spans="2:21" ht="15.75" x14ac:dyDescent="0.25">
      <c r="C70" s="40"/>
      <c r="D70" s="39" t="str">
        <f>HLOOKUP($V$59,'Daten-Zusammensetzung Bauteil'!$B$4:$BC$14,Database!$B9,FALSE)</f>
        <v>Kies 3 cm [kg]</v>
      </c>
      <c r="E70" s="99" t="str">
        <f>HLOOKUP($V$59,'Daten-Funktion'!$B$4:$BC$14,Database!$B9,FALSE)</f>
        <v>F1.2</v>
      </c>
      <c r="F70" s="39">
        <f>HLOOKUP($V$59,'Daten-THGE'!$B$4:$BC$14,Database!$B9,FALSE)</f>
        <v>3.8999999999999999E-4</v>
      </c>
      <c r="G70" s="39">
        <f>HLOOKUP($V$59,'Daten-Dichte'!$B$4:$BC$14,Database!$B9,FALSE)</f>
        <v>2000</v>
      </c>
      <c r="H70" s="39">
        <f>HLOOKUP($V$59,'Daten-Dicke'!$B$4:$BC$14,Database!$B9,FALSE)</f>
        <v>2.25</v>
      </c>
      <c r="I70" s="44"/>
      <c r="J70" s="49">
        <f t="shared" si="50"/>
        <v>1.755E-2</v>
      </c>
    </row>
    <row r="71" spans="2:21" ht="15.75" x14ac:dyDescent="0.25">
      <c r="D71" s="39" t="str">
        <f>HLOOKUP($V$59,'Daten-Zusammensetzung Bauteil'!$B$4:$BC$14,Database!$B10,FALSE)</f>
        <v>Substrat 7 cm [kg]</v>
      </c>
      <c r="E71" s="99" t="str">
        <f>HLOOKUP($V$59,'Daten-Funktion'!$B$4:$BC$14,Database!$B10,FALSE)</f>
        <v>F1.2</v>
      </c>
      <c r="F71" s="39">
        <f>HLOOKUP($V$59,'Daten-THGE'!$B$4:$BC$14,Database!$B10,FALSE)</f>
        <v>4.6666666666666666E-4</v>
      </c>
      <c r="G71" s="39">
        <f>HLOOKUP($V$59,'Daten-Dichte'!$B$4:$BC$14,Database!$B10,FALSE)</f>
        <v>2000</v>
      </c>
      <c r="H71" s="39">
        <f>HLOOKUP($V$59,'Daten-Dicke'!$B$4:$BC$14,Database!$B10,FALSE)</f>
        <v>3.5000000000000004</v>
      </c>
      <c r="I71" s="44"/>
      <c r="J71" s="49">
        <f t="shared" si="50"/>
        <v>3.266666666666667E-2</v>
      </c>
    </row>
    <row r="73" spans="2:21" x14ac:dyDescent="0.25">
      <c r="M73" s="100"/>
      <c r="N73" s="100"/>
      <c r="O73" s="100"/>
      <c r="P73" s="100"/>
      <c r="Q73" s="100"/>
      <c r="R73" s="100"/>
      <c r="S73" s="100"/>
      <c r="T73" s="100"/>
      <c r="U73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700-000000000000}">
          <x14:formula1>
            <xm:f>Database!$H$4:$H$6</xm:f>
          </x14:formula1>
          <xm:sqref>W18 B23:C23 C40 C5 B58:C58 W43</xm:sqref>
        </x14:dataValidation>
        <x14:dataValidation type="list" allowBlank="1" showInputMessage="1" showErrorMessage="1" xr:uid="{00000000-0002-0000-0700-000001000000}">
          <x14:formula1>
            <xm:f>IF($C$30=Database!$S$28,Database!$S$46:$S$47,Database!$S$46)</xm:f>
          </x14:formula1>
          <xm:sqref>B60</xm:sqref>
        </x14:dataValidation>
        <x14:dataValidation type="list" allowBlank="1" showInputMessage="1" showErrorMessage="1" xr:uid="{00000000-0002-0000-0700-000002000000}">
          <x14:formula1>
            <xm:f>Database!$S$48:$S$49</xm:f>
          </x14:formula1>
          <xm:sqref>B61</xm:sqref>
        </x14:dataValidation>
        <x14:dataValidation type="list" allowBlank="1" showInputMessage="1" showErrorMessage="1" xr:uid="{00000000-0002-0000-0700-000003000000}">
          <x14:formula1>
            <xm:f>Database!$V$46:$V$47</xm:f>
          </x14:formula1>
          <xm:sqref>W45</xm:sqref>
        </x14:dataValidation>
        <x14:dataValidation type="list" allowBlank="1" showInputMessage="1" showErrorMessage="1" xr:uid="{00000000-0002-0000-0700-000004000000}">
          <x14:formula1>
            <xm:f>Database!$D$18:$D$19</xm:f>
          </x14:formula1>
          <xm:sqref>B24 B59</xm:sqref>
        </x14:dataValidation>
        <x14:dataValidation type="list" allowBlank="1" showInputMessage="1" showErrorMessage="1" xr:uid="{00000000-0002-0000-0700-000005000000}">
          <x14:formula1>
            <xm:f>Database!$D$14:$D$15</xm:f>
          </x14:formula1>
          <xm:sqref>W19 W44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7">
    <tabColor theme="2" tint="-9.9978637043366805E-2"/>
  </sheetPr>
  <dimension ref="B2:P58"/>
  <sheetViews>
    <sheetView topLeftCell="C1" zoomScaleNormal="100" workbookViewId="0">
      <selection activeCell="O12" sqref="O12"/>
    </sheetView>
  </sheetViews>
  <sheetFormatPr defaultColWidth="10.85546875" defaultRowHeight="15" x14ac:dyDescent="0.25"/>
  <cols>
    <col min="2" max="2" width="34.42578125" bestFit="1" customWidth="1"/>
    <col min="3" max="3" width="45.1406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9" width="17.42578125" bestFit="1" customWidth="1"/>
    <col min="10" max="10" width="18.42578125" bestFit="1" customWidth="1"/>
    <col min="11" max="11" width="11.85546875" bestFit="1" customWidth="1"/>
    <col min="12" max="12" width="25.85546875" style="102" bestFit="1" customWidth="1"/>
    <col min="13" max="13" width="28" style="102" bestFit="1" customWidth="1"/>
    <col min="14" max="14" width="28" style="117" customWidth="1"/>
    <col min="15" max="15" width="11.85546875" style="102" customWidth="1"/>
    <col min="16" max="16" width="3.140625" customWidth="1"/>
    <col min="17" max="17" width="3.140625" bestFit="1" customWidth="1"/>
  </cols>
  <sheetData>
    <row r="2" spans="2:16" x14ac:dyDescent="0.25">
      <c r="L2" s="107" t="s">
        <v>392</v>
      </c>
      <c r="M2" s="107" t="s">
        <v>418</v>
      </c>
      <c r="N2" s="107" t="s">
        <v>419</v>
      </c>
    </row>
    <row r="3" spans="2:16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</row>
    <row r="4" spans="2:16" ht="15.75" x14ac:dyDescent="0.25">
      <c r="B4" s="40" t="s">
        <v>374</v>
      </c>
      <c r="C4" s="39" t="str">
        <f>HLOOKUP($P$4,'Daten-Zusammensetzung Bauteil'!$B$4:$BC$10,Database!$B4,FALSE)</f>
        <v>15 cm Backstein [kg]</v>
      </c>
      <c r="D4" s="99" t="str">
        <f>MID(HLOOKUP($P$4,'Daten-Funktion'!$B$4:$BC$10,Database!$B4,FALSE),1,2)</f>
        <v>C2</v>
      </c>
      <c r="E4" s="39">
        <f>HLOOKUP($P$4,'Daten-THGE'!$B$4:$BC$10,Database!$B4,FALSE)</f>
        <v>4.3E-3</v>
      </c>
      <c r="F4" s="39">
        <f>HLOOKUP($P$4,'Daten-Dichte'!$B$4:$BC$10,Database!$B4,FALSE)</f>
        <v>900</v>
      </c>
      <c r="G4" s="39">
        <f>HLOOKUP($P$4,'Daten-Dicke'!$B$4:$BC$10,Database!$B4,FALSE)</f>
        <v>15</v>
      </c>
      <c r="H4" s="43"/>
      <c r="I4" s="49">
        <f>IF(H4=0,F4*G4/100*E4,E4*F4*H4/1000)</f>
        <v>0.58050000000000002</v>
      </c>
      <c r="J4" s="50">
        <f>SUM(I4:I9)*Gebäude!$C$19</f>
        <v>652.71768345500027</v>
      </c>
      <c r="K4" s="40" t="s">
        <v>244</v>
      </c>
      <c r="L4" s="103">
        <f>IF(D4="C2",1,0)</f>
        <v>1</v>
      </c>
      <c r="M4" s="103">
        <f>IF(D4="G3.1",1,0)</f>
        <v>0</v>
      </c>
      <c r="N4" s="103">
        <f>IF(D4="G3.2",1,0)</f>
        <v>0</v>
      </c>
      <c r="P4" s="12" t="str">
        <f>IF($B$5=Database!$H$4,VLOOKUP($B$6,Database!$D$18:$G$19,4,FALSE),VLOOKUP(Innenwand!$B$5,Database!$H$5:$P$6,9,FALSE))</f>
        <v>9b</v>
      </c>
    </row>
    <row r="5" spans="2:16" ht="15.75" x14ac:dyDescent="0.25">
      <c r="B5" s="40" t="s">
        <v>232</v>
      </c>
      <c r="C5" s="39" t="str">
        <f>HLOOKUP($P$4,'Daten-Zusammensetzung Bauteil'!$B$4:$BC$10,Database!$B5,FALSE)</f>
        <v>Mörtel [kg]</v>
      </c>
      <c r="D5" s="99" t="str">
        <f>MID(HLOOKUP($P$4,'Daten-Funktion'!$B$4:$BC$10,Database!$B5,FALSE),1,2)</f>
        <v>C2</v>
      </c>
      <c r="E5" s="39">
        <f>HLOOKUP($P$4,'Daten-THGE'!$B$4:$BC$10,Database!$B5,FALSE)</f>
        <v>4.483333333333334E-3</v>
      </c>
      <c r="F5" s="39">
        <f>HLOOKUP($P$4,'Daten-Dichte'!$B$4:$BC$10,Database!$B5,FALSE)</f>
        <v>1550</v>
      </c>
      <c r="G5" s="39">
        <f>HLOOKUP($P$4,'Daten-Dicke'!$B$4:$BC$10,Database!$B5,FALSE)</f>
        <v>2.8097419354838711</v>
      </c>
      <c r="H5" s="43"/>
      <c r="I5" s="49">
        <f t="shared" ref="I5:I9" si="0">IF(H5=0,F5*G5/100*E5,E5*F5*H5/1000)</f>
        <v>0.19525365000000003</v>
      </c>
      <c r="J5" s="39"/>
      <c r="K5" s="37"/>
      <c r="L5" s="103">
        <f t="shared" ref="L5:L9" si="1">IF(D5="C2",1,0)</f>
        <v>1</v>
      </c>
      <c r="M5" s="103">
        <f t="shared" ref="M5:M9" si="2">IF(D5="G3.1",1,0)</f>
        <v>0</v>
      </c>
      <c r="N5" s="103">
        <f t="shared" ref="N5:N9" si="3">IF(D5="G3.2",1,0)</f>
        <v>0</v>
      </c>
      <c r="P5" s="12"/>
    </row>
    <row r="6" spans="2:16" ht="15.75" x14ac:dyDescent="0.25">
      <c r="B6" s="40" t="str">
        <f>IF(B14="Massivbauweise",Gebäude!$G$13,"Geneigtes Dach")</f>
        <v>Geneigtes Dach</v>
      </c>
      <c r="C6" s="39" t="str">
        <f>HLOOKUP($P$4,'Daten-Zusammensetzung Bauteil'!$B$4:$BC$10,Database!$B6,FALSE)</f>
        <v>Kalk-Zementgrundputz [kg]</v>
      </c>
      <c r="D6" s="99" t="str">
        <f>HLOOKUP($P$4,'Daten-Funktion'!$B$4:$BC$10,Database!$B6,FALSE)</f>
        <v>G3.1</v>
      </c>
      <c r="E6" s="39">
        <f>HLOOKUP($P$4,'Daten-THGE'!$B$4:$BC$10,Database!$B6,FALSE)</f>
        <v>8.2333333333333338E-3</v>
      </c>
      <c r="F6" s="39">
        <f>HLOOKUP($P$4,'Daten-Dichte'!$B$4:$BC$10,Database!$B6,FALSE)</f>
        <v>1550</v>
      </c>
      <c r="G6" s="39">
        <f>HLOOKUP($P$4,'Daten-Dicke'!$B$4:$BC$10,Database!$B6,FALSE)</f>
        <v>2.3225806451612905</v>
      </c>
      <c r="H6" s="44"/>
      <c r="I6" s="49">
        <f t="shared" si="0"/>
        <v>0.29640000000000005</v>
      </c>
      <c r="J6" s="37"/>
      <c r="K6" s="37"/>
      <c r="L6" s="103">
        <f t="shared" si="1"/>
        <v>0</v>
      </c>
      <c r="M6" s="103">
        <f t="shared" si="2"/>
        <v>1</v>
      </c>
      <c r="N6" s="103">
        <f t="shared" si="3"/>
        <v>0</v>
      </c>
      <c r="P6" s="12"/>
    </row>
    <row r="7" spans="2:16" ht="15.75" x14ac:dyDescent="0.25">
      <c r="B7" s="37"/>
      <c r="C7" s="39" t="str">
        <f>HLOOKUP($P$4,'Daten-Zusammensetzung Bauteil'!$B$4:$BC$10,Database!$B7,FALSE)</f>
        <v>Deckputz (Weissputz) [kg]</v>
      </c>
      <c r="D7" s="99" t="str">
        <f>HLOOKUP($P$4,'Daten-Funktion'!$B$4:$BC$10,Database!$B7,FALSE)</f>
        <v>G3.2</v>
      </c>
      <c r="E7" s="39">
        <f>HLOOKUP($P$4,'Daten-THGE'!$B$4:$BC$10,Database!$B7,FALSE)</f>
        <v>4.8999999999999998E-3</v>
      </c>
      <c r="F7" s="39">
        <f>HLOOKUP($P$4,'Daten-Dichte'!$B$4:$BC$10,Database!$B7,FALSE)</f>
        <v>1100</v>
      </c>
      <c r="G7" s="39">
        <f>HLOOKUP($P$4,'Daten-Dicke'!$B$4:$BC$10,Database!$B7,FALSE)</f>
        <v>0.63636363636363635</v>
      </c>
      <c r="H7" s="44"/>
      <c r="I7" s="49">
        <f t="shared" si="0"/>
        <v>3.4299999999999997E-2</v>
      </c>
      <c r="J7" s="37"/>
      <c r="K7" s="37"/>
      <c r="L7" s="103">
        <f t="shared" si="1"/>
        <v>0</v>
      </c>
      <c r="M7" s="103">
        <f t="shared" si="2"/>
        <v>0</v>
      </c>
      <c r="N7" s="103">
        <f t="shared" si="3"/>
        <v>1</v>
      </c>
      <c r="P7" s="12"/>
    </row>
    <row r="8" spans="2:16" ht="15.75" x14ac:dyDescent="0.25">
      <c r="B8" s="37"/>
      <c r="C8" s="39" t="str">
        <f>HLOOKUP($P$4,'Daten-Zusammensetzung Bauteil'!$B$4:$BC$10,Database!$B8,FALSE)</f>
        <v>Wanddispersion [m2]</v>
      </c>
      <c r="D8" s="99" t="str">
        <f>HLOOKUP($P$4,'Daten-Funktion'!$B$4:$BC$10,Database!$B8,FALSE)</f>
        <v>G3.2</v>
      </c>
      <c r="E8" s="39">
        <f>HLOOKUP($P$4,'Daten-THGE'!$B$4:$BC$10,Database!$B8,FALSE)</f>
        <v>0.15111111111111114</v>
      </c>
      <c r="F8" s="39">
        <f>HLOOKUP($P$4,'Daten-Dichte'!$B$4:$BC$10,Database!$B8,FALSE)</f>
        <v>150</v>
      </c>
      <c r="G8" s="39">
        <f>HLOOKUP($P$4,'Daten-Dicke'!$B$4:$BC$10,Database!$B8,FALSE)</f>
        <v>0.2</v>
      </c>
      <c r="H8" s="44"/>
      <c r="I8" s="49">
        <f t="shared" si="0"/>
        <v>4.5333333333333344E-2</v>
      </c>
      <c r="J8" s="37"/>
      <c r="K8" s="37"/>
      <c r="L8" s="103">
        <f t="shared" si="1"/>
        <v>0</v>
      </c>
      <c r="M8" s="103">
        <f t="shared" si="2"/>
        <v>0</v>
      </c>
      <c r="N8" s="103">
        <f t="shared" si="3"/>
        <v>1</v>
      </c>
      <c r="P8" s="12"/>
    </row>
    <row r="9" spans="2:16" ht="15.75" x14ac:dyDescent="0.25">
      <c r="B9" s="37"/>
      <c r="C9" s="39">
        <f>HLOOKUP($P$4,'Daten-Zusammensetzung Bauteil'!$B$4:$BC$10,Database!$B9,FALSE)</f>
        <v>0</v>
      </c>
      <c r="D9" s="99">
        <f>HLOOKUP($P$4,'Daten-Funktion'!$B$4:$BC$10,Database!$B9,FALSE)</f>
        <v>0</v>
      </c>
      <c r="E9" s="39">
        <f>HLOOKUP($P$4,'Daten-THGE'!$B$4:$BC$10,Database!$B9,FALSE)</f>
        <v>0</v>
      </c>
      <c r="F9" s="39">
        <f>HLOOKUP($P$4,'Daten-Dichte'!$B$4:$BC$10,Database!$B9,FALSE)</f>
        <v>0</v>
      </c>
      <c r="G9" s="39">
        <f>HLOOKUP($P$4,'Daten-Dicke'!$B$4:$BC$10,Database!$B9,FALSE)</f>
        <v>0</v>
      </c>
      <c r="H9" s="44"/>
      <c r="I9" s="49">
        <f t="shared" si="0"/>
        <v>0</v>
      </c>
      <c r="J9" s="37"/>
      <c r="K9" s="37"/>
      <c r="L9" s="119">
        <f t="shared" si="1"/>
        <v>0</v>
      </c>
      <c r="M9" s="119">
        <f t="shared" si="2"/>
        <v>0</v>
      </c>
      <c r="N9" s="119">
        <f t="shared" si="3"/>
        <v>0</v>
      </c>
    </row>
    <row r="10" spans="2:16" ht="15.75" x14ac:dyDescent="0.25">
      <c r="B10" s="37"/>
      <c r="C10" s="39"/>
      <c r="D10" s="99"/>
      <c r="E10" s="39"/>
      <c r="F10" s="39"/>
      <c r="G10" s="39"/>
      <c r="H10" s="49"/>
      <c r="I10" s="49"/>
      <c r="J10" s="37"/>
      <c r="K10" s="37"/>
      <c r="L10" s="104">
        <f>SUMPRODUCT(I4:I9*L4:L9)/SUM(I4:I9)</f>
        <v>0.67352180674496531</v>
      </c>
      <c r="M10" s="104">
        <f>SUMPRODUCT(I4:I9*M4:M9)/SUM(I4:I9)</f>
        <v>0.25733925134507291</v>
      </c>
      <c r="N10" s="104">
        <f>SUMPRODUCT(I4:I9*N4:N9)/SUM(I4:I9)</f>
        <v>6.9138941909961657E-2</v>
      </c>
      <c r="O10" s="104">
        <f>SUM(L10:N10)</f>
        <v>0.99999999999999989</v>
      </c>
    </row>
    <row r="12" spans="2:16" ht="20.25" x14ac:dyDescent="0.3">
      <c r="B12" s="41" t="s">
        <v>362</v>
      </c>
      <c r="C12" s="40" t="s">
        <v>227</v>
      </c>
      <c r="D12" s="93" t="s">
        <v>307</v>
      </c>
      <c r="E12" s="40" t="s">
        <v>182</v>
      </c>
      <c r="F12" s="40" t="s">
        <v>226</v>
      </c>
      <c r="G12" s="40" t="s">
        <v>242</v>
      </c>
      <c r="H12" s="42" t="s">
        <v>243</v>
      </c>
      <c r="I12" s="40" t="s">
        <v>193</v>
      </c>
      <c r="J12" s="38" t="s">
        <v>194</v>
      </c>
      <c r="K12" s="37"/>
    </row>
    <row r="13" spans="2:16" ht="15.75" x14ac:dyDescent="0.25">
      <c r="B13" s="40" t="s">
        <v>375</v>
      </c>
      <c r="C13" s="39" t="str">
        <f>HLOOKUP($P$13,'Daten-Zusammensetzung Bauteil'!$B$4:$BC$10,Database!$B4,FALSE)</f>
        <v>4 x 12.5 mm Gipskartonplatten [kg]</v>
      </c>
      <c r="D13" s="99" t="str">
        <f>MID(HLOOKUP($P$13,'Daten-Funktion'!$B$4:$BC$10,Database!$B4,FALSE),1,2)</f>
        <v>C2</v>
      </c>
      <c r="E13" s="39">
        <f>HLOOKUP($P$13,'Daten-THGE'!$B$4:$BC$10,Database!$B4,FALSE)</f>
        <v>9.7666666666666666E-3</v>
      </c>
      <c r="F13" s="39">
        <f>HLOOKUP($P$13,'Daten-Dichte'!$B$4:$BC$10,Database!$B4,FALSE)</f>
        <v>850</v>
      </c>
      <c r="G13" s="39">
        <f>HLOOKUP($P$13,'Daten-Dicke'!$B$4:$BC$10,Database!$B4,FALSE)</f>
        <v>5</v>
      </c>
      <c r="H13" s="43"/>
      <c r="I13" s="49">
        <f>IF(H13=0,F13*G13/100*E13,E13*F13*H13/1000)</f>
        <v>0.4150833333333333</v>
      </c>
      <c r="J13" s="50">
        <f>SUM(I13:I18)*Gebäude!$C$20</f>
        <v>820.54268659999991</v>
      </c>
      <c r="K13" s="40" t="s">
        <v>244</v>
      </c>
      <c r="L13" s="103">
        <f>IF(D13="C2",1,0)</f>
        <v>1</v>
      </c>
      <c r="M13" s="103">
        <f>IF(D13="G3.1",1,0)</f>
        <v>0</v>
      </c>
      <c r="N13" s="103">
        <f>IF(D13="G3.2",1,0)</f>
        <v>0</v>
      </c>
      <c r="P13" s="12" t="s">
        <v>168</v>
      </c>
    </row>
    <row r="14" spans="2:16" ht="15.75" x14ac:dyDescent="0.25">
      <c r="B14" s="40" t="str">
        <f>Gebäude!G4</f>
        <v>Mischbauweise</v>
      </c>
      <c r="C14" s="39" t="str">
        <f>HLOOKUP($P$13,'Daten-Zusammensetzung Bauteil'!$B$4:$BC$10,Database!$B5,FALSE)</f>
        <v>Stahlprofile verzinkt [kg]</v>
      </c>
      <c r="D14" s="99" t="str">
        <f>MID(HLOOKUP($P$13,'Daten-Funktion'!$B$4:$BC$10,Database!$B5,FALSE),1,2)</f>
        <v>C2</v>
      </c>
      <c r="E14" s="39">
        <f>HLOOKUP($P$13,'Daten-THGE'!$B$4:$BC$10,Database!$B5,FALSE)</f>
        <v>2.4466666666666668E-2</v>
      </c>
      <c r="F14" s="39">
        <f>HLOOKUP($P$13,'Daten-Dichte'!$B$4:$BC$10,Database!$B5,FALSE)</f>
        <v>7850</v>
      </c>
      <c r="G14" s="39">
        <f>HLOOKUP($P$13,'Daten-Dicke'!$B$4:$BC$10,Database!$B5,FALSE)</f>
        <v>3.3630573248407646E-2</v>
      </c>
      <c r="H14" s="43"/>
      <c r="I14" s="49">
        <f t="shared" ref="I14:I18" si="4">IF(H14=0,F14*G14/100*E14,E14*F14*H14/1000)</f>
        <v>6.4592000000000011E-2</v>
      </c>
      <c r="J14" s="39"/>
      <c r="K14" s="37"/>
      <c r="L14" s="103">
        <f t="shared" ref="L14:L18" si="5">IF(D14="C2",1,0)</f>
        <v>1</v>
      </c>
      <c r="M14" s="103">
        <f t="shared" ref="M14:M18" si="6">IF(D14="G3.1",1,0)</f>
        <v>0</v>
      </c>
      <c r="N14" s="103">
        <f t="shared" ref="N14:N18" si="7">IF(D14="G3.2",1,0)</f>
        <v>0</v>
      </c>
      <c r="P14" s="12"/>
    </row>
    <row r="15" spans="2:16" ht="15.75" x14ac:dyDescent="0.25">
      <c r="B15" s="40" t="str">
        <f>Gebäude!G13</f>
        <v>Geneigtes Dach</v>
      </c>
      <c r="C15" s="39" t="str">
        <f>HLOOKUP($P$13,'Daten-Zusammensetzung Bauteil'!$B$4:$BC$10,Database!$B6,FALSE)</f>
        <v>Glaswolle [kg]</v>
      </c>
      <c r="D15" s="99" t="str">
        <f>MID(HLOOKUP($P$13,'Daten-Funktion'!$B$4:$BC$10,Database!$B6,FALSE),1,2)</f>
        <v>C2</v>
      </c>
      <c r="E15" s="39">
        <f>HLOOKUP($P$13,'Daten-THGE'!$B$4:$BC$10,Database!$B6,FALSE)</f>
        <v>3.7666666666666661E-2</v>
      </c>
      <c r="F15" s="39">
        <f>HLOOKUP($P$13,'Daten-Dichte'!$B$4:$BC$10,Database!$B6,FALSE)</f>
        <v>20</v>
      </c>
      <c r="G15" s="39">
        <f>HLOOKUP($P$13,'Daten-Dicke'!$B$4:$BC$10,Database!$B6,FALSE)</f>
        <v>5</v>
      </c>
      <c r="H15" s="44"/>
      <c r="I15" s="49">
        <f t="shared" si="4"/>
        <v>3.7666666666666661E-2</v>
      </c>
      <c r="J15" s="37"/>
      <c r="K15" s="37"/>
      <c r="L15" s="103">
        <f t="shared" si="5"/>
        <v>1</v>
      </c>
      <c r="M15" s="103">
        <f t="shared" si="6"/>
        <v>0</v>
      </c>
      <c r="N15" s="103">
        <f t="shared" si="7"/>
        <v>0</v>
      </c>
      <c r="P15" s="12"/>
    </row>
    <row r="16" spans="2:16" ht="15.75" x14ac:dyDescent="0.25">
      <c r="B16" s="37"/>
      <c r="C16" s="39" t="str">
        <f>HLOOKUP($P$13,'Daten-Zusammensetzung Bauteil'!$B$4:$BC$10,Database!$B7,FALSE)</f>
        <v>Spachtel [kg]</v>
      </c>
      <c r="D16" s="99" t="str">
        <f>HLOOKUP($P$13,'Daten-Funktion'!$B$4:$BC$10,Database!$B7,FALSE)</f>
        <v>G3.2</v>
      </c>
      <c r="E16" s="39">
        <f>HLOOKUP($P$13,'Daten-THGE'!$B$4:$BC$10,Database!$B7,FALSE)</f>
        <v>5.1666666666666666E-3</v>
      </c>
      <c r="F16" s="39">
        <f>HLOOKUP($P$13,'Daten-Dichte'!$B$4:$BC$10,Database!$B7,FALSE)</f>
        <v>925</v>
      </c>
      <c r="G16" s="39">
        <f>HLOOKUP($P$13,'Daten-Dicke'!$B$4:$BC$10,Database!$B7,FALSE)</f>
        <v>1.2108108108108109</v>
      </c>
      <c r="H16" s="44"/>
      <c r="I16" s="49">
        <f t="shared" si="4"/>
        <v>5.7866666666666663E-2</v>
      </c>
      <c r="J16" s="37"/>
      <c r="K16" s="37"/>
      <c r="L16" s="103">
        <f t="shared" si="5"/>
        <v>0</v>
      </c>
      <c r="M16" s="103">
        <f t="shared" si="6"/>
        <v>0</v>
      </c>
      <c r="N16" s="103">
        <f t="shared" si="7"/>
        <v>1</v>
      </c>
      <c r="P16" s="12"/>
    </row>
    <row r="17" spans="2:16" ht="15.75" x14ac:dyDescent="0.25">
      <c r="B17" s="37"/>
      <c r="C17" s="39" t="str">
        <f>HLOOKUP($P$13,'Daten-Zusammensetzung Bauteil'!$B$4:$BC$10,Database!$B8,FALSE)</f>
        <v>Wanddispersion [m2]</v>
      </c>
      <c r="D17" s="99" t="str">
        <f>HLOOKUP($P$13,'Daten-Funktion'!$B$4:$BC$10,Database!$B8,FALSE)</f>
        <v>G3.2</v>
      </c>
      <c r="E17" s="39">
        <f>HLOOKUP($P$13,'Daten-THGE'!$B$4:$BC$10,Database!$B8,FALSE)</f>
        <v>0.15111111111111114</v>
      </c>
      <c r="F17" s="39">
        <f>HLOOKUP($P$13,'Daten-Dichte'!$B$4:$BC$10,Database!$B8,FALSE)</f>
        <v>150</v>
      </c>
      <c r="G17" s="39">
        <f>HLOOKUP($P$13,'Daten-Dicke'!$B$4:$BC$10,Database!$B8,FALSE)</f>
        <v>0.2</v>
      </c>
      <c r="H17" s="44"/>
      <c r="I17" s="49">
        <f t="shared" si="4"/>
        <v>4.5333333333333344E-2</v>
      </c>
      <c r="J17" s="37"/>
      <c r="K17" s="37"/>
      <c r="L17" s="103">
        <f t="shared" si="5"/>
        <v>0</v>
      </c>
      <c r="M17" s="103">
        <f t="shared" si="6"/>
        <v>0</v>
      </c>
      <c r="N17" s="103">
        <f t="shared" si="7"/>
        <v>1</v>
      </c>
      <c r="P17" s="12"/>
    </row>
    <row r="18" spans="2:16" ht="15.75" x14ac:dyDescent="0.25">
      <c r="B18" s="37"/>
      <c r="C18" s="39">
        <f>HLOOKUP($P$13,'Daten-Zusammensetzung Bauteil'!$B$4:$BC$10,Database!$B9,FALSE)</f>
        <v>0</v>
      </c>
      <c r="D18" s="99">
        <f>HLOOKUP($P$13,'Daten-Funktion'!$B$4:$BC$10,Database!$B9,FALSE)</f>
        <v>0</v>
      </c>
      <c r="E18" s="39">
        <f>HLOOKUP($P$13,'Daten-THGE'!$B$4:$BC$10,Database!$B9,FALSE)</f>
        <v>0</v>
      </c>
      <c r="F18" s="39">
        <f>HLOOKUP($P$13,'Daten-Dichte'!$B$4:$BC$10,Database!$B9,FALSE)</f>
        <v>0</v>
      </c>
      <c r="G18" s="39">
        <f>HLOOKUP($P$13,'Daten-Dicke'!$B$4:$BC$10,Database!$B9,FALSE)</f>
        <v>0</v>
      </c>
      <c r="H18" s="44"/>
      <c r="I18" s="49">
        <f t="shared" si="4"/>
        <v>0</v>
      </c>
      <c r="J18" s="37"/>
      <c r="K18" s="37"/>
      <c r="L18" s="103">
        <f t="shared" si="5"/>
        <v>0</v>
      </c>
      <c r="M18" s="103">
        <f t="shared" si="6"/>
        <v>0</v>
      </c>
      <c r="N18" s="103">
        <f t="shared" si="7"/>
        <v>0</v>
      </c>
    </row>
    <row r="19" spans="2:16" ht="15.75" x14ac:dyDescent="0.25">
      <c r="B19" s="37"/>
      <c r="C19" s="39"/>
      <c r="D19" s="99"/>
      <c r="E19" s="39"/>
      <c r="F19" s="39"/>
      <c r="G19" s="39"/>
      <c r="H19" s="49"/>
      <c r="I19" s="49"/>
      <c r="J19" s="37"/>
      <c r="K19" s="37"/>
      <c r="L19" s="104">
        <f>SUMPRODUCT(I13:I18*L13:L18)/SUM(I13:I18)</f>
        <v>0.83369377092928443</v>
      </c>
      <c r="M19" s="104">
        <f>SUMPRODUCT(I13:I18*M13:M18)/SUM(I13:I18)</f>
        <v>0</v>
      </c>
      <c r="N19" s="104">
        <f>SUMPRODUCT(I13:I18*N13:N18)/SUM(I13:I18)</f>
        <v>0.16630622907071566</v>
      </c>
      <c r="O19" s="104">
        <f>SUM(L19:N19)</f>
        <v>1</v>
      </c>
    </row>
    <row r="22" spans="2:16" x14ac:dyDescent="0.25">
      <c r="B22" s="47" t="s">
        <v>241</v>
      </c>
    </row>
    <row r="23" spans="2:16" ht="20.25" x14ac:dyDescent="0.3">
      <c r="B23" s="41" t="s">
        <v>362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6" ht="15.75" x14ac:dyDescent="0.25">
      <c r="B24" s="40" t="s">
        <v>192</v>
      </c>
      <c r="C24" s="39" t="str">
        <f>HLOOKUP($P$24,'Daten-Zusammensetzung Bauteil'!$B$4:$BC$10,Database!$B4,FALSE)</f>
        <v>4 x 12.5 mm Gipskartonplatten [kg]</v>
      </c>
      <c r="D24" s="99" t="str">
        <f>MID(HLOOKUP($P$13,'Daten-Funktion'!$B$4:$BC$10,Database!$B4,FALSE),1,2)</f>
        <v>C2</v>
      </c>
      <c r="E24" s="39">
        <f>HLOOKUP($P$24,'Daten-THGE'!$B$4:$BC$10,Database!$B4,FALSE)</f>
        <v>9.7666666666666666E-3</v>
      </c>
      <c r="F24" s="39">
        <f>HLOOKUP($P$24,'Daten-Dichte'!$B$4:$BC$10,Database!$B4,FALSE)</f>
        <v>850</v>
      </c>
      <c r="G24" s="39">
        <f>HLOOKUP($P$24,'Daten-Dicke'!$B$4:$BC$10,Database!$B4,FALSE)</f>
        <v>5</v>
      </c>
      <c r="H24" s="43"/>
      <c r="I24" s="49">
        <f>IF(H24=0,F24*G24/100*E24,E24*F24*H24/1000)</f>
        <v>0.4150833333333333</v>
      </c>
      <c r="J24" s="48">
        <f>SUM(I24:I29)*Gebäude!$C$19</f>
        <v>351.66115139999999</v>
      </c>
      <c r="K24" s="40" t="s">
        <v>244</v>
      </c>
      <c r="P24" s="12" t="str">
        <f>IF($B$25=Database!$H$4,VLOOKUP($B$26,Database!$D$18:$G$19,4,FALSE),VLOOKUP(Innenwand!$B$25,Database!$H$5:$P$6,9,FALSE))</f>
        <v>9d</v>
      </c>
    </row>
    <row r="25" spans="2:16" ht="15.75" x14ac:dyDescent="0.25">
      <c r="B25" s="42" t="s">
        <v>1</v>
      </c>
      <c r="C25" s="39" t="str">
        <f>HLOOKUP($P$24,'Daten-Zusammensetzung Bauteil'!$B$4:$BC$10,Database!$B5,FALSE)</f>
        <v>Stahlprofile verzinkt [kg]</v>
      </c>
      <c r="D25" s="99" t="str">
        <f>MID(HLOOKUP($P$13,'Daten-Funktion'!$B$4:$BC$10,Database!$B5,FALSE),1,2)</f>
        <v>C2</v>
      </c>
      <c r="E25" s="39">
        <f>HLOOKUP($P$24,'Daten-THGE'!$B$4:$BC$10,Database!$B5,FALSE)</f>
        <v>2.4466666666666668E-2</v>
      </c>
      <c r="F25" s="39">
        <f>HLOOKUP($P$24,'Daten-Dichte'!$B$4:$BC$10,Database!$B5,FALSE)</f>
        <v>7850</v>
      </c>
      <c r="G25" s="39">
        <f>HLOOKUP($P$24,'Daten-Dicke'!$B$4:$BC$10,Database!$B5,FALSE)</f>
        <v>3.3630573248407646E-2</v>
      </c>
      <c r="H25" s="43"/>
      <c r="I25" s="49">
        <f t="shared" ref="I25:I29" si="8">IF(H25=0,F25*G25/100*E25,E25*F25*H25/1000)</f>
        <v>6.4592000000000011E-2</v>
      </c>
      <c r="J25" s="39"/>
      <c r="K25" s="37"/>
      <c r="P25" s="12"/>
    </row>
    <row r="26" spans="2:16" ht="15.75" x14ac:dyDescent="0.25">
      <c r="B26" s="42" t="s">
        <v>236</v>
      </c>
      <c r="C26" s="39" t="str">
        <f>HLOOKUP($P$24,'Daten-Zusammensetzung Bauteil'!$B$4:$BC$10,Database!$B6,FALSE)</f>
        <v>Glaswolle [kg]</v>
      </c>
      <c r="D26" s="99" t="str">
        <f>MID(HLOOKUP($P$13,'Daten-Funktion'!$B$4:$BC$10,Database!$B6,FALSE),1,2)</f>
        <v>C2</v>
      </c>
      <c r="E26" s="39">
        <f>HLOOKUP($P$24,'Daten-THGE'!$B$4:$BC$10,Database!$B6,FALSE)</f>
        <v>3.7666666666666661E-2</v>
      </c>
      <c r="F26" s="39">
        <f>HLOOKUP($P$24,'Daten-Dichte'!$B$4:$BC$10,Database!$B6,FALSE)</f>
        <v>20</v>
      </c>
      <c r="G26" s="39">
        <f>HLOOKUP($P$24,'Daten-Dicke'!$B$4:$BC$10,Database!$B6,FALSE)</f>
        <v>5</v>
      </c>
      <c r="H26" s="44"/>
      <c r="I26" s="49">
        <f t="shared" si="8"/>
        <v>3.7666666666666661E-2</v>
      </c>
      <c r="J26" s="37"/>
      <c r="K26" s="37"/>
    </row>
    <row r="27" spans="2:16" ht="15.75" x14ac:dyDescent="0.25">
      <c r="C27" s="39" t="str">
        <f>HLOOKUP($P$24,'Daten-Zusammensetzung Bauteil'!$B$4:$BC$10,Database!$B7,FALSE)</f>
        <v>Spachtel [kg]</v>
      </c>
      <c r="D27" s="99" t="str">
        <f>HLOOKUP($P$13,'Daten-Funktion'!$B$4:$BC$10,Database!$B7,FALSE)</f>
        <v>G3.2</v>
      </c>
      <c r="E27" s="39">
        <f>HLOOKUP($P$24,'Daten-THGE'!$B$4:$BC$10,Database!$B7,FALSE)</f>
        <v>5.1666666666666666E-3</v>
      </c>
      <c r="F27" s="39">
        <f>HLOOKUP($P$24,'Daten-Dichte'!$B$4:$BC$10,Database!$B7,FALSE)</f>
        <v>925</v>
      </c>
      <c r="G27" s="39">
        <f>HLOOKUP($P$24,'Daten-Dicke'!$B$4:$BC$10,Database!$B7,FALSE)</f>
        <v>1.2108108108108109</v>
      </c>
      <c r="H27" s="44"/>
      <c r="I27" s="49">
        <f t="shared" si="8"/>
        <v>5.7866666666666663E-2</v>
      </c>
      <c r="J27" s="37"/>
      <c r="K27" s="37"/>
    </row>
    <row r="28" spans="2:16" ht="15.75" x14ac:dyDescent="0.25">
      <c r="C28" s="39" t="str">
        <f>HLOOKUP($P$24,'Daten-Zusammensetzung Bauteil'!$B$4:$BC$10,Database!$B8,FALSE)</f>
        <v>Wanddispersion [m2]</v>
      </c>
      <c r="D28" s="99" t="str">
        <f>HLOOKUP($P$13,'Daten-Funktion'!$B$4:$BC$10,Database!$B8,FALSE)</f>
        <v>G3.2</v>
      </c>
      <c r="E28" s="39">
        <f>HLOOKUP($P$24,'Daten-THGE'!$B$4:$BC$10,Database!$B8,FALSE)</f>
        <v>0.15111111111111114</v>
      </c>
      <c r="F28" s="39">
        <f>HLOOKUP($P$24,'Daten-Dichte'!$B$4:$BC$10,Database!$B8,FALSE)</f>
        <v>150</v>
      </c>
      <c r="G28" s="39">
        <f>HLOOKUP($P$24,'Daten-Dicke'!$B$4:$BC$10,Database!$B8,FALSE)</f>
        <v>0.2</v>
      </c>
      <c r="H28" s="44"/>
      <c r="I28" s="49">
        <f t="shared" si="8"/>
        <v>4.5333333333333344E-2</v>
      </c>
      <c r="J28" s="37"/>
      <c r="K28" s="37"/>
    </row>
    <row r="29" spans="2:16" ht="15.75" x14ac:dyDescent="0.25">
      <c r="C29" s="39">
        <f>HLOOKUP($P$24,'Daten-Zusammensetzung Bauteil'!$B$4:$BC$10,Database!$B9,FALSE)</f>
        <v>0</v>
      </c>
      <c r="D29" s="99">
        <f>HLOOKUP($P$13,'Daten-Funktion'!$B$4:$BC$10,Database!$B9,FALSE)</f>
        <v>0</v>
      </c>
      <c r="E29" s="39">
        <f>HLOOKUP($P$24,'Daten-THGE'!$B$4:$BC$10,Database!$B9,FALSE)</f>
        <v>0</v>
      </c>
      <c r="F29" s="39">
        <f>HLOOKUP($P$24,'Daten-Dichte'!$B$4:$BC$10,Database!$B9,FALSE)</f>
        <v>0</v>
      </c>
      <c r="G29" s="39">
        <f>HLOOKUP($P$24,'Daten-Dicke'!$B$4:$BC$10,Database!$B9,FALSE)</f>
        <v>0</v>
      </c>
      <c r="H29" s="44"/>
      <c r="I29" s="49">
        <f t="shared" si="8"/>
        <v>0</v>
      </c>
      <c r="J29" s="37"/>
      <c r="K29" s="37"/>
    </row>
    <row r="30" spans="2:16" ht="15.75" x14ac:dyDescent="0.25">
      <c r="B30" s="37"/>
      <c r="C30" s="39"/>
      <c r="D30" s="99"/>
      <c r="E30" s="39"/>
      <c r="F30" s="39"/>
      <c r="G30" s="39"/>
      <c r="I30" s="49"/>
      <c r="J30" s="37"/>
      <c r="K30" s="37"/>
      <c r="L30" s="107" t="s">
        <v>392</v>
      </c>
      <c r="M30" s="107" t="s">
        <v>418</v>
      </c>
      <c r="N30" s="107" t="s">
        <v>419</v>
      </c>
      <c r="O30" s="100"/>
    </row>
    <row r="31" spans="2:16" ht="20.25" x14ac:dyDescent="0.3">
      <c r="B31" s="41" t="s">
        <v>361</v>
      </c>
      <c r="C31" s="40" t="s">
        <v>227</v>
      </c>
      <c r="D31" s="93"/>
      <c r="E31" s="40" t="s">
        <v>182</v>
      </c>
      <c r="F31" s="40" t="s">
        <v>226</v>
      </c>
      <c r="G31" s="40" t="s">
        <v>242</v>
      </c>
      <c r="H31" s="42" t="s">
        <v>243</v>
      </c>
      <c r="I31" s="40" t="s">
        <v>193</v>
      </c>
      <c r="J31" s="38" t="s">
        <v>194</v>
      </c>
      <c r="K31" s="37"/>
    </row>
    <row r="32" spans="2:16" ht="15.75" x14ac:dyDescent="0.25">
      <c r="B32" s="40" t="s">
        <v>374</v>
      </c>
      <c r="C32" s="39" t="str">
        <f>HLOOKUP($P$32,'Daten-Zusammensetzung Bauteil'!$B$4:$BC$14,Database!$B4,FALSE)</f>
        <v>15 cm Kalksandstein [kg]</v>
      </c>
      <c r="D32" s="99" t="str">
        <f>MID(HLOOKUP($P$32,'Daten-Funktion'!$B$4:$BC$14,Database!$B4,FALSE),1,2)</f>
        <v>C2</v>
      </c>
      <c r="E32" s="39">
        <f>HLOOKUP($P$32,'Daten-THGE'!$B$4:$BC$14,Database!$B4,FALSE)</f>
        <v>2.3000000000000004E-3</v>
      </c>
      <c r="F32" s="39">
        <f>HLOOKUP($P$32,'Daten-Dichte'!$B$4:$BC$14,Database!$B4,FALSE)</f>
        <v>1400</v>
      </c>
      <c r="G32" s="39">
        <f>HLOOKUP($P$32,'Daten-Dicke'!$B$4:$BC$14,Database!$B4,FALSE)</f>
        <v>15</v>
      </c>
      <c r="H32" s="43"/>
      <c r="I32" s="49">
        <f>IF(H32=0,F32*G32/100*E32,E32*F32*H32/1000)</f>
        <v>0.4830000000000001</v>
      </c>
      <c r="J32" s="50">
        <f>SUM(I32:I37)*Gebäude!$C$41</f>
        <v>581.07434550000016</v>
      </c>
      <c r="K32" s="40" t="s">
        <v>244</v>
      </c>
      <c r="L32" s="103">
        <f>IF(D32="C2",1,0)</f>
        <v>1</v>
      </c>
      <c r="M32" s="103">
        <f>IF(D32="G3.1",1,0)</f>
        <v>0</v>
      </c>
      <c r="N32" s="103">
        <f>IF(D32="G3.2",1,0)</f>
        <v>0</v>
      </c>
      <c r="P32" s="12" t="str">
        <f>VLOOKUP($B$33,Database!$Y$29:$AB$31,4,FALSE)</f>
        <v>9c</v>
      </c>
    </row>
    <row r="33" spans="2:16" ht="15.75" x14ac:dyDescent="0.25">
      <c r="B33" s="40" t="s">
        <v>232</v>
      </c>
      <c r="C33" s="39" t="str">
        <f>HLOOKUP($P$32,'Daten-Zusammensetzung Bauteil'!$B$4:$BC$14,Database!$B5,FALSE)</f>
        <v>Mörtel [kg]</v>
      </c>
      <c r="D33" s="99" t="str">
        <f>MID(HLOOKUP($P$32,'Daten-Funktion'!$B$4:$BC$14,Database!$B5,FALSE),1,2)</f>
        <v>C2</v>
      </c>
      <c r="E33" s="39">
        <f>HLOOKUP($P$32,'Daten-THGE'!$B$4:$BC$14,Database!$B5,FALSE)</f>
        <v>4.483333333333334E-3</v>
      </c>
      <c r="F33" s="39">
        <f>HLOOKUP($P$32,'Daten-Dichte'!$B$4:$BC$14,Database!$B5,FALSE)</f>
        <v>1550</v>
      </c>
      <c r="G33" s="39">
        <f>HLOOKUP($P$32,'Daten-Dicke'!$B$4:$BC$14,Database!$B5,FALSE)</f>
        <v>2.3935483870967742</v>
      </c>
      <c r="H33" s="43"/>
      <c r="I33" s="49">
        <f t="shared" ref="I33:I37" si="9">IF(H33=0,F33*G33/100*E33,E33*F33*H33/1000)</f>
        <v>0.16633166666666668</v>
      </c>
      <c r="J33" s="39"/>
      <c r="K33" s="37"/>
      <c r="L33" s="103">
        <f t="shared" ref="L33:L37" si="10">IF(D33="C2",1,0)</f>
        <v>1</v>
      </c>
      <c r="M33" s="103">
        <f t="shared" ref="M33:M37" si="11">IF(D33="G3.1",1,0)</f>
        <v>0</v>
      </c>
      <c r="N33" s="103">
        <f t="shared" ref="N33:N37" si="12">IF(D33="G3.2",1,0)</f>
        <v>0</v>
      </c>
      <c r="P33" s="12"/>
    </row>
    <row r="34" spans="2:16" ht="15.75" x14ac:dyDescent="0.25">
      <c r="B34" s="40"/>
      <c r="C34" s="39" t="str">
        <f>HLOOKUP($P$32,'Daten-Zusammensetzung Bauteil'!$B$4:$BC$14,Database!$B6,FALSE)</f>
        <v>Kalk-Zementgrundputz [kg]</v>
      </c>
      <c r="D34" s="99" t="str">
        <f>HLOOKUP($P$32,'Daten-Funktion'!$B$4:$BC$14,Database!$B6,FALSE)</f>
        <v>G3.1</v>
      </c>
      <c r="E34" s="39">
        <f>HLOOKUP($P$32,'Daten-THGE'!$B$4:$BC$14,Database!$B6,FALSE)</f>
        <v>8.2333333333333338E-3</v>
      </c>
      <c r="F34" s="39">
        <f>HLOOKUP($P$32,'Daten-Dichte'!$B$4:$BC$14,Database!$B6,FALSE)</f>
        <v>1550</v>
      </c>
      <c r="G34" s="39">
        <f>HLOOKUP($P$32,'Daten-Dicke'!$B$4:$BC$14,Database!$B6,FALSE)</f>
        <v>2.3225806451612905</v>
      </c>
      <c r="H34" s="44"/>
      <c r="I34" s="49">
        <f t="shared" si="9"/>
        <v>0.29640000000000005</v>
      </c>
      <c r="J34" s="37"/>
      <c r="K34" s="37"/>
      <c r="L34" s="103">
        <f t="shared" si="10"/>
        <v>0</v>
      </c>
      <c r="M34" s="103">
        <f t="shared" si="11"/>
        <v>1</v>
      </c>
      <c r="N34" s="103">
        <f t="shared" si="12"/>
        <v>0</v>
      </c>
      <c r="P34" s="12"/>
    </row>
    <row r="35" spans="2:16" ht="15.75" x14ac:dyDescent="0.25">
      <c r="B35" s="37"/>
      <c r="C35" s="39" t="str">
        <f>HLOOKUP($P$32,'Daten-Zusammensetzung Bauteil'!$B$4:$BC$14,Database!$B7,FALSE)</f>
        <v>Deckputz (Weissputz) [kg]</v>
      </c>
      <c r="D35" s="99" t="str">
        <f>HLOOKUP($P$32,'Daten-Funktion'!$B$4:$BC$14,Database!$B7,FALSE)</f>
        <v>G3.2</v>
      </c>
      <c r="E35" s="39">
        <f>HLOOKUP($P$32,'Daten-THGE'!$B$4:$BC$14,Database!$B7,FALSE)</f>
        <v>4.8999999999999998E-3</v>
      </c>
      <c r="F35" s="39">
        <f>HLOOKUP($P$32,'Daten-Dichte'!$B$4:$BC$14,Database!$B7,FALSE)</f>
        <v>1100</v>
      </c>
      <c r="G35" s="39">
        <f>HLOOKUP($P$32,'Daten-Dicke'!$B$4:$BC$14,Database!$B7,FALSE)</f>
        <v>0.63636363636363635</v>
      </c>
      <c r="H35" s="44"/>
      <c r="I35" s="49">
        <f t="shared" si="9"/>
        <v>3.4299999999999997E-2</v>
      </c>
      <c r="J35" s="37"/>
      <c r="K35" s="37"/>
      <c r="L35" s="103">
        <f t="shared" si="10"/>
        <v>0</v>
      </c>
      <c r="M35" s="103">
        <f t="shared" si="11"/>
        <v>0</v>
      </c>
      <c r="N35" s="103">
        <f t="shared" si="12"/>
        <v>1</v>
      </c>
      <c r="P35" s="12"/>
    </row>
    <row r="36" spans="2:16" ht="15.75" x14ac:dyDescent="0.25">
      <c r="B36" s="37"/>
      <c r="C36" s="39" t="str">
        <f>HLOOKUP($P$32,'Daten-Zusammensetzung Bauteil'!$B$4:$BC$14,Database!$B8,FALSE)</f>
        <v>Wanddispersion [m2]</v>
      </c>
      <c r="D36" s="99" t="str">
        <f>HLOOKUP($P$32,'Daten-Funktion'!$B$4:$BC$14,Database!$B8,FALSE)</f>
        <v>G3.2</v>
      </c>
      <c r="E36" s="39">
        <f>HLOOKUP($P$32,'Daten-THGE'!$B$4:$BC$14,Database!$B8,FALSE)</f>
        <v>0.15111111111111114</v>
      </c>
      <c r="F36" s="39">
        <f>HLOOKUP($P$32,'Daten-Dichte'!$B$4:$BC$14,Database!$B8,FALSE)</f>
        <v>150</v>
      </c>
      <c r="G36" s="39">
        <f>HLOOKUP($P$32,'Daten-Dicke'!$B$4:$BC$14,Database!$B8,FALSE)</f>
        <v>0.2</v>
      </c>
      <c r="H36" s="44"/>
      <c r="I36" s="49">
        <f t="shared" si="9"/>
        <v>4.5333333333333344E-2</v>
      </c>
      <c r="J36" s="37"/>
      <c r="K36" s="37"/>
      <c r="L36" s="103">
        <f t="shared" si="10"/>
        <v>0</v>
      </c>
      <c r="M36" s="103">
        <f t="shared" si="11"/>
        <v>0</v>
      </c>
      <c r="N36" s="103">
        <f t="shared" si="12"/>
        <v>1</v>
      </c>
      <c r="P36" s="12"/>
    </row>
    <row r="37" spans="2:16" ht="15.75" x14ac:dyDescent="0.25">
      <c r="B37" s="37"/>
      <c r="C37" s="39">
        <f>HLOOKUP($P$32,'Daten-Zusammensetzung Bauteil'!$B$4:$BC$14,Database!$B9,FALSE)</f>
        <v>0</v>
      </c>
      <c r="D37" s="99">
        <f>HLOOKUP($P$32,'Daten-Funktion'!$B$4:$BC$14,Database!$B9,FALSE)</f>
        <v>0</v>
      </c>
      <c r="E37" s="39">
        <f>HLOOKUP($P$32,'Daten-THGE'!$B$4:$BC$14,Database!$B9,FALSE)</f>
        <v>0</v>
      </c>
      <c r="F37" s="39">
        <f>HLOOKUP($P$32,'Daten-Dichte'!$B$4:$BC$14,Database!$B9,FALSE)</f>
        <v>0</v>
      </c>
      <c r="G37" s="39">
        <f>HLOOKUP($P$32,'Daten-Dicke'!$B$4:$BC$14,Database!$B9,FALSE)</f>
        <v>0</v>
      </c>
      <c r="H37" s="44"/>
      <c r="I37" s="49">
        <f t="shared" si="9"/>
        <v>0</v>
      </c>
      <c r="J37" s="37"/>
      <c r="K37" s="37"/>
      <c r="L37" s="103">
        <f t="shared" si="10"/>
        <v>0</v>
      </c>
      <c r="M37" s="103">
        <f t="shared" si="11"/>
        <v>0</v>
      </c>
      <c r="N37" s="103">
        <f t="shared" si="12"/>
        <v>0</v>
      </c>
    </row>
    <row r="38" spans="2:16" x14ac:dyDescent="0.25">
      <c r="L38" s="104">
        <f>SUMPRODUCT(I32:I37*L32:L37)/SUM(I32:I37)</f>
        <v>0.63326880346673287</v>
      </c>
      <c r="M38" s="104">
        <f>SUMPRODUCT(I32:I37*M32:M37)/SUM(I32:I37)</f>
        <v>0.28906779537042904</v>
      </c>
      <c r="N38" s="104">
        <f>SUMPRODUCT(I32:I37*N32:N37)/SUM(I32:I37)</f>
        <v>7.7663401162837931E-2</v>
      </c>
      <c r="O38" s="104">
        <f>SUM(L38:N38)</f>
        <v>0.99999999999999978</v>
      </c>
    </row>
    <row r="40" spans="2:16" ht="20.25" x14ac:dyDescent="0.3">
      <c r="B40" s="41" t="s">
        <v>361</v>
      </c>
      <c r="C40" s="40" t="s">
        <v>227</v>
      </c>
      <c r="D40" s="93"/>
      <c r="E40" s="40" t="s">
        <v>182</v>
      </c>
      <c r="F40" s="40" t="s">
        <v>226</v>
      </c>
      <c r="G40" s="40" t="s">
        <v>242</v>
      </c>
      <c r="H40" s="42" t="s">
        <v>243</v>
      </c>
      <c r="I40" s="40" t="s">
        <v>193</v>
      </c>
      <c r="J40" s="38" t="s">
        <v>194</v>
      </c>
      <c r="K40" s="37"/>
    </row>
    <row r="41" spans="2:16" ht="15.75" x14ac:dyDescent="0.25">
      <c r="B41" s="40" t="s">
        <v>375</v>
      </c>
      <c r="C41" s="39" t="str">
        <f>HLOOKUP($P$41,'Daten-Zusammensetzung Bauteil'!$B$4:$BC$14,Database!$B4,FALSE)</f>
        <v>2 x 12.5 mm und 2 x 10mm Gipsfaserplatten [kg]</v>
      </c>
      <c r="D41" s="99" t="str">
        <f>MID(HLOOKUP($P$41,'Daten-Funktion'!$B$4:$BC$14,Database!$B4,FALSE),1,2)</f>
        <v>C2</v>
      </c>
      <c r="E41" s="39">
        <f>HLOOKUP($P$41,'Daten-THGE'!$B$4:$BC$14,Database!$B4,FALSE)</f>
        <v>1.7900000000000003E-2</v>
      </c>
      <c r="F41" s="39">
        <f>HLOOKUP($P$41,'Daten-Dichte'!$B$4:$BC$14,Database!$B4,FALSE)</f>
        <v>1200</v>
      </c>
      <c r="G41" s="39">
        <f>HLOOKUP($P$41,'Daten-Dicke'!$B$4:$BC$14,Database!$B4,FALSE)</f>
        <v>4.5</v>
      </c>
      <c r="H41" s="43"/>
      <c r="I41" s="49">
        <f>IF(H41=0,F41*G41/100*E41,E41*F41*H41/1000)</f>
        <v>0.96660000000000013</v>
      </c>
      <c r="J41" s="50">
        <f>SUM(I41:I46)*Gebäude!$C$42</f>
        <v>1556.8759847386668</v>
      </c>
      <c r="K41" s="40" t="s">
        <v>244</v>
      </c>
      <c r="L41" s="103">
        <f>IF(D41="C2",1,0)</f>
        <v>1</v>
      </c>
      <c r="M41" s="103">
        <f>IF(D41="G3.1",1,0)</f>
        <v>0</v>
      </c>
      <c r="N41" s="103">
        <f>IF(D41="G3.2",1,0)</f>
        <v>0</v>
      </c>
      <c r="P41" s="12" t="str">
        <f>VLOOKUP($B$42,Database!$Y$29:$AB$31,4,FALSE)</f>
        <v>9e</v>
      </c>
    </row>
    <row r="42" spans="2:16" ht="15.75" x14ac:dyDescent="0.25">
      <c r="B42" s="40" t="s">
        <v>1</v>
      </c>
      <c r="C42" s="39" t="str">
        <f>HLOOKUP($P$41,'Daten-Zusammensetzung Bauteil'!$B$4:$BC$14,Database!$B5,FALSE)</f>
        <v>Stahlprofile verzinkt [kg]</v>
      </c>
      <c r="D42" s="99" t="str">
        <f>MID(HLOOKUP($P$41,'Daten-Funktion'!$B$4:$BC$14,Database!$B5,FALSE),1,2)</f>
        <v>C2</v>
      </c>
      <c r="E42" s="39">
        <f>HLOOKUP($P$41,'Daten-THGE'!$B$4:$BC$14,Database!$B5,FALSE)</f>
        <v>2.4466666666666668E-2</v>
      </c>
      <c r="F42" s="39">
        <f>HLOOKUP($P$41,'Daten-Dichte'!$B$4:$BC$14,Database!$B5,FALSE)</f>
        <v>7850</v>
      </c>
      <c r="G42" s="39">
        <f>HLOOKUP($P$41,'Daten-Dicke'!$B$4:$BC$14,Database!$B5,FALSE)</f>
        <v>1.6799999999999999E-2</v>
      </c>
      <c r="H42" s="43"/>
      <c r="I42" s="49">
        <f t="shared" ref="I42:I46" si="13">IF(H42=0,F42*G42/100*E42,E42*F42*H42/1000)</f>
        <v>3.2266639999999999E-2</v>
      </c>
      <c r="J42" s="39"/>
      <c r="K42" s="37"/>
      <c r="L42" s="103">
        <f t="shared" ref="L42:L46" si="14">IF(D42="C2",1,0)</f>
        <v>1</v>
      </c>
      <c r="M42" s="103">
        <f t="shared" ref="M42:M46" si="15">IF(D42="G3.1",1,0)</f>
        <v>0</v>
      </c>
      <c r="N42" s="103">
        <f t="shared" ref="N42:N46" si="16">IF(D42="G3.2",1,0)</f>
        <v>0</v>
      </c>
      <c r="P42" s="12"/>
    </row>
    <row r="43" spans="2:16" ht="15.75" x14ac:dyDescent="0.25">
      <c r="B43" s="40"/>
      <c r="C43" s="39" t="str">
        <f>HLOOKUP($P$41,'Daten-Zusammensetzung Bauteil'!$B$4:$BC$14,Database!$B6,FALSE)</f>
        <v>Steinwolle [kg]</v>
      </c>
      <c r="D43" s="99" t="str">
        <f>MID(HLOOKUP($P$41,'Daten-Funktion'!$B$4:$BC$14,Database!$B6,FALSE),1,2)</f>
        <v>C2</v>
      </c>
      <c r="E43" s="39">
        <f>HLOOKUP($P$41,'Daten-THGE'!$B$4:$BC$14,Database!$B6,FALSE)</f>
        <v>3.7666666666666661E-2</v>
      </c>
      <c r="F43" s="39">
        <f>HLOOKUP($P$41,'Daten-Dichte'!$B$4:$BC$14,Database!$B6,FALSE)</f>
        <v>32</v>
      </c>
      <c r="G43" s="39">
        <f>HLOOKUP($P$41,'Daten-Dicke'!$B$4:$BC$14,Database!$B6,FALSE)</f>
        <v>6.25</v>
      </c>
      <c r="H43" s="44"/>
      <c r="I43" s="49">
        <f t="shared" si="13"/>
        <v>7.5333333333333322E-2</v>
      </c>
      <c r="J43" s="37"/>
      <c r="K43" s="37"/>
      <c r="L43" s="103">
        <f t="shared" si="14"/>
        <v>1</v>
      </c>
      <c r="M43" s="103">
        <f t="shared" si="15"/>
        <v>0</v>
      </c>
      <c r="N43" s="103">
        <f t="shared" si="16"/>
        <v>0</v>
      </c>
      <c r="P43" s="12"/>
    </row>
    <row r="44" spans="2:16" ht="15.75" x14ac:dyDescent="0.25">
      <c r="B44" s="37"/>
      <c r="C44" s="39" t="str">
        <f>HLOOKUP($P$41,'Daten-Zusammensetzung Bauteil'!$B$4:$BC$14,Database!$B7,FALSE)</f>
        <v>Spachtel [kg]</v>
      </c>
      <c r="D44" s="99" t="str">
        <f>HLOOKUP($P$41,'Daten-Funktion'!$B$4:$BC$14,Database!$B7,FALSE)</f>
        <v>G3.2</v>
      </c>
      <c r="E44" s="39">
        <f>HLOOKUP($P$41,'Daten-THGE'!$B$4:$BC$14,Database!$B7,FALSE)</f>
        <v>5.1666666666666666E-3</v>
      </c>
      <c r="F44" s="39">
        <f>HLOOKUP($P$41,'Daten-Dichte'!$B$4:$BC$14,Database!$B7,FALSE)</f>
        <v>925</v>
      </c>
      <c r="G44" s="39">
        <f>HLOOKUP($P$41,'Daten-Dicke'!$B$4:$BC$14,Database!$B7,FALSE)</f>
        <v>1.2108108108108109</v>
      </c>
      <c r="H44" s="44"/>
      <c r="I44" s="49">
        <f t="shared" si="13"/>
        <v>5.7866666666666663E-2</v>
      </c>
      <c r="J44" s="37"/>
      <c r="K44" s="37"/>
      <c r="L44" s="103">
        <f t="shared" si="14"/>
        <v>0</v>
      </c>
      <c r="M44" s="103">
        <f t="shared" si="15"/>
        <v>0</v>
      </c>
      <c r="N44" s="103">
        <f t="shared" si="16"/>
        <v>1</v>
      </c>
      <c r="P44" s="12"/>
    </row>
    <row r="45" spans="2:16" ht="15.75" x14ac:dyDescent="0.25">
      <c r="B45" s="37"/>
      <c r="C45" s="39" t="str">
        <f>HLOOKUP($P$41,'Daten-Zusammensetzung Bauteil'!$B$4:$BC$14,Database!$B8,FALSE)</f>
        <v>Wanddispersion [m2]</v>
      </c>
      <c r="D45" s="99" t="str">
        <f>HLOOKUP($P$41,'Daten-Funktion'!$B$4:$BC$14,Database!$B8,FALSE)</f>
        <v>G3.2</v>
      </c>
      <c r="E45" s="39">
        <f>HLOOKUP($P$41,'Daten-THGE'!$B$4:$BC$14,Database!$B8,FALSE)</f>
        <v>0.15111111111111114</v>
      </c>
      <c r="F45" s="39">
        <f>HLOOKUP($P$41,'Daten-Dichte'!$B$4:$BC$14,Database!$B8,FALSE)</f>
        <v>150</v>
      </c>
      <c r="G45" s="39">
        <f>HLOOKUP($P$41,'Daten-Dicke'!$B$4:$BC$14,Database!$B8,FALSE)</f>
        <v>0.2</v>
      </c>
      <c r="H45" s="44"/>
      <c r="I45" s="49">
        <f t="shared" si="13"/>
        <v>4.5333333333333344E-2</v>
      </c>
      <c r="J45" s="37"/>
      <c r="K45" s="37"/>
      <c r="L45" s="103">
        <f t="shared" si="14"/>
        <v>0</v>
      </c>
      <c r="M45" s="103">
        <f t="shared" si="15"/>
        <v>0</v>
      </c>
      <c r="N45" s="103">
        <f t="shared" si="16"/>
        <v>1</v>
      </c>
      <c r="P45" s="12"/>
    </row>
    <row r="46" spans="2:16" ht="15.75" x14ac:dyDescent="0.25">
      <c r="B46" s="37"/>
      <c r="C46" s="39">
        <f>HLOOKUP($P$41,'Daten-Zusammensetzung Bauteil'!$B$4:$BC$14,Database!$B9,FALSE)</f>
        <v>0</v>
      </c>
      <c r="D46" s="99">
        <f>HLOOKUP($P$41,'Daten-Funktion'!$B$4:$BC$14,Database!$B9,FALSE)</f>
        <v>0</v>
      </c>
      <c r="E46" s="39">
        <f>HLOOKUP($P$41,'Daten-THGE'!$B$4:$BC$14,Database!$B9,FALSE)</f>
        <v>0</v>
      </c>
      <c r="F46" s="39">
        <f>HLOOKUP($P$41,'Daten-Dichte'!$B$4:$BC$14,Database!$B9,FALSE)</f>
        <v>0</v>
      </c>
      <c r="G46" s="39">
        <f>HLOOKUP($P$41,'Daten-Dicke'!$B$4:$BC$14,Database!$B9,FALSE)</f>
        <v>0</v>
      </c>
      <c r="H46" s="44"/>
      <c r="I46" s="49">
        <f t="shared" si="13"/>
        <v>0</v>
      </c>
      <c r="J46" s="37"/>
      <c r="K46" s="37"/>
      <c r="L46" s="103">
        <f t="shared" si="14"/>
        <v>0</v>
      </c>
      <c r="M46" s="103">
        <f t="shared" si="15"/>
        <v>0</v>
      </c>
      <c r="N46" s="103">
        <f t="shared" si="16"/>
        <v>0</v>
      </c>
    </row>
    <row r="47" spans="2:16" x14ac:dyDescent="0.25">
      <c r="L47" s="104">
        <f>SUMPRODUCT(I41:I46*L41:L46)/SUM(I41:I46)</f>
        <v>0.91234924211198087</v>
      </c>
      <c r="M47" s="104">
        <f>SUMPRODUCT(I41:I46*M41:M46)/SUM(I41:I46)</f>
        <v>0</v>
      </c>
      <c r="N47" s="104">
        <f>SUMPRODUCT(I41:I46*N41:N46)/SUM(I41:I46)</f>
        <v>8.7650757888018974E-2</v>
      </c>
      <c r="O47" s="104">
        <f>SUM(L47:N47)</f>
        <v>0.99999999999999989</v>
      </c>
    </row>
    <row r="50" spans="2:16" x14ac:dyDescent="0.25">
      <c r="B50" s="47" t="s">
        <v>241</v>
      </c>
    </row>
    <row r="51" spans="2:16" ht="20.25" x14ac:dyDescent="0.3">
      <c r="B51" s="41" t="s">
        <v>361</v>
      </c>
      <c r="C51" s="40" t="s">
        <v>227</v>
      </c>
      <c r="D51" s="93"/>
      <c r="E51" s="40" t="s">
        <v>182</v>
      </c>
      <c r="F51" s="40" t="s">
        <v>226</v>
      </c>
      <c r="G51" s="40" t="s">
        <v>242</v>
      </c>
      <c r="H51" s="42" t="s">
        <v>243</v>
      </c>
      <c r="I51" s="40" t="s">
        <v>193</v>
      </c>
      <c r="J51" s="38" t="s">
        <v>194</v>
      </c>
      <c r="K51" s="37"/>
    </row>
    <row r="52" spans="2:16" ht="15.75" x14ac:dyDescent="0.25">
      <c r="B52" s="40" t="s">
        <v>192</v>
      </c>
      <c r="C52" s="39" t="str">
        <f>HLOOKUP($P$52,'Daten-Zusammensetzung Bauteil'!$B$4:$BC$14,Database!$B4,FALSE)</f>
        <v>15 cm Kalksandstein [kg]</v>
      </c>
      <c r="D52" s="99" t="str">
        <f>MID(HLOOKUP($P$52,'Daten-Funktion'!$B$4:$BC$14,Database!$B4,FALSE),1,2)</f>
        <v>C2</v>
      </c>
      <c r="E52" s="39">
        <f>HLOOKUP($P$52,'Daten-THGE'!$B$4:$BC$14,Database!$B4,FALSE)</f>
        <v>2.3000000000000004E-3</v>
      </c>
      <c r="F52" s="39">
        <f>HLOOKUP($P$52,'Daten-Dichte'!$B$4:$BC$14,Database!$B4,FALSE)</f>
        <v>1400</v>
      </c>
      <c r="G52" s="39">
        <f>HLOOKUP($P$52,'Daten-Dicke'!$B$4:$BC$14,Database!$B4,FALSE)</f>
        <v>15</v>
      </c>
      <c r="H52" s="43"/>
      <c r="I52" s="49">
        <f>IF(H52=0,F52*G52/100*E52,E52*F52*H52/1000)</f>
        <v>0.4830000000000001</v>
      </c>
      <c r="J52" s="50">
        <f>SUM(I52:I57)*Gebäude!$C$41</f>
        <v>581.07434550000016</v>
      </c>
      <c r="K52" s="40" t="s">
        <v>244</v>
      </c>
      <c r="P52" s="12" t="str">
        <f>VLOOKUP($B$53,Database!$Y$29:$AB$31,4,FALSE)</f>
        <v>9c</v>
      </c>
    </row>
    <row r="53" spans="2:16" ht="15.75" x14ac:dyDescent="0.25">
      <c r="B53" s="42" t="s">
        <v>232</v>
      </c>
      <c r="C53" s="39" t="str">
        <f>HLOOKUP($P$52,'Daten-Zusammensetzung Bauteil'!$B$4:$BC$14,Database!$B5,FALSE)</f>
        <v>Mörtel [kg]</v>
      </c>
      <c r="D53" s="99" t="str">
        <f>MID(HLOOKUP($P$52,'Daten-Funktion'!$B$4:$BC$14,Database!$B5,FALSE),1,2)</f>
        <v>C2</v>
      </c>
      <c r="E53" s="39">
        <f>HLOOKUP($P$52,'Daten-THGE'!$B$4:$BC$14,Database!$B5,FALSE)</f>
        <v>4.483333333333334E-3</v>
      </c>
      <c r="F53" s="39">
        <f>HLOOKUP($P$52,'Daten-Dichte'!$B$4:$BC$14,Database!$B5,FALSE)</f>
        <v>1550</v>
      </c>
      <c r="G53" s="39">
        <f>HLOOKUP($P$52,'Daten-Dicke'!$B$4:$BC$14,Database!$B5,FALSE)</f>
        <v>2.3935483870967742</v>
      </c>
      <c r="H53" s="43"/>
      <c r="I53" s="49">
        <f t="shared" ref="I53:I57" si="17">IF(H53=0,F53*G53/100*E53,E53*F53*H53/1000)</f>
        <v>0.16633166666666668</v>
      </c>
      <c r="J53" s="39"/>
      <c r="K53" s="37"/>
      <c r="P53" s="12"/>
    </row>
    <row r="54" spans="2:16" ht="15.75" x14ac:dyDescent="0.25">
      <c r="B54" s="40"/>
      <c r="C54" s="39" t="str">
        <f>HLOOKUP($P$52,'Daten-Zusammensetzung Bauteil'!$B$4:$BC$14,Database!$B6,FALSE)</f>
        <v>Kalk-Zementgrundputz [kg]</v>
      </c>
      <c r="D54" s="99" t="str">
        <f>HLOOKUP($P$52,'Daten-Funktion'!$B$4:$BC$14,Database!$B6,FALSE)</f>
        <v>G3.1</v>
      </c>
      <c r="E54" s="39">
        <f>HLOOKUP($P$52,'Daten-THGE'!$B$4:$BC$14,Database!$B6,FALSE)</f>
        <v>8.2333333333333338E-3</v>
      </c>
      <c r="F54" s="39">
        <f>HLOOKUP($P$52,'Daten-Dichte'!$B$4:$BC$14,Database!$B6,FALSE)</f>
        <v>1550</v>
      </c>
      <c r="G54" s="39">
        <f>HLOOKUP($P$52,'Daten-Dicke'!$B$4:$BC$14,Database!$B6,FALSE)</f>
        <v>2.3225806451612905</v>
      </c>
      <c r="H54" s="44"/>
      <c r="I54" s="49">
        <f t="shared" si="17"/>
        <v>0.29640000000000005</v>
      </c>
      <c r="J54" s="37"/>
      <c r="K54" s="37"/>
      <c r="P54" s="12"/>
    </row>
    <row r="55" spans="2:16" ht="15.75" x14ac:dyDescent="0.25">
      <c r="B55" s="37"/>
      <c r="C55" s="39" t="str">
        <f>HLOOKUP($P$52,'Daten-Zusammensetzung Bauteil'!$B$4:$BC$14,Database!$B7,FALSE)</f>
        <v>Deckputz (Weissputz) [kg]</v>
      </c>
      <c r="D55" s="99" t="str">
        <f>HLOOKUP($P$52,'Daten-Funktion'!$B$4:$BC$14,Database!$B7,FALSE)</f>
        <v>G3.2</v>
      </c>
      <c r="E55" s="39">
        <f>HLOOKUP($P$52,'Daten-THGE'!$B$4:$BC$14,Database!$B7,FALSE)</f>
        <v>4.8999999999999998E-3</v>
      </c>
      <c r="F55" s="39">
        <f>HLOOKUP($P$52,'Daten-Dichte'!$B$4:$BC$14,Database!$B7,FALSE)</f>
        <v>1100</v>
      </c>
      <c r="G55" s="39">
        <f>HLOOKUP($P$52,'Daten-Dicke'!$B$4:$BC$14,Database!$B7,FALSE)</f>
        <v>0.63636363636363635</v>
      </c>
      <c r="H55" s="44"/>
      <c r="I55" s="49">
        <f t="shared" si="17"/>
        <v>3.4299999999999997E-2</v>
      </c>
      <c r="J55" s="37"/>
      <c r="K55" s="37"/>
      <c r="P55" s="12"/>
    </row>
    <row r="56" spans="2:16" ht="15.75" x14ac:dyDescent="0.25">
      <c r="B56" s="37"/>
      <c r="C56" s="39" t="str">
        <f>HLOOKUP($P$52,'Daten-Zusammensetzung Bauteil'!$B$4:$BC$14,Database!$B8,FALSE)</f>
        <v>Wanddispersion [m2]</v>
      </c>
      <c r="D56" s="99" t="str">
        <f>HLOOKUP($P$52,'Daten-Funktion'!$B$4:$BC$14,Database!$B8,FALSE)</f>
        <v>G3.2</v>
      </c>
      <c r="E56" s="39">
        <f>HLOOKUP($P$52,'Daten-THGE'!$B$4:$BC$14,Database!$B8,FALSE)</f>
        <v>0.15111111111111114</v>
      </c>
      <c r="F56" s="39">
        <f>HLOOKUP($P$52,'Daten-Dichte'!$B$4:$BC$14,Database!$B8,FALSE)</f>
        <v>150</v>
      </c>
      <c r="G56" s="39">
        <f>HLOOKUP($P$52,'Daten-Dicke'!$B$4:$BC$14,Database!$B8,FALSE)</f>
        <v>0.2</v>
      </c>
      <c r="H56" s="44"/>
      <c r="I56" s="49">
        <f t="shared" si="17"/>
        <v>4.5333333333333344E-2</v>
      </c>
      <c r="J56" s="37"/>
      <c r="K56" s="37"/>
      <c r="P56" s="12"/>
    </row>
    <row r="57" spans="2:16" ht="15.75" x14ac:dyDescent="0.25">
      <c r="B57" s="37"/>
      <c r="C57" s="39">
        <f>HLOOKUP($P$52,'Daten-Zusammensetzung Bauteil'!$B$4:$BC$14,Database!$B9,FALSE)</f>
        <v>0</v>
      </c>
      <c r="D57" s="99">
        <f>HLOOKUP($P$52,'Daten-Funktion'!$B$4:$BC$14,Database!$B9,FALSE)</f>
        <v>0</v>
      </c>
      <c r="E57" s="39">
        <f>HLOOKUP($P$52,'Daten-THGE'!$B$4:$BC$14,Database!$B9,FALSE)</f>
        <v>0</v>
      </c>
      <c r="F57" s="39">
        <f>HLOOKUP($P$52,'Daten-Dichte'!$B$4:$BC$14,Database!$B9,FALSE)</f>
        <v>0</v>
      </c>
      <c r="G57" s="39">
        <f>HLOOKUP($P$52,'Daten-Dicke'!$B$4:$BC$14,Database!$B9,FALSE)</f>
        <v>0</v>
      </c>
      <c r="H57" s="44"/>
      <c r="I57" s="49">
        <f t="shared" si="17"/>
        <v>0</v>
      </c>
      <c r="J57" s="37"/>
      <c r="K57" s="37"/>
    </row>
    <row r="58" spans="2:16" ht="15.75" x14ac:dyDescent="0.25">
      <c r="E58" s="39"/>
      <c r="F58" s="39"/>
      <c r="G58" s="39"/>
      <c r="H58" s="39"/>
      <c r="I58" s="49"/>
      <c r="J58" s="49"/>
      <c r="L58" s="100"/>
      <c r="M58" s="100"/>
      <c r="N58" s="100"/>
      <c r="O58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Database!$H$4:$H$6</xm:f>
          </x14:formula1>
          <xm:sqref>B25 B53</xm:sqref>
        </x14:dataValidation>
        <x14:dataValidation type="list" allowBlank="1" showInputMessage="1" showErrorMessage="1" xr:uid="{00000000-0002-0000-0800-000001000000}">
          <x14:formula1>
            <xm:f>Database!$D$18:$D$19</xm:f>
          </x14:formula1>
          <xm:sqref>B26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Anleitung</vt:lpstr>
      <vt:lpstr>Gebäude</vt:lpstr>
      <vt:lpstr>Database</vt:lpstr>
      <vt:lpstr>Options</vt:lpstr>
      <vt:lpstr>Bodenplatte</vt:lpstr>
      <vt:lpstr>Aussenwand unter &amp; über Terrain</vt:lpstr>
      <vt:lpstr>Decke unter &amp; über Terrain</vt:lpstr>
      <vt:lpstr>Dach unter &amp; über Terrain</vt:lpstr>
      <vt:lpstr>Innenwand</vt:lpstr>
      <vt:lpstr>Fenster-Balkon</vt:lpstr>
      <vt:lpstr>Kombinationen</vt:lpstr>
      <vt:lpstr>ID-SIA2032</vt:lpstr>
      <vt:lpstr>Daten-Zusammensetzung Bauteil</vt:lpstr>
      <vt:lpstr>Daten-Funktion</vt:lpstr>
      <vt:lpstr>Daten-THGE</vt:lpstr>
      <vt:lpstr>Daten-Dichte</vt:lpstr>
      <vt:lpstr>Daten-Dicke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2022-11-09T15:42:56Z</dcterms:modified>
</cp:coreProperties>
</file>