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4" i="1" l="1"/>
  <c r="H144" i="1"/>
  <c r="L143" i="1"/>
  <c r="H143" i="1"/>
  <c r="L142" i="1"/>
  <c r="H142" i="1"/>
  <c r="L141" i="1"/>
  <c r="H141" i="1"/>
  <c r="L140" i="1"/>
  <c r="H140" i="1"/>
  <c r="N139" i="1"/>
  <c r="L139" i="1"/>
  <c r="H139" i="1"/>
  <c r="J139" i="1" s="1"/>
  <c r="L138" i="1"/>
  <c r="H138" i="1"/>
  <c r="L137" i="1"/>
  <c r="H137" i="1"/>
  <c r="L136" i="1"/>
  <c r="H136" i="1"/>
  <c r="L135" i="1"/>
  <c r="H135" i="1"/>
  <c r="L134" i="1"/>
  <c r="H134" i="1"/>
  <c r="L133" i="1"/>
  <c r="N133" i="1" s="1"/>
  <c r="J133" i="1"/>
  <c r="H133" i="1"/>
  <c r="L132" i="1"/>
  <c r="H132" i="1"/>
  <c r="L131" i="1"/>
  <c r="H131" i="1"/>
  <c r="L130" i="1"/>
  <c r="H130" i="1"/>
  <c r="L129" i="1"/>
  <c r="H129" i="1"/>
  <c r="L128" i="1"/>
  <c r="H128" i="1"/>
  <c r="N127" i="1"/>
  <c r="L127" i="1"/>
  <c r="H127" i="1"/>
  <c r="J127" i="1" s="1"/>
  <c r="L126" i="1"/>
  <c r="H126" i="1"/>
  <c r="L125" i="1"/>
  <c r="H125" i="1"/>
  <c r="L124" i="1"/>
  <c r="H124" i="1"/>
  <c r="L123" i="1"/>
  <c r="H123" i="1"/>
  <c r="L122" i="1"/>
  <c r="H122" i="1"/>
  <c r="L121" i="1"/>
  <c r="N121" i="1" s="1"/>
  <c r="J121" i="1"/>
  <c r="H121" i="1"/>
  <c r="L120" i="1"/>
  <c r="H120" i="1"/>
  <c r="L119" i="1"/>
  <c r="H119" i="1"/>
  <c r="L118" i="1"/>
  <c r="H118" i="1"/>
  <c r="L117" i="1"/>
  <c r="H117" i="1"/>
  <c r="L116" i="1"/>
  <c r="H116" i="1"/>
  <c r="N115" i="1"/>
  <c r="L115" i="1"/>
  <c r="H115" i="1"/>
  <c r="J115" i="1" s="1"/>
  <c r="N114" i="1"/>
  <c r="J114" i="1"/>
  <c r="N113" i="1"/>
  <c r="Q114" i="1" s="1"/>
  <c r="J113" i="1"/>
  <c r="N111" i="1"/>
  <c r="J111" i="1"/>
  <c r="P114" i="1" s="1"/>
  <c r="H110" i="1"/>
  <c r="H109" i="1"/>
  <c r="H108" i="1"/>
  <c r="H107" i="1"/>
  <c r="H106" i="1"/>
  <c r="N105" i="1"/>
  <c r="H105" i="1"/>
  <c r="J105" i="1" s="1"/>
  <c r="E105" i="1"/>
  <c r="H104" i="1"/>
  <c r="H103" i="1"/>
  <c r="H102" i="1"/>
  <c r="H101" i="1"/>
  <c r="H100" i="1"/>
  <c r="N99" i="1"/>
  <c r="H99" i="1"/>
  <c r="J99" i="1" s="1"/>
  <c r="E99" i="1"/>
  <c r="H98" i="1"/>
  <c r="H97" i="1"/>
  <c r="H96" i="1"/>
  <c r="H95" i="1"/>
  <c r="H94" i="1"/>
  <c r="N93" i="1"/>
  <c r="J93" i="1"/>
  <c r="H93" i="1"/>
  <c r="N92" i="1"/>
  <c r="J92" i="1"/>
  <c r="N91" i="1"/>
  <c r="J91" i="1"/>
  <c r="N90" i="1"/>
  <c r="J90" i="1"/>
  <c r="N89" i="1"/>
  <c r="J89" i="1"/>
  <c r="P92" i="1" s="1"/>
  <c r="N87" i="1"/>
  <c r="J87" i="1"/>
  <c r="E87" i="1"/>
  <c r="Q86" i="1"/>
  <c r="H86" i="1"/>
  <c r="H85" i="1"/>
  <c r="H84" i="1"/>
  <c r="H83" i="1"/>
  <c r="H82" i="1"/>
  <c r="N81" i="1"/>
  <c r="H81" i="1"/>
  <c r="J81" i="1" s="1"/>
  <c r="H80" i="1"/>
  <c r="H79" i="1"/>
  <c r="H78" i="1"/>
  <c r="H77" i="1"/>
  <c r="H76" i="1"/>
  <c r="N75" i="1"/>
  <c r="H75" i="1"/>
  <c r="J75" i="1" s="1"/>
  <c r="H74" i="1"/>
  <c r="H73" i="1"/>
  <c r="H72" i="1"/>
  <c r="H71" i="1"/>
  <c r="H70" i="1"/>
  <c r="N69" i="1"/>
  <c r="Q92" i="1" s="1"/>
  <c r="H69" i="1"/>
  <c r="J69" i="1" s="1"/>
  <c r="H68" i="1"/>
  <c r="H67" i="1"/>
  <c r="H66" i="1"/>
  <c r="H65" i="1"/>
  <c r="H64" i="1"/>
  <c r="N63" i="1"/>
  <c r="H63" i="1"/>
  <c r="J63" i="1" s="1"/>
  <c r="H62" i="1"/>
  <c r="H61" i="1"/>
  <c r="H60" i="1"/>
  <c r="H59" i="1"/>
  <c r="H58" i="1"/>
  <c r="N57" i="1"/>
  <c r="H57" i="1"/>
  <c r="J57" i="1" s="1"/>
  <c r="H56" i="1"/>
  <c r="H55" i="1"/>
  <c r="H54" i="1"/>
  <c r="H53" i="1"/>
  <c r="H52" i="1"/>
  <c r="N51" i="1"/>
  <c r="H51" i="1"/>
  <c r="J51" i="1" s="1"/>
  <c r="N50" i="1"/>
  <c r="J50" i="1"/>
  <c r="N49" i="1"/>
  <c r="J49" i="1"/>
  <c r="N48" i="1"/>
  <c r="J48" i="1"/>
  <c r="J46" i="1"/>
  <c r="N45" i="1"/>
  <c r="Q50" i="1" s="1"/>
  <c r="J45" i="1"/>
  <c r="P50" i="1" s="1"/>
  <c r="J43" i="1"/>
  <c r="J42" i="1"/>
  <c r="N37" i="1"/>
  <c r="J37" i="1"/>
  <c r="N35" i="1"/>
  <c r="J35" i="1"/>
  <c r="P41" i="1" s="1"/>
  <c r="N30" i="1"/>
  <c r="Q41" i="1" s="1"/>
  <c r="J30" i="1"/>
  <c r="N26" i="1"/>
  <c r="J26" i="1"/>
  <c r="N19" i="1"/>
  <c r="Q29" i="1" s="1"/>
  <c r="J19" i="1"/>
  <c r="P29" i="1" s="1"/>
  <c r="N15" i="1"/>
  <c r="J15" i="1"/>
  <c r="N12" i="1"/>
  <c r="J12" i="1"/>
  <c r="N11" i="1"/>
  <c r="J11" i="1"/>
  <c r="N10" i="1"/>
  <c r="J10" i="1"/>
  <c r="N9" i="1"/>
  <c r="J9" i="1"/>
  <c r="N4" i="1"/>
  <c r="J4" i="1"/>
  <c r="P18" i="1" s="1"/>
  <c r="J145" i="1" l="1"/>
  <c r="N145" i="1"/>
  <c r="P86" i="1"/>
  <c r="P144" i="1"/>
  <c r="Q18" i="1"/>
  <c r="Q145" i="1" s="1"/>
  <c r="P145" i="1" l="1"/>
</calcChain>
</file>

<file path=xl/sharedStrings.xml><?xml version="1.0" encoding="utf-8"?>
<sst xmlns="http://schemas.openxmlformats.org/spreadsheetml/2006/main" count="396" uniqueCount="244">
  <si>
    <t>信用积分体系维度指标分值  860</t>
    <phoneticPr fontId="2" type="noConversion"/>
  </si>
  <si>
    <t>按衰减周期</t>
    <phoneticPr fontId="2" type="noConversion"/>
  </si>
  <si>
    <t>按月更新</t>
    <phoneticPr fontId="2" type="noConversion"/>
  </si>
  <si>
    <t>一级指标</t>
  </si>
  <si>
    <t>一级指标分</t>
  </si>
  <si>
    <t>二级指标</t>
  </si>
  <si>
    <t>三级指标</t>
  </si>
  <si>
    <t>三级指标分</t>
  </si>
  <si>
    <t>计分规则</t>
  </si>
  <si>
    <t>计分标准</t>
  </si>
  <si>
    <t>个人情况/数量</t>
  </si>
  <si>
    <t>分数</t>
  </si>
  <si>
    <t>衰减周期</t>
  </si>
  <si>
    <t>区间/数量/等级</t>
  </si>
  <si>
    <t>分值</t>
  </si>
  <si>
    <t>基础素质</t>
  </si>
  <si>
    <t>个人背景</t>
  </si>
  <si>
    <t>教育背景分</t>
  </si>
  <si>
    <t>按学历级别得分
（未上传证书不计分）</t>
  </si>
  <si>
    <t>大专以下</t>
  </si>
  <si>
    <t>/</t>
  </si>
  <si>
    <t>大专非统招</t>
  </si>
  <si>
    <t>大专统招</t>
  </si>
  <si>
    <t>本科及以上非统招</t>
  </si>
  <si>
    <t>本科及以上统招</t>
  </si>
  <si>
    <t>特长</t>
  </si>
  <si>
    <t>有则加分</t>
  </si>
  <si>
    <t>足球、篮球、羽毛球等特长生</t>
  </si>
  <si>
    <t>政治背景</t>
  </si>
  <si>
    <t>党员加5分、退伍军人加10分</t>
    <phoneticPr fontId="2" type="noConversion"/>
  </si>
  <si>
    <t>退伍军人、党员</t>
  </si>
  <si>
    <t>司龄</t>
    <phoneticPr fontId="2" type="noConversion"/>
  </si>
  <si>
    <t>逐年累加,封顶50分</t>
    <phoneticPr fontId="2" type="noConversion"/>
  </si>
  <si>
    <t>每月1分</t>
    <phoneticPr fontId="2" type="noConversion"/>
  </si>
  <si>
    <t>以月计算 每月/1分 封顶50分</t>
    <phoneticPr fontId="2" type="noConversion"/>
  </si>
  <si>
    <t>执业认证</t>
  </si>
  <si>
    <t>执业认证分</t>
  </si>
  <si>
    <t>按获得执业认证书级别得分，多本证书以最高级别记分，不予累加</t>
  </si>
  <si>
    <t xml:space="preserve">杭州经纪人证 </t>
  </si>
  <si>
    <t xml:space="preserve">全国协理证  </t>
  </si>
  <si>
    <t xml:space="preserve">全国经纪人资格证 </t>
  </si>
  <si>
    <t>每日一考</t>
  </si>
  <si>
    <t>每日一考分</t>
  </si>
  <si>
    <r>
      <t>取分数高的1</t>
    </r>
    <r>
      <rPr>
        <sz val="10"/>
        <color theme="1"/>
        <rFont val="微软雅黑"/>
        <family val="2"/>
        <charset val="134"/>
      </rPr>
      <t>5天分数平均值</t>
    </r>
    <phoneticPr fontId="2" type="noConversion"/>
  </si>
  <si>
    <t>96~100分</t>
  </si>
  <si>
    <t>每月更新</t>
  </si>
  <si>
    <t>91~95分</t>
  </si>
  <si>
    <t>80-90分</t>
  </si>
  <si>
    <t>80分以下（不含）</t>
  </si>
  <si>
    <t>行为规范</t>
  </si>
  <si>
    <t>员工手册</t>
  </si>
  <si>
    <t>日常行为规范</t>
  </si>
  <si>
    <t>按违规违纪次数累计扣分，按月统计。三级指标分为基础分，扣分无下限</t>
  </si>
  <si>
    <t>迟到早退</t>
  </si>
  <si>
    <t>生效期6个月（6个月后恢复至基础分）</t>
  </si>
  <si>
    <t>会议/培训迟到早退</t>
  </si>
  <si>
    <t>旷工（含会议/培训缺勤）</t>
  </si>
  <si>
    <t>6S（当事人违规违纪行为）</t>
  </si>
  <si>
    <t>交通违法（骑电瓶闯红灯）</t>
  </si>
  <si>
    <t>参与赌博</t>
  </si>
  <si>
    <t>聚众闹事</t>
  </si>
  <si>
    <t>其他违规违纪行为</t>
  </si>
  <si>
    <t>按违规违纪次数累计扣分，按月统计。三级指标分为基础分，扣分无下限</t>
    <phoneticPr fontId="2" type="noConversion"/>
  </si>
  <si>
    <t>通报批评</t>
  </si>
  <si>
    <t>生效期12个月（12个月后恢复至基础分）</t>
  </si>
  <si>
    <t>警告处分</t>
  </si>
  <si>
    <t>严重警告处分</t>
  </si>
  <si>
    <t>其他</t>
  </si>
  <si>
    <t>品质服务</t>
    <phoneticPr fontId="2" type="noConversion"/>
  </si>
  <si>
    <t>客户投诉</t>
  </si>
  <si>
    <t>有责投诉定级</t>
    <phoneticPr fontId="2" type="noConversion"/>
  </si>
  <si>
    <t>按宫格等级及数量扣分，按月统计，三级指标分为基础分
扣分无下限</t>
    <phoneticPr fontId="2" type="noConversion"/>
  </si>
  <si>
    <t>一级</t>
  </si>
  <si>
    <t>二级</t>
  </si>
  <si>
    <t>三级</t>
  </si>
  <si>
    <t>四级</t>
  </si>
  <si>
    <t>五级</t>
  </si>
  <si>
    <t>客户评价</t>
  </si>
  <si>
    <t>客户表扬</t>
  </si>
  <si>
    <t>以表扬形式及经核实的评价程度计算，按月统计，每年封顶20</t>
  </si>
  <si>
    <t>通报表扬+奖励</t>
  </si>
  <si>
    <t>1年</t>
  </si>
  <si>
    <t>表扬</t>
  </si>
  <si>
    <t>NPS值</t>
  </si>
  <si>
    <t>按季度NPS值 。正分值加分，负分值扣分</t>
    <phoneticPr fontId="2" type="noConversion"/>
  </si>
  <si>
    <t>100%</t>
  </si>
  <si>
    <t>平均值上</t>
    <phoneticPr fontId="2" type="noConversion"/>
  </si>
  <si>
    <t>正分值且在平均分下</t>
    <phoneticPr fontId="2" type="noConversion"/>
  </si>
  <si>
    <t>样本量少于5个</t>
    <phoneticPr fontId="2" type="noConversion"/>
  </si>
  <si>
    <t>平均值下</t>
    <phoneticPr fontId="2" type="noConversion"/>
  </si>
  <si>
    <t>负分值</t>
  </si>
  <si>
    <t>负分值</t>
    <phoneticPr fontId="2" type="noConversion"/>
  </si>
  <si>
    <t>经验值</t>
    <phoneticPr fontId="2" type="noConversion"/>
  </si>
  <si>
    <t>按成交量计分 买卖按一单（含一手单）0.5分 租赁每单0.1分（包括新收+新出+普租）租赁一手单每单0.5分</t>
    <phoneticPr fontId="2" type="noConversion"/>
  </si>
  <si>
    <t>买卖成交单数（二手+一手）</t>
    <phoneticPr fontId="2" type="noConversion"/>
  </si>
  <si>
    <t>租赁成交单</t>
    <phoneticPr fontId="2" type="noConversion"/>
  </si>
  <si>
    <t>租赁一手成交单</t>
    <phoneticPr fontId="2" type="noConversion"/>
  </si>
  <si>
    <t>参与贡献</t>
  </si>
  <si>
    <t>楼盘信息维护</t>
  </si>
  <si>
    <t>楼盘信息纠错</t>
  </si>
  <si>
    <t>纠错内容核实后计分，按月统计</t>
  </si>
  <si>
    <t>楼盘信息维护</t>
    <phoneticPr fontId="2" type="noConversion"/>
  </si>
  <si>
    <t>重要信息维护</t>
  </si>
  <si>
    <t>6个月</t>
  </si>
  <si>
    <t>师徒带训</t>
  </si>
  <si>
    <t>带教得分</t>
  </si>
  <si>
    <r>
      <t xml:space="preserve">按带训徒弟人数计算  </t>
    </r>
    <r>
      <rPr>
        <sz val="10"/>
        <color rgb="FFFF0000"/>
        <rFont val="微软雅黑"/>
        <family val="2"/>
        <charset val="134"/>
      </rPr>
      <t>封顶分30分</t>
    </r>
    <r>
      <rPr>
        <sz val="10"/>
        <color theme="1"/>
        <rFont val="微软雅黑"/>
        <family val="2"/>
        <charset val="134"/>
      </rPr>
      <t xml:space="preserve">
按在职时间及转正时间不同对应不同分值</t>
    </r>
    <phoneticPr fontId="2" type="noConversion"/>
  </si>
  <si>
    <t>徒弟在职3个月</t>
  </si>
  <si>
    <t>1年</t>
    <phoneticPr fontId="2" type="noConversion"/>
  </si>
  <si>
    <t>徒弟3个月转正</t>
  </si>
  <si>
    <t>推荐入职</t>
  </si>
  <si>
    <t>推荐入职成功计分</t>
    <phoneticPr fontId="2" type="noConversion"/>
  </si>
  <si>
    <t>每人</t>
  </si>
  <si>
    <t>社会活动参与</t>
  </si>
  <si>
    <t>正能量事件</t>
  </si>
  <si>
    <t>按参与次数计分</t>
  </si>
  <si>
    <t>每次</t>
  </si>
  <si>
    <t>其他事项</t>
    <phoneticPr fontId="2" type="noConversion"/>
  </si>
  <si>
    <t>其他事项</t>
    <phoneticPr fontId="2" type="noConversion"/>
  </si>
  <si>
    <t>其他事项（如违规举报）</t>
    <phoneticPr fontId="2" type="noConversion"/>
  </si>
  <si>
    <t>每例</t>
  </si>
  <si>
    <t>业务能力</t>
    <phoneticPr fontId="2" type="noConversion"/>
  </si>
  <si>
    <t>APP指标</t>
  </si>
  <si>
    <t>渗透量</t>
    <phoneticPr fontId="2" type="noConversion"/>
  </si>
  <si>
    <r>
      <t>以每月的渗透量计分，一个渗透6分 封顶30分稽查到违规分值清</t>
    </r>
    <r>
      <rPr>
        <sz val="10"/>
        <color theme="1"/>
        <rFont val="微软雅黑"/>
        <family val="2"/>
        <charset val="134"/>
      </rPr>
      <t>0</t>
    </r>
    <phoneticPr fontId="2" type="noConversion"/>
  </si>
  <si>
    <t>6个月</t>
    <phoneticPr fontId="2" type="noConversion"/>
  </si>
  <si>
    <t>效率指标</t>
  </si>
  <si>
    <t>400接通率</t>
    <phoneticPr fontId="2" type="noConversion"/>
  </si>
  <si>
    <t>按400接听率折算，按月统计</t>
  </si>
  <si>
    <t>91-100%  15分</t>
    <phoneticPr fontId="2" type="noConversion"/>
  </si>
  <si>
    <t>91-100%</t>
    <phoneticPr fontId="2" type="noConversion"/>
  </si>
  <si>
    <t>81-90%  10分</t>
    <phoneticPr fontId="2" type="noConversion"/>
  </si>
  <si>
    <r>
      <t>8</t>
    </r>
    <r>
      <rPr>
        <sz val="10"/>
        <color theme="1"/>
        <rFont val="微软雅黑"/>
        <family val="2"/>
        <charset val="134"/>
      </rPr>
      <t>1-90%</t>
    </r>
    <phoneticPr fontId="2" type="noConversion"/>
  </si>
  <si>
    <t>71-80%  8分</t>
    <phoneticPr fontId="2" type="noConversion"/>
  </si>
  <si>
    <t>71-80%</t>
    <phoneticPr fontId="2" type="noConversion"/>
  </si>
  <si>
    <t>61-70%  5分</t>
    <phoneticPr fontId="2" type="noConversion"/>
  </si>
  <si>
    <t>61-70%</t>
    <phoneticPr fontId="2" type="noConversion"/>
  </si>
  <si>
    <t>60下(含)  0分</t>
    <phoneticPr fontId="2" type="noConversion"/>
  </si>
  <si>
    <t>60下</t>
    <phoneticPr fontId="2" type="noConversion"/>
  </si>
  <si>
    <t>爱聊1分钟回复</t>
  </si>
  <si>
    <t>按爱聊1分钟回复率折算，按月统计</t>
  </si>
  <si>
    <t>91-100%  40分</t>
    <phoneticPr fontId="2" type="noConversion"/>
  </si>
  <si>
    <t>81-90%  30分</t>
    <phoneticPr fontId="2" type="noConversion"/>
  </si>
  <si>
    <t>71-80%  20分</t>
    <phoneticPr fontId="2" type="noConversion"/>
  </si>
  <si>
    <t>61-70%  10分</t>
    <phoneticPr fontId="2" type="noConversion"/>
  </si>
  <si>
    <t>60下(含)    5分</t>
    <phoneticPr fontId="2" type="noConversion"/>
  </si>
  <si>
    <t>爱聊三日复聊率</t>
  </si>
  <si>
    <t xml:space="preserve">
按爱聊三日复聊率折算（初始排名统计近6个月年数据），按月统计</t>
    <phoneticPr fontId="2" type="noConversion"/>
  </si>
  <si>
    <t>51%以上  20分</t>
    <phoneticPr fontId="2" type="noConversion"/>
  </si>
  <si>
    <t>50%上</t>
    <phoneticPr fontId="2" type="noConversion"/>
  </si>
  <si>
    <t>41-50%  15分</t>
    <phoneticPr fontId="2" type="noConversion"/>
  </si>
  <si>
    <t>41-50%</t>
    <phoneticPr fontId="2" type="noConversion"/>
  </si>
  <si>
    <t>31-50%</t>
    <phoneticPr fontId="2" type="noConversion"/>
  </si>
  <si>
    <t>31-40%   10分</t>
    <phoneticPr fontId="2" type="noConversion"/>
  </si>
  <si>
    <t>31-40%</t>
    <phoneticPr fontId="2" type="noConversion"/>
  </si>
  <si>
    <t>11-30%</t>
    <phoneticPr fontId="2" type="noConversion"/>
  </si>
  <si>
    <t>11-30%  8分</t>
    <phoneticPr fontId="2" type="noConversion"/>
  </si>
  <si>
    <t>10%下</t>
    <phoneticPr fontId="2" type="noConversion"/>
  </si>
  <si>
    <t>10%下(含)   5分</t>
    <phoneticPr fontId="2" type="noConversion"/>
  </si>
  <si>
    <t>爱聊转录入率</t>
  </si>
  <si>
    <t xml:space="preserve">
按爱聊线索转录入率折算（初始排名统计近6个月数据），按月统计</t>
    <phoneticPr fontId="2" type="noConversion"/>
  </si>
  <si>
    <t>31%以上  45分</t>
    <phoneticPr fontId="2" type="noConversion"/>
  </si>
  <si>
    <t>21-30%  35分</t>
    <phoneticPr fontId="2" type="noConversion"/>
  </si>
  <si>
    <t>31%以上</t>
    <phoneticPr fontId="2" type="noConversion"/>
  </si>
  <si>
    <t xml:space="preserve">31-50% </t>
    <phoneticPr fontId="2" type="noConversion"/>
  </si>
  <si>
    <t>11-20%  25分</t>
    <phoneticPr fontId="2" type="noConversion"/>
  </si>
  <si>
    <t>21-30%</t>
    <phoneticPr fontId="2" type="noConversion"/>
  </si>
  <si>
    <t>10%下(含)  10分</t>
    <phoneticPr fontId="2" type="noConversion"/>
  </si>
  <si>
    <t>11-20%</t>
    <phoneticPr fontId="2" type="noConversion"/>
  </si>
  <si>
    <t>爱聊转带看率</t>
  </si>
  <si>
    <t xml:space="preserve">
按爱聊线索转带看率折算（初始排名统计近6个月数据），按月统计</t>
    <phoneticPr fontId="2" type="noConversion"/>
  </si>
  <si>
    <t>31%以上  15分</t>
    <phoneticPr fontId="2" type="noConversion"/>
  </si>
  <si>
    <t>50%上   4.3</t>
    <phoneticPr fontId="2" type="noConversion"/>
  </si>
  <si>
    <t>21-30%  12分</t>
    <phoneticPr fontId="2" type="noConversion"/>
  </si>
  <si>
    <t>31-50%  3.4</t>
    <phoneticPr fontId="2" type="noConversion"/>
  </si>
  <si>
    <t>11-20%  10分</t>
    <phoneticPr fontId="2" type="noConversion"/>
  </si>
  <si>
    <t>11-30%  2.8</t>
    <phoneticPr fontId="2" type="noConversion"/>
  </si>
  <si>
    <t>10%下(含)  8分</t>
    <phoneticPr fontId="2" type="noConversion"/>
  </si>
  <si>
    <t>10%下  2.3</t>
    <phoneticPr fontId="2" type="noConversion"/>
  </si>
  <si>
    <t>业务能力(租赁)</t>
  </si>
  <si>
    <t>成交量</t>
  </si>
  <si>
    <t>成交单数、金额</t>
  </si>
  <si>
    <t>业绩（以5000客单价进行折算，取整，不四舍五入）与单数；两者取就高</t>
  </si>
  <si>
    <t>成交量或成交金额</t>
    <phoneticPr fontId="2" type="noConversion"/>
  </si>
  <si>
    <t>成交量/成交金额</t>
  </si>
  <si>
    <t>计分周期为近6个月，每月滚动更新，每单计1分，封顶40分</t>
  </si>
  <si>
    <t>一手合同</t>
  </si>
  <si>
    <t>一手合同成交处理单数</t>
  </si>
  <si>
    <t>计分周期为近6个月，每月滚动更新，每单计8分，封顶20分</t>
  </si>
  <si>
    <t>收出房量</t>
  </si>
  <si>
    <t>房管收房</t>
  </si>
  <si>
    <t>按套数累计计分</t>
  </si>
  <si>
    <t>收房量</t>
  </si>
  <si>
    <t>计分周期为近6个月，每月滚动更新，每单计1.5分，封顶30分</t>
  </si>
  <si>
    <t>房管出房</t>
  </si>
  <si>
    <t>按出房单数计计分</t>
  </si>
  <si>
    <t>出房量</t>
  </si>
  <si>
    <t>计分周期为近6个月，每月滚动更新，每单计1.5分，封顶10分</t>
  </si>
  <si>
    <t>房管维护管理</t>
  </si>
  <si>
    <t>在管量</t>
  </si>
  <si>
    <t>月度更新，每5套计2分，封顶40分</t>
    <phoneticPr fontId="2" type="noConversion"/>
  </si>
  <si>
    <t>委托续签量</t>
    <phoneticPr fontId="2" type="noConversion"/>
  </si>
  <si>
    <r>
      <t>按每续签1套计</t>
    </r>
    <r>
      <rPr>
        <sz val="10"/>
        <color rgb="FFFF0000"/>
        <rFont val="微软雅黑"/>
        <family val="2"/>
        <charset val="134"/>
      </rPr>
      <t>2分</t>
    </r>
    <phoneticPr fontId="2" type="noConversion"/>
  </si>
  <si>
    <t>续签量</t>
  </si>
  <si>
    <t>月度更新，按每续签1套计2分，封顶20分</t>
    <phoneticPr fontId="2" type="noConversion"/>
  </si>
  <si>
    <t>过程数据</t>
  </si>
  <si>
    <t>新增客户</t>
  </si>
  <si>
    <t xml:space="preserve">月新增有效客户数计分  每个计1分
</t>
    <phoneticPr fontId="2" type="noConversion"/>
  </si>
  <si>
    <t>新增量</t>
  </si>
  <si>
    <t>每个计1分，封顶30分 按6个月衰减</t>
    <phoneticPr fontId="2" type="noConversion"/>
  </si>
  <si>
    <t>房源新增</t>
  </si>
  <si>
    <t>月新增有效房源数计分  每个计1分</t>
    <phoneticPr fontId="2" type="noConversion"/>
  </si>
  <si>
    <t>每个计1分，封顶10分 按6个月衰减</t>
    <phoneticPr fontId="2" type="noConversion"/>
  </si>
  <si>
    <t>普租实勘</t>
  </si>
  <si>
    <t>按房源有效实勘套数计分  每个计2分</t>
    <phoneticPr fontId="2" type="noConversion"/>
  </si>
  <si>
    <t>实勘量</t>
  </si>
  <si>
    <t>每个计2分，封顶10分 按6个月衰减</t>
    <phoneticPr fontId="2" type="noConversion"/>
  </si>
  <si>
    <t>业务能力（买卖)</t>
  </si>
  <si>
    <t>成交单数</t>
  </si>
  <si>
    <t>二手合同</t>
  </si>
  <si>
    <t>佣金（折算5万/单，取整，不四舍五入）与单数可取就高</t>
  </si>
  <si>
    <t>计分周期为近六个月，每月滚动更新，二手每单计6分，一手每单计8分；成交总封顶80分</t>
    <phoneticPr fontId="2" type="noConversion"/>
  </si>
  <si>
    <t>计分周期为近六个月，每月滚动更新，每单计8分</t>
    <phoneticPr fontId="2" type="noConversion"/>
  </si>
  <si>
    <t>速销</t>
  </si>
  <si>
    <t>收速销</t>
  </si>
  <si>
    <t xml:space="preserve">收速销成交处理单数 </t>
    <phoneticPr fontId="2" type="noConversion"/>
  </si>
  <si>
    <t>计分周期为近六个月，每月滚动更新，每单计4分，封顶30分</t>
    <phoneticPr fontId="2" type="noConversion"/>
  </si>
  <si>
    <t>折扣率</t>
  </si>
  <si>
    <t>达绩效折扣达标计6分，不达0分</t>
  </si>
  <si>
    <t>达标量</t>
  </si>
  <si>
    <t>计分周期为近六个月，每月滚动更新，每单计6分，封项30分</t>
  </si>
  <si>
    <t>首看客户</t>
  </si>
  <si>
    <t>月总新增5个：达标2分，不达0分</t>
    <phoneticPr fontId="2" type="noConversion"/>
  </si>
  <si>
    <t>新增量</t>
    <phoneticPr fontId="2" type="noConversion"/>
  </si>
  <si>
    <t>达标量</t>
    <phoneticPr fontId="2" type="noConversion"/>
  </si>
  <si>
    <t>6个月衰减</t>
    <phoneticPr fontId="2" type="noConversion"/>
  </si>
  <si>
    <t>总带看客户组数</t>
  </si>
  <si>
    <t>月总带看客户组数14组：达标2分，不达0分</t>
  </si>
  <si>
    <t>月新增有效待售2套：达标2分，不达0分</t>
  </si>
  <si>
    <t>认证委托</t>
  </si>
  <si>
    <r>
      <t>月认证委托数</t>
    </r>
    <r>
      <rPr>
        <sz val="10"/>
        <color rgb="FFFF0000"/>
        <rFont val="微软雅黑"/>
        <family val="2"/>
        <charset val="134"/>
      </rPr>
      <t>1个</t>
    </r>
    <r>
      <rPr>
        <sz val="10"/>
        <color theme="1"/>
        <rFont val="微软雅黑"/>
        <family val="2"/>
        <charset val="134"/>
      </rPr>
      <t>：达标2分，不达0分</t>
    </r>
    <phoneticPr fontId="2" type="noConversion"/>
  </si>
  <si>
    <t>收钥匙</t>
  </si>
  <si>
    <r>
      <t>月收钥匙</t>
    </r>
    <r>
      <rPr>
        <sz val="10"/>
        <color rgb="FFFF0000"/>
        <rFont val="微软雅黑"/>
        <family val="2"/>
        <charset val="134"/>
      </rPr>
      <t>1把</t>
    </r>
    <r>
      <rPr>
        <sz val="10"/>
        <color theme="1"/>
        <rFont val="微软雅黑"/>
        <family val="2"/>
        <charset val="134"/>
      </rPr>
      <t>：达标2分，不达0分</t>
    </r>
    <phoneticPr fontId="2" type="noConversion"/>
  </si>
  <si>
    <t>6个月衰减，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</si>
</sst>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);[Red]\(0\)"/>
    <numFmt numFmtId="177" formatCode="0.0"/>
    <numFmt numFmtId="178" formatCode="0.0_);[Red]\(0.0\)"/>
    <numFmt numFmtId="179" formatCode="0.0%"/>
    <numFmt numFmtId="180" formatCode="0.0_ "/>
  </numFmts>
  <fonts count="12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" fontId="5" fillId="0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 readingOrder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 readingOrder="1"/>
    </xf>
    <xf numFmtId="1" fontId="6" fillId="8" borderId="4" xfId="0" applyNumberFormat="1" applyFont="1" applyFill="1" applyBorder="1" applyAlignment="1">
      <alignment horizontal="center" vertical="center" wrapText="1"/>
    </xf>
    <xf numFmtId="0" fontId="6" fillId="7" borderId="3" xfId="0" applyNumberFormat="1" applyFont="1" applyFill="1" applyBorder="1" applyAlignment="1">
      <alignment horizontal="center" vertical="center" wrapText="1"/>
    </xf>
    <xf numFmtId="176" fontId="6" fillId="8" borderId="4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 wrapText="1"/>
    </xf>
    <xf numFmtId="1" fontId="6" fillId="8" borderId="7" xfId="0" applyNumberFormat="1" applyFont="1" applyFill="1" applyBorder="1" applyAlignment="1">
      <alignment horizontal="center" vertical="center" wrapText="1"/>
    </xf>
    <xf numFmtId="176" fontId="6" fillId="8" borderId="7" xfId="0" applyNumberFormat="1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 readingOrder="1"/>
    </xf>
    <xf numFmtId="176" fontId="6" fillId="0" borderId="6" xfId="0" applyNumberFormat="1" applyFont="1" applyBorder="1" applyAlignment="1">
      <alignment horizontal="center" vertical="center" wrapText="1"/>
    </xf>
    <xf numFmtId="1" fontId="6" fillId="8" borderId="6" xfId="0" applyNumberFormat="1" applyFont="1" applyFill="1" applyBorder="1" applyAlignment="1">
      <alignment horizontal="center" vertical="center" wrapText="1"/>
    </xf>
    <xf numFmtId="176" fontId="6" fillId="8" borderId="6" xfId="0" applyNumberFormat="1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 readingOrder="1"/>
    </xf>
    <xf numFmtId="0" fontId="6" fillId="7" borderId="6" xfId="0" applyFont="1" applyFill="1" applyBorder="1" applyAlignment="1">
      <alignment horizontal="center" vertical="center" wrapText="1" readingOrder="1"/>
    </xf>
    <xf numFmtId="0" fontId="6" fillId="8" borderId="6" xfId="0" applyFont="1" applyFill="1" applyBorder="1" applyAlignment="1">
      <alignment horizontal="center" vertical="center" wrapText="1"/>
    </xf>
    <xf numFmtId="176" fontId="4" fillId="5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 readingOrder="1"/>
    </xf>
    <xf numFmtId="1" fontId="6" fillId="9" borderId="4" xfId="0" applyNumberFormat="1" applyFont="1" applyFill="1" applyBorder="1" applyAlignment="1">
      <alignment horizontal="center" vertical="center" wrapText="1"/>
    </xf>
    <xf numFmtId="176" fontId="6" fillId="9" borderId="4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 readingOrder="1"/>
    </xf>
    <xf numFmtId="1" fontId="6" fillId="9" borderId="7" xfId="0" applyNumberFormat="1" applyFont="1" applyFill="1" applyBorder="1" applyAlignment="1">
      <alignment horizontal="center" vertical="center" wrapText="1"/>
    </xf>
    <xf numFmtId="176" fontId="6" fillId="9" borderId="7" xfId="0" applyNumberFormat="1" applyFont="1" applyFill="1" applyBorder="1" applyAlignment="1">
      <alignment horizontal="center" vertical="center" wrapText="1"/>
    </xf>
    <xf numFmtId="1" fontId="6" fillId="9" borderId="6" xfId="0" applyNumberFormat="1" applyFont="1" applyFill="1" applyBorder="1" applyAlignment="1">
      <alignment horizontal="center" vertical="center" wrapText="1"/>
    </xf>
    <xf numFmtId="176" fontId="6" fillId="9" borderId="6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 readingOrder="1"/>
    </xf>
    <xf numFmtId="0" fontId="6" fillId="0" borderId="3" xfId="0" applyFont="1" applyFill="1" applyBorder="1" applyAlignment="1">
      <alignment horizontal="center" vertical="center" wrapText="1"/>
    </xf>
    <xf numFmtId="9" fontId="6" fillId="2" borderId="4" xfId="0" applyNumberFormat="1" applyFont="1" applyFill="1" applyBorder="1" applyAlignment="1">
      <alignment horizontal="center" vertical="center" wrapText="1"/>
    </xf>
    <xf numFmtId="9" fontId="6" fillId="3" borderId="4" xfId="0" applyNumberFormat="1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1" fontId="6" fillId="10" borderId="4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7" fontId="6" fillId="10" borderId="4" xfId="0" applyNumberFormat="1" applyFont="1" applyFill="1" applyBorder="1" applyAlignment="1">
      <alignment horizontal="center" vertical="center" wrapText="1"/>
    </xf>
    <xf numFmtId="177" fontId="6" fillId="10" borderId="6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readingOrder="1"/>
    </xf>
    <xf numFmtId="0" fontId="6" fillId="0" borderId="4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6" fillId="10" borderId="4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" fontId="6" fillId="10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176" fontId="4" fillId="0" borderId="0" xfId="0" applyNumberFormat="1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 wrapText="1"/>
    </xf>
    <xf numFmtId="1" fontId="4" fillId="13" borderId="7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78" fontId="6" fillId="13" borderId="4" xfId="0" applyNumberFormat="1" applyFont="1" applyFill="1" applyBorder="1" applyAlignment="1">
      <alignment horizontal="center" vertical="center" wrapText="1"/>
    </xf>
    <xf numFmtId="178" fontId="6" fillId="13" borderId="7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" fontId="4" fillId="13" borderId="6" xfId="0" applyNumberFormat="1" applyFont="1" applyFill="1" applyBorder="1" applyAlignment="1">
      <alignment horizontal="center" vertical="center" wrapText="1"/>
    </xf>
    <xf numFmtId="178" fontId="6" fillId="13" borderId="6" xfId="0" applyNumberFormat="1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9" fontId="6" fillId="2" borderId="3" xfId="0" applyNumberFormat="1" applyFont="1" applyFill="1" applyBorder="1" applyAlignment="1">
      <alignment horizontal="center" vertical="center" wrapText="1"/>
    </xf>
    <xf numFmtId="177" fontId="4" fillId="13" borderId="7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177" fontId="4" fillId="13" borderId="6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 wrapText="1"/>
    </xf>
    <xf numFmtId="9" fontId="6" fillId="3" borderId="7" xfId="0" applyNumberFormat="1" applyFont="1" applyFill="1" applyBorder="1" applyAlignment="1">
      <alignment horizontal="center" vertical="center" wrapText="1"/>
    </xf>
    <xf numFmtId="9" fontId="6" fillId="3" borderId="6" xfId="0" applyNumberFormat="1" applyFont="1" applyFill="1" applyBorder="1" applyAlignment="1">
      <alignment horizontal="center" vertical="center" wrapText="1"/>
    </xf>
    <xf numFmtId="9" fontId="6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79" fontId="6" fillId="3" borderId="4" xfId="0" applyNumberFormat="1" applyFont="1" applyFill="1" applyBorder="1" applyAlignment="1">
      <alignment horizontal="center" vertical="center" wrapText="1"/>
    </xf>
    <xf numFmtId="179" fontId="6" fillId="3" borderId="7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178" fontId="4" fillId="11" borderId="0" xfId="0" applyNumberFormat="1" applyFont="1" applyFill="1" applyAlignment="1">
      <alignment horizontal="center" vertical="center"/>
    </xf>
    <xf numFmtId="178" fontId="4" fillId="12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 readingOrder="1"/>
    </xf>
    <xf numFmtId="0" fontId="6" fillId="7" borderId="4" xfId="0" applyFont="1" applyFill="1" applyBorder="1" applyAlignment="1">
      <alignment horizontal="center" vertical="center" wrapText="1" readingOrder="1"/>
    </xf>
    <xf numFmtId="0" fontId="6" fillId="0" borderId="4" xfId="0" applyFont="1" applyFill="1" applyBorder="1" applyAlignment="1">
      <alignment horizontal="center" vertical="center" wrapText="1"/>
    </xf>
    <xf numFmtId="1" fontId="6" fillId="14" borderId="4" xfId="0" applyNumberFormat="1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4" fillId="0" borderId="0" xfId="0" applyFont="1"/>
    <xf numFmtId="1" fontId="6" fillId="14" borderId="6" xfId="0" applyNumberFormat="1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1" fontId="6" fillId="14" borderId="4" xfId="0" applyNumberFormat="1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 readingOrder="1"/>
    </xf>
    <xf numFmtId="176" fontId="6" fillId="0" borderId="4" xfId="0" applyNumberFormat="1" applyFont="1" applyFill="1" applyBorder="1" applyAlignment="1">
      <alignment horizontal="center" vertical="center" wrapText="1"/>
    </xf>
    <xf numFmtId="176" fontId="6" fillId="2" borderId="4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6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 readingOrder="1"/>
    </xf>
    <xf numFmtId="176" fontId="6" fillId="0" borderId="7" xfId="0" applyNumberFormat="1" applyFont="1" applyFill="1" applyBorder="1" applyAlignment="1">
      <alignment horizontal="center" vertical="center" wrapText="1"/>
    </xf>
    <xf numFmtId="0" fontId="6" fillId="15" borderId="7" xfId="0" applyFont="1" applyFill="1" applyBorder="1" applyAlignment="1">
      <alignment horizontal="center" vertical="center" wrapText="1"/>
    </xf>
    <xf numFmtId="0" fontId="6" fillId="16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 readingOrder="1"/>
    </xf>
    <xf numFmtId="176" fontId="6" fillId="0" borderId="6" xfId="0" applyNumberFormat="1" applyFont="1" applyFill="1" applyBorder="1" applyAlignment="1">
      <alignment horizontal="center" vertical="center" wrapText="1"/>
    </xf>
    <xf numFmtId="0" fontId="6" fillId="15" borderId="6" xfId="0" applyFont="1" applyFill="1" applyBorder="1" applyAlignment="1">
      <alignment horizontal="center" vertical="center" wrapText="1"/>
    </xf>
    <xf numFmtId="0" fontId="6" fillId="16" borderId="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 readingOrder="1"/>
    </xf>
    <xf numFmtId="0" fontId="6" fillId="7" borderId="3" xfId="0" applyFont="1" applyFill="1" applyBorder="1" applyAlignment="1">
      <alignment vertical="center" wrapText="1" readingOrder="1"/>
    </xf>
    <xf numFmtId="0" fontId="6" fillId="7" borderId="4" xfId="0" applyFont="1" applyFill="1" applyBorder="1" applyAlignment="1">
      <alignment vertical="center" wrapText="1" readingOrder="1"/>
    </xf>
    <xf numFmtId="1" fontId="7" fillId="17" borderId="4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center" vertical="center" wrapText="1"/>
    </xf>
    <xf numFmtId="1" fontId="7" fillId="17" borderId="6" xfId="0" applyNumberFormat="1" applyFont="1" applyFill="1" applyBorder="1" applyAlignment="1">
      <alignment horizontal="center" vertical="center" wrapText="1"/>
    </xf>
    <xf numFmtId="0" fontId="7" fillId="17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" fontId="6" fillId="17" borderId="4" xfId="0" applyNumberFormat="1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6" fillId="17" borderId="4" xfId="0" applyFont="1" applyFill="1" applyBorder="1" applyAlignment="1">
      <alignment horizontal="center" vertical="center" wrapText="1"/>
    </xf>
    <xf numFmtId="177" fontId="4" fillId="5" borderId="0" xfId="0" applyNumberFormat="1" applyFont="1" applyFill="1"/>
    <xf numFmtId="0" fontId="6" fillId="7" borderId="4" xfId="0" applyFont="1" applyFill="1" applyBorder="1" applyAlignment="1">
      <alignment horizontal="center" vertical="center" wrapText="1" readingOrder="1"/>
    </xf>
    <xf numFmtId="178" fontId="6" fillId="0" borderId="4" xfId="0" applyNumberFormat="1" applyFont="1" applyFill="1" applyBorder="1" applyAlignment="1">
      <alignment horizontal="center" vertical="center" wrapText="1"/>
    </xf>
    <xf numFmtId="178" fontId="6" fillId="2" borderId="4" xfId="0" applyNumberFormat="1" applyFont="1" applyFill="1" applyBorder="1" applyAlignment="1">
      <alignment horizontal="center" vertical="center" wrapText="1"/>
    </xf>
    <xf numFmtId="176" fontId="6" fillId="18" borderId="4" xfId="0" applyNumberFormat="1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 readingOrder="1"/>
    </xf>
    <xf numFmtId="176" fontId="6" fillId="18" borderId="7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 readingOrder="1"/>
    </xf>
    <xf numFmtId="176" fontId="6" fillId="18" borderId="6" xfId="0" applyNumberFormat="1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 readingOrder="1"/>
    </xf>
    <xf numFmtId="0" fontId="7" fillId="7" borderId="7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 wrapText="1" readingOrder="1"/>
    </xf>
    <xf numFmtId="0" fontId="6" fillId="0" borderId="3" xfId="0" applyFont="1" applyFill="1" applyBorder="1" applyAlignment="1">
      <alignment horizontal="center" vertical="center" wrapText="1" readingOrder="1"/>
    </xf>
    <xf numFmtId="0" fontId="7" fillId="7" borderId="3" xfId="0" applyFont="1" applyFill="1" applyBorder="1" applyAlignment="1">
      <alignment horizontal="center" vertical="center" wrapText="1" readingOrder="1"/>
    </xf>
    <xf numFmtId="177" fontId="4" fillId="0" borderId="0" xfId="0" applyNumberFormat="1" applyFont="1" applyFill="1"/>
    <xf numFmtId="178" fontId="6" fillId="0" borderId="3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178" fontId="6" fillId="2" borderId="3" xfId="0" applyNumberFormat="1" applyFont="1" applyFill="1" applyBorder="1" applyAlignment="1">
      <alignment horizontal="center" vertical="center" wrapText="1"/>
    </xf>
    <xf numFmtId="180" fontId="4" fillId="11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tabSelected="1" topLeftCell="A85" workbookViewId="0">
      <selection activeCell="O9" sqref="O9"/>
    </sheetView>
  </sheetViews>
  <sheetFormatPr defaultColWidth="9" defaultRowHeight="12.75" x14ac:dyDescent="0.2"/>
  <cols>
    <col min="1" max="1" width="3.625" style="7" customWidth="1"/>
    <col min="2" max="2" width="4.75" style="7" customWidth="1"/>
    <col min="3" max="3" width="7.5" style="7" customWidth="1"/>
    <col min="4" max="4" width="12.125" style="7" customWidth="1"/>
    <col min="5" max="5" width="6" style="7" customWidth="1"/>
    <col min="6" max="6" width="19.375" style="7" customWidth="1"/>
    <col min="7" max="7" width="16.75" style="7" customWidth="1"/>
    <col min="8" max="8" width="7.5" style="7" customWidth="1"/>
    <col min="9" max="9" width="8" style="6" customWidth="1"/>
    <col min="10" max="10" width="7.5" style="222" customWidth="1"/>
    <col min="11" max="11" width="14" style="7" customWidth="1"/>
    <col min="12" max="12" width="7.5" style="7" customWidth="1"/>
    <col min="13" max="13" width="7.875" style="6" customWidth="1"/>
    <col min="14" max="14" width="7.375" style="4" customWidth="1"/>
    <col min="15" max="15" width="15.875" style="6" customWidth="1"/>
    <col min="16" max="16" width="8.875" style="7" customWidth="1"/>
    <col min="17" max="17" width="5.875" style="7" customWidth="1"/>
    <col min="18" max="20" width="9" style="7" hidden="1" customWidth="1"/>
    <col min="21" max="16384" width="9" style="7"/>
  </cols>
  <sheetData>
    <row r="1" spans="1:19" ht="21" customHeight="1" x14ac:dyDescent="0.2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3"/>
      <c r="K1" s="4"/>
      <c r="L1" s="5" t="s">
        <v>2</v>
      </c>
      <c r="M1" s="5"/>
      <c r="N1" s="5"/>
      <c r="Q1" s="8"/>
      <c r="R1" s="8"/>
      <c r="S1" s="8"/>
    </row>
    <row r="2" spans="1:19" ht="16.5" customHeight="1" x14ac:dyDescent="0.2">
      <c r="A2" s="9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0" t="s">
        <v>8</v>
      </c>
      <c r="G2" s="10" t="s">
        <v>9</v>
      </c>
      <c r="H2" s="10"/>
      <c r="I2" s="12" t="s">
        <v>10</v>
      </c>
      <c r="J2" s="13" t="s">
        <v>11</v>
      </c>
      <c r="K2" s="14"/>
      <c r="L2" s="14"/>
      <c r="M2" s="15" t="s">
        <v>10</v>
      </c>
      <c r="N2" s="16" t="s">
        <v>11</v>
      </c>
      <c r="O2" s="17" t="s">
        <v>12</v>
      </c>
    </row>
    <row r="3" spans="1:19" ht="18.75" customHeight="1" x14ac:dyDescent="0.2">
      <c r="A3" s="18"/>
      <c r="B3" s="10"/>
      <c r="C3" s="10"/>
      <c r="D3" s="10"/>
      <c r="E3" s="11"/>
      <c r="F3" s="10"/>
      <c r="G3" s="19" t="s">
        <v>13</v>
      </c>
      <c r="H3" s="20" t="s">
        <v>14</v>
      </c>
      <c r="I3" s="21"/>
      <c r="J3" s="22"/>
      <c r="K3" s="19" t="s">
        <v>13</v>
      </c>
      <c r="L3" s="20" t="s">
        <v>14</v>
      </c>
      <c r="M3" s="23"/>
      <c r="N3" s="24"/>
      <c r="O3" s="25"/>
    </row>
    <row r="4" spans="1:19" ht="18" customHeight="1" x14ac:dyDescent="0.2">
      <c r="A4" s="26" t="s">
        <v>15</v>
      </c>
      <c r="B4" s="26">
        <v>125</v>
      </c>
      <c r="C4" s="26" t="s">
        <v>16</v>
      </c>
      <c r="D4" s="26" t="s">
        <v>17</v>
      </c>
      <c r="E4" s="27">
        <v>30</v>
      </c>
      <c r="F4" s="26" t="s">
        <v>18</v>
      </c>
      <c r="G4" s="28" t="s">
        <v>19</v>
      </c>
      <c r="H4" s="29">
        <v>10</v>
      </c>
      <c r="I4" s="30"/>
      <c r="J4" s="31">
        <f>IF(I4="高中",10,IF(I4="中专",10,IF(I4="大专非统招",15,IF(I4="大专统招",20,IF(I4="本科非统招",25,IF(I4="本科以上非统招",25,IF(I4="本科统招",30,IF(I4="本科以上统招",30,))))))))</f>
        <v>0</v>
      </c>
      <c r="K4" s="28" t="s">
        <v>19</v>
      </c>
      <c r="L4" s="32">
        <v>10</v>
      </c>
      <c r="M4" s="33"/>
      <c r="N4" s="34">
        <f>IF(M4="高中",10,IF(M4="中专",10,IF(M4="大专非统招",15,IF(M4="大专统招",20,IF(M4="本科非统招",25,IF(M4="本科以上非统招",25,IF(M4="本科统招",30,IF(M4="本科以上统招",30,))))))))</f>
        <v>0</v>
      </c>
      <c r="O4" s="35" t="s">
        <v>20</v>
      </c>
    </row>
    <row r="5" spans="1:19" ht="18" customHeight="1" x14ac:dyDescent="0.2">
      <c r="A5" s="26"/>
      <c r="B5" s="26"/>
      <c r="C5" s="26"/>
      <c r="D5" s="26"/>
      <c r="E5" s="27"/>
      <c r="F5" s="26"/>
      <c r="G5" s="28" t="s">
        <v>21</v>
      </c>
      <c r="H5" s="29">
        <v>15</v>
      </c>
      <c r="I5" s="30"/>
      <c r="J5" s="31"/>
      <c r="K5" s="28" t="s">
        <v>21</v>
      </c>
      <c r="L5" s="32">
        <v>15</v>
      </c>
      <c r="M5" s="33"/>
      <c r="N5" s="34"/>
      <c r="O5" s="36"/>
    </row>
    <row r="6" spans="1:19" ht="18" customHeight="1" x14ac:dyDescent="0.2">
      <c r="A6" s="26"/>
      <c r="B6" s="26"/>
      <c r="C6" s="26"/>
      <c r="D6" s="26"/>
      <c r="E6" s="27"/>
      <c r="F6" s="26"/>
      <c r="G6" s="28" t="s">
        <v>22</v>
      </c>
      <c r="H6" s="29">
        <v>20</v>
      </c>
      <c r="I6" s="30"/>
      <c r="J6" s="31"/>
      <c r="K6" s="28" t="s">
        <v>22</v>
      </c>
      <c r="L6" s="32">
        <v>20</v>
      </c>
      <c r="M6" s="33"/>
      <c r="N6" s="34"/>
      <c r="O6" s="36"/>
    </row>
    <row r="7" spans="1:19" ht="24.75" customHeight="1" x14ac:dyDescent="0.2">
      <c r="A7" s="26"/>
      <c r="B7" s="26"/>
      <c r="C7" s="26"/>
      <c r="D7" s="26"/>
      <c r="E7" s="27"/>
      <c r="F7" s="26"/>
      <c r="G7" s="28" t="s">
        <v>23</v>
      </c>
      <c r="H7" s="29">
        <v>25</v>
      </c>
      <c r="I7" s="30"/>
      <c r="J7" s="31"/>
      <c r="K7" s="28" t="s">
        <v>23</v>
      </c>
      <c r="L7" s="32">
        <v>25</v>
      </c>
      <c r="M7" s="33"/>
      <c r="N7" s="34"/>
      <c r="O7" s="36"/>
    </row>
    <row r="8" spans="1:19" ht="18" customHeight="1" x14ac:dyDescent="0.2">
      <c r="A8" s="26"/>
      <c r="B8" s="26"/>
      <c r="C8" s="26"/>
      <c r="D8" s="26"/>
      <c r="E8" s="27"/>
      <c r="F8" s="26"/>
      <c r="G8" s="28" t="s">
        <v>24</v>
      </c>
      <c r="H8" s="29">
        <v>30</v>
      </c>
      <c r="I8" s="30"/>
      <c r="J8" s="31"/>
      <c r="K8" s="28" t="s">
        <v>24</v>
      </c>
      <c r="L8" s="32">
        <v>30</v>
      </c>
      <c r="M8" s="33"/>
      <c r="N8" s="34"/>
      <c r="O8" s="36"/>
    </row>
    <row r="9" spans="1:19" ht="21.75" customHeight="1" x14ac:dyDescent="0.2">
      <c r="A9" s="26"/>
      <c r="B9" s="26"/>
      <c r="C9" s="26"/>
      <c r="D9" s="28" t="s">
        <v>25</v>
      </c>
      <c r="E9" s="37">
        <v>5</v>
      </c>
      <c r="F9" s="28" t="s">
        <v>26</v>
      </c>
      <c r="G9" s="28" t="s">
        <v>27</v>
      </c>
      <c r="H9" s="29">
        <v>5</v>
      </c>
      <c r="I9" s="38"/>
      <c r="J9" s="39">
        <f>IF(I9="特长生",5,0)</f>
        <v>0</v>
      </c>
      <c r="K9" s="28" t="s">
        <v>27</v>
      </c>
      <c r="L9" s="32">
        <v>5</v>
      </c>
      <c r="M9" s="40"/>
      <c r="N9" s="41">
        <f>IF(M9="特长生",5,0)</f>
        <v>0</v>
      </c>
      <c r="O9" s="42" t="s">
        <v>20</v>
      </c>
    </row>
    <row r="10" spans="1:19" ht="29.25" customHeight="1" x14ac:dyDescent="0.2">
      <c r="A10" s="26"/>
      <c r="B10" s="26"/>
      <c r="C10" s="26"/>
      <c r="D10" s="28" t="s">
        <v>28</v>
      </c>
      <c r="E10" s="43">
        <v>10</v>
      </c>
      <c r="F10" s="28" t="s">
        <v>29</v>
      </c>
      <c r="G10" s="28" t="s">
        <v>30</v>
      </c>
      <c r="H10" s="29">
        <v>10</v>
      </c>
      <c r="I10" s="38"/>
      <c r="J10" s="39">
        <f>IF(I10="退伍军人",10,IF(I10="党员",5,IF(I10="退伍军人，党员",15,)))</f>
        <v>0</v>
      </c>
      <c r="K10" s="28" t="s">
        <v>30</v>
      </c>
      <c r="L10" s="32">
        <v>10</v>
      </c>
      <c r="M10" s="40"/>
      <c r="N10" s="41">
        <f>IF(M10="退伍军人",10,IF(M10="党员",5,IF(M10="退伍军人，党员",15,)))</f>
        <v>0</v>
      </c>
      <c r="O10" s="42" t="s">
        <v>20</v>
      </c>
    </row>
    <row r="11" spans="1:19" ht="33.75" customHeight="1" x14ac:dyDescent="0.2">
      <c r="A11" s="26"/>
      <c r="B11" s="26"/>
      <c r="C11" s="28" t="s">
        <v>31</v>
      </c>
      <c r="D11" s="44" t="s">
        <v>31</v>
      </c>
      <c r="E11" s="45">
        <v>50</v>
      </c>
      <c r="F11" s="28" t="s">
        <v>32</v>
      </c>
      <c r="G11" s="42" t="s">
        <v>33</v>
      </c>
      <c r="H11" s="46">
        <v>1</v>
      </c>
      <c r="I11" s="38"/>
      <c r="J11" s="39">
        <f>MEDIAN(I11*H11,50,0)</f>
        <v>0</v>
      </c>
      <c r="K11" s="42" t="s">
        <v>34</v>
      </c>
      <c r="L11" s="47">
        <v>1</v>
      </c>
      <c r="M11" s="40"/>
      <c r="N11" s="41">
        <f>MEDIAN(M11*L11,50,0)</f>
        <v>0</v>
      </c>
      <c r="O11" s="42" t="s">
        <v>20</v>
      </c>
    </row>
    <row r="12" spans="1:19" ht="18" customHeight="1" x14ac:dyDescent="0.2">
      <c r="A12" s="26"/>
      <c r="B12" s="26"/>
      <c r="C12" s="26" t="s">
        <v>35</v>
      </c>
      <c r="D12" s="26" t="s">
        <v>36</v>
      </c>
      <c r="E12" s="48">
        <v>10</v>
      </c>
      <c r="F12" s="26" t="s">
        <v>37</v>
      </c>
      <c r="G12" s="28" t="s">
        <v>38</v>
      </c>
      <c r="H12" s="29">
        <v>5</v>
      </c>
      <c r="I12" s="30"/>
      <c r="J12" s="31">
        <f>IF(I12="杭州经纪人证",5,IF(I12="全国协理证",8,IF(I12="全国经纪人证",10,)))</f>
        <v>0</v>
      </c>
      <c r="K12" s="28" t="s">
        <v>38</v>
      </c>
      <c r="L12" s="32">
        <v>5</v>
      </c>
      <c r="M12" s="33"/>
      <c r="N12" s="34">
        <f>IF(M12="杭州经纪人证",5,IF(M12="全国协理证",8,IF(M12="全国经纪人证",10,)))</f>
        <v>0</v>
      </c>
      <c r="O12" s="35" t="s">
        <v>20</v>
      </c>
    </row>
    <row r="13" spans="1:19" ht="18" customHeight="1" x14ac:dyDescent="0.2">
      <c r="A13" s="26"/>
      <c r="B13" s="26"/>
      <c r="C13" s="26"/>
      <c r="D13" s="26"/>
      <c r="E13" s="48"/>
      <c r="F13" s="26"/>
      <c r="G13" s="28" t="s">
        <v>39</v>
      </c>
      <c r="H13" s="29">
        <v>8</v>
      </c>
      <c r="I13" s="30"/>
      <c r="J13" s="31"/>
      <c r="K13" s="28" t="s">
        <v>39</v>
      </c>
      <c r="L13" s="32">
        <v>8</v>
      </c>
      <c r="M13" s="33"/>
      <c r="N13" s="34"/>
      <c r="O13" s="36"/>
    </row>
    <row r="14" spans="1:19" ht="18" customHeight="1" x14ac:dyDescent="0.2">
      <c r="A14" s="26"/>
      <c r="B14" s="26"/>
      <c r="C14" s="26"/>
      <c r="D14" s="26"/>
      <c r="E14" s="48"/>
      <c r="F14" s="26"/>
      <c r="G14" s="28" t="s">
        <v>40</v>
      </c>
      <c r="H14" s="29">
        <v>10</v>
      </c>
      <c r="I14" s="30"/>
      <c r="J14" s="31"/>
      <c r="K14" s="28" t="s">
        <v>40</v>
      </c>
      <c r="L14" s="32">
        <v>10</v>
      </c>
      <c r="M14" s="33"/>
      <c r="N14" s="34"/>
      <c r="O14" s="49"/>
    </row>
    <row r="15" spans="1:19" ht="18" customHeight="1" x14ac:dyDescent="0.2">
      <c r="A15" s="26"/>
      <c r="B15" s="26"/>
      <c r="C15" s="26" t="s">
        <v>41</v>
      </c>
      <c r="D15" s="26" t="s">
        <v>42</v>
      </c>
      <c r="E15" s="50">
        <v>20</v>
      </c>
      <c r="F15" s="26" t="s">
        <v>43</v>
      </c>
      <c r="G15" s="28" t="s">
        <v>44</v>
      </c>
      <c r="H15" s="32">
        <v>20</v>
      </c>
      <c r="I15" s="30"/>
      <c r="J15" s="31">
        <f>IF(I15&gt;95,20,IF(I15&gt;90,10,IF(I15&gt;=80,0,-10)))</f>
        <v>-10</v>
      </c>
      <c r="K15" s="28" t="s">
        <v>44</v>
      </c>
      <c r="L15" s="32">
        <v>20</v>
      </c>
      <c r="M15" s="33"/>
      <c r="N15" s="34">
        <f>IF(M15&gt;95,20,IF(M15&gt;90,10,IF(M15&gt;=80,0,-10)))</f>
        <v>-10</v>
      </c>
      <c r="O15" s="35" t="s">
        <v>45</v>
      </c>
    </row>
    <row r="16" spans="1:19" ht="18" customHeight="1" x14ac:dyDescent="0.2">
      <c r="A16" s="26"/>
      <c r="B16" s="26"/>
      <c r="C16" s="26"/>
      <c r="D16" s="26"/>
      <c r="E16" s="50"/>
      <c r="F16" s="26"/>
      <c r="G16" s="28" t="s">
        <v>46</v>
      </c>
      <c r="H16" s="32">
        <v>10</v>
      </c>
      <c r="I16" s="30"/>
      <c r="J16" s="31"/>
      <c r="K16" s="28" t="s">
        <v>46</v>
      </c>
      <c r="L16" s="32">
        <v>10</v>
      </c>
      <c r="M16" s="33"/>
      <c r="N16" s="34"/>
      <c r="O16" s="36"/>
    </row>
    <row r="17" spans="1:17" ht="18" customHeight="1" x14ac:dyDescent="0.2">
      <c r="A17" s="26"/>
      <c r="B17" s="26"/>
      <c r="C17" s="26"/>
      <c r="D17" s="26"/>
      <c r="E17" s="50"/>
      <c r="F17" s="26"/>
      <c r="G17" s="28" t="s">
        <v>47</v>
      </c>
      <c r="H17" s="32">
        <v>0</v>
      </c>
      <c r="I17" s="30"/>
      <c r="J17" s="31"/>
      <c r="K17" s="28" t="s">
        <v>47</v>
      </c>
      <c r="L17" s="32">
        <v>0</v>
      </c>
      <c r="M17" s="33"/>
      <c r="N17" s="34"/>
      <c r="O17" s="36"/>
    </row>
    <row r="18" spans="1:17" ht="18" customHeight="1" x14ac:dyDescent="0.2">
      <c r="A18" s="26"/>
      <c r="B18" s="26"/>
      <c r="C18" s="26"/>
      <c r="D18" s="26"/>
      <c r="E18" s="50"/>
      <c r="F18" s="26"/>
      <c r="G18" s="28" t="s">
        <v>48</v>
      </c>
      <c r="H18" s="32">
        <v>-10</v>
      </c>
      <c r="I18" s="30"/>
      <c r="J18" s="31"/>
      <c r="K18" s="28" t="s">
        <v>48</v>
      </c>
      <c r="L18" s="32">
        <v>-10</v>
      </c>
      <c r="M18" s="33"/>
      <c r="N18" s="34"/>
      <c r="O18" s="49"/>
      <c r="P18" s="51">
        <f>SUM(J4:J18)</f>
        <v>-10</v>
      </c>
      <c r="Q18" s="52">
        <f>SUM(N4:N18)</f>
        <v>-10</v>
      </c>
    </row>
    <row r="19" spans="1:17" ht="28.5" customHeight="1" x14ac:dyDescent="0.2">
      <c r="A19" s="53" t="s">
        <v>49</v>
      </c>
      <c r="B19" s="54">
        <v>100</v>
      </c>
      <c r="C19" s="54" t="s">
        <v>50</v>
      </c>
      <c r="D19" s="55" t="s">
        <v>51</v>
      </c>
      <c r="E19" s="56">
        <v>40</v>
      </c>
      <c r="F19" s="26" t="s">
        <v>52</v>
      </c>
      <c r="G19" s="57" t="s">
        <v>53</v>
      </c>
      <c r="H19" s="29">
        <v>-2</v>
      </c>
      <c r="I19" s="38"/>
      <c r="J19" s="58">
        <f>E19+H19*I19+H20*I20+H21*I21+H22*I22+H23*I23+H24*I24+H25*I25</f>
        <v>40</v>
      </c>
      <c r="K19" s="57" t="s">
        <v>53</v>
      </c>
      <c r="L19" s="59">
        <v>-2</v>
      </c>
      <c r="M19" s="40"/>
      <c r="N19" s="60">
        <f>E19+L19*M19+L20*M20+L21*M21+L22*M22+L23*M23+L24*M24+L25*M25</f>
        <v>40</v>
      </c>
      <c r="O19" s="61" t="s">
        <v>54</v>
      </c>
    </row>
    <row r="20" spans="1:17" ht="28.5" customHeight="1" x14ac:dyDescent="0.2">
      <c r="A20" s="62"/>
      <c r="B20" s="63"/>
      <c r="C20" s="63"/>
      <c r="D20" s="64"/>
      <c r="E20" s="65"/>
      <c r="F20" s="26"/>
      <c r="G20" s="57" t="s">
        <v>55</v>
      </c>
      <c r="H20" s="29">
        <v>-5</v>
      </c>
      <c r="I20" s="38"/>
      <c r="J20" s="66"/>
      <c r="K20" s="57" t="s">
        <v>55</v>
      </c>
      <c r="L20" s="59">
        <v>-5</v>
      </c>
      <c r="M20" s="40"/>
      <c r="N20" s="67"/>
      <c r="O20" s="68"/>
    </row>
    <row r="21" spans="1:17" ht="28.5" customHeight="1" x14ac:dyDescent="0.2">
      <c r="A21" s="62"/>
      <c r="B21" s="63"/>
      <c r="C21" s="63"/>
      <c r="D21" s="64"/>
      <c r="E21" s="65"/>
      <c r="F21" s="26"/>
      <c r="G21" s="57" t="s">
        <v>56</v>
      </c>
      <c r="H21" s="29">
        <v>-10</v>
      </c>
      <c r="I21" s="38"/>
      <c r="J21" s="66"/>
      <c r="K21" s="57" t="s">
        <v>56</v>
      </c>
      <c r="L21" s="59">
        <v>-10</v>
      </c>
      <c r="M21" s="40"/>
      <c r="N21" s="67"/>
      <c r="O21" s="68"/>
    </row>
    <row r="22" spans="1:17" ht="28.5" customHeight="1" x14ac:dyDescent="0.2">
      <c r="A22" s="62"/>
      <c r="B22" s="63"/>
      <c r="C22" s="63"/>
      <c r="D22" s="64"/>
      <c r="E22" s="65"/>
      <c r="F22" s="26"/>
      <c r="G22" s="57" t="s">
        <v>57</v>
      </c>
      <c r="H22" s="29">
        <v>-10</v>
      </c>
      <c r="I22" s="38"/>
      <c r="J22" s="66"/>
      <c r="K22" s="57" t="s">
        <v>57</v>
      </c>
      <c r="L22" s="59">
        <v>-10</v>
      </c>
      <c r="M22" s="40"/>
      <c r="N22" s="67"/>
      <c r="O22" s="69"/>
    </row>
    <row r="23" spans="1:17" ht="28.5" customHeight="1" x14ac:dyDescent="0.2">
      <c r="A23" s="62"/>
      <c r="B23" s="63"/>
      <c r="C23" s="63"/>
      <c r="D23" s="64"/>
      <c r="E23" s="65"/>
      <c r="F23" s="26"/>
      <c r="G23" s="70" t="s">
        <v>58</v>
      </c>
      <c r="H23" s="29">
        <v>-10</v>
      </c>
      <c r="I23" s="38"/>
      <c r="J23" s="66"/>
      <c r="K23" s="71" t="s">
        <v>58</v>
      </c>
      <c r="L23" s="59">
        <v>-10</v>
      </c>
      <c r="M23" s="40"/>
      <c r="N23" s="67"/>
      <c r="O23" s="61" t="s">
        <v>54</v>
      </c>
    </row>
    <row r="24" spans="1:17" ht="28.5" customHeight="1" x14ac:dyDescent="0.2">
      <c r="A24" s="62"/>
      <c r="B24" s="63"/>
      <c r="C24" s="63"/>
      <c r="D24" s="64"/>
      <c r="E24" s="65"/>
      <c r="F24" s="26"/>
      <c r="G24" s="70" t="s">
        <v>59</v>
      </c>
      <c r="H24" s="29">
        <v>-10</v>
      </c>
      <c r="I24" s="38"/>
      <c r="J24" s="66"/>
      <c r="K24" s="70" t="s">
        <v>59</v>
      </c>
      <c r="L24" s="59">
        <v>-10</v>
      </c>
      <c r="M24" s="40"/>
      <c r="N24" s="67"/>
      <c r="O24" s="68"/>
    </row>
    <row r="25" spans="1:17" ht="28.5" customHeight="1" x14ac:dyDescent="0.2">
      <c r="A25" s="62"/>
      <c r="B25" s="63"/>
      <c r="C25" s="72"/>
      <c r="D25" s="64"/>
      <c r="E25" s="73"/>
      <c r="F25" s="26"/>
      <c r="G25" s="57" t="s">
        <v>60</v>
      </c>
      <c r="H25" s="29">
        <v>-20</v>
      </c>
      <c r="I25" s="38"/>
      <c r="J25" s="74"/>
      <c r="K25" s="57" t="s">
        <v>60</v>
      </c>
      <c r="L25" s="59">
        <v>-20</v>
      </c>
      <c r="M25" s="40"/>
      <c r="N25" s="75"/>
      <c r="O25" s="69"/>
    </row>
    <row r="26" spans="1:17" ht="18" customHeight="1" x14ac:dyDescent="0.2">
      <c r="A26" s="62"/>
      <c r="B26" s="63"/>
      <c r="C26" s="54" t="s">
        <v>61</v>
      </c>
      <c r="D26" s="54" t="s">
        <v>61</v>
      </c>
      <c r="E26" s="35">
        <v>60</v>
      </c>
      <c r="F26" s="63" t="s">
        <v>62</v>
      </c>
      <c r="G26" s="70" t="s">
        <v>63</v>
      </c>
      <c r="H26" s="29">
        <v>-10</v>
      </c>
      <c r="I26" s="38"/>
      <c r="J26" s="58">
        <f>E26+H26*I26+H27*I27+H28*I28+H29*I29</f>
        <v>60</v>
      </c>
      <c r="K26" s="70" t="s">
        <v>63</v>
      </c>
      <c r="L26" s="59">
        <v>-10</v>
      </c>
      <c r="M26" s="40"/>
      <c r="N26" s="76">
        <f>E26+L26*M26+L27*M27+L28*M28+L29*M29</f>
        <v>60</v>
      </c>
      <c r="O26" s="61" t="s">
        <v>64</v>
      </c>
    </row>
    <row r="27" spans="1:17" ht="18" customHeight="1" x14ac:dyDescent="0.2">
      <c r="A27" s="62"/>
      <c r="B27" s="63"/>
      <c r="C27" s="63"/>
      <c r="D27" s="63"/>
      <c r="E27" s="36"/>
      <c r="F27" s="63"/>
      <c r="G27" s="70" t="s">
        <v>65</v>
      </c>
      <c r="H27" s="29">
        <v>-15</v>
      </c>
      <c r="I27" s="38"/>
      <c r="J27" s="66"/>
      <c r="K27" s="70" t="s">
        <v>65</v>
      </c>
      <c r="L27" s="59">
        <v>-15</v>
      </c>
      <c r="M27" s="40"/>
      <c r="N27" s="77"/>
      <c r="O27" s="68"/>
    </row>
    <row r="28" spans="1:17" ht="18" customHeight="1" x14ac:dyDescent="0.2">
      <c r="A28" s="62"/>
      <c r="B28" s="63"/>
      <c r="C28" s="63"/>
      <c r="D28" s="63"/>
      <c r="E28" s="36"/>
      <c r="F28" s="63"/>
      <c r="G28" s="57" t="s">
        <v>66</v>
      </c>
      <c r="H28" s="29">
        <v>-20</v>
      </c>
      <c r="I28" s="38"/>
      <c r="J28" s="66"/>
      <c r="K28" s="57" t="s">
        <v>66</v>
      </c>
      <c r="L28" s="59">
        <v>-20</v>
      </c>
      <c r="M28" s="40"/>
      <c r="N28" s="77"/>
      <c r="O28" s="68"/>
    </row>
    <row r="29" spans="1:17" ht="18" customHeight="1" x14ac:dyDescent="0.2">
      <c r="A29" s="78"/>
      <c r="B29" s="72"/>
      <c r="C29" s="72"/>
      <c r="D29" s="72"/>
      <c r="E29" s="49"/>
      <c r="F29" s="72"/>
      <c r="G29" s="79" t="s">
        <v>67</v>
      </c>
      <c r="H29" s="29">
        <v>-10</v>
      </c>
      <c r="I29" s="38"/>
      <c r="J29" s="74"/>
      <c r="K29" s="79" t="s">
        <v>67</v>
      </c>
      <c r="L29" s="59">
        <v>-10</v>
      </c>
      <c r="M29" s="40"/>
      <c r="N29" s="80"/>
      <c r="O29" s="69"/>
      <c r="P29" s="81">
        <f>SUM(J19:J29)</f>
        <v>100</v>
      </c>
      <c r="Q29" s="82">
        <f>SUM(N19:N29)</f>
        <v>100</v>
      </c>
    </row>
    <row r="30" spans="1:17" ht="15" customHeight="1" x14ac:dyDescent="0.2">
      <c r="A30" s="54" t="s">
        <v>68</v>
      </c>
      <c r="B30" s="54">
        <v>180</v>
      </c>
      <c r="C30" s="26" t="s">
        <v>69</v>
      </c>
      <c r="D30" s="83" t="s">
        <v>70</v>
      </c>
      <c r="E30" s="84">
        <v>80</v>
      </c>
      <c r="F30" s="85" t="s">
        <v>71</v>
      </c>
      <c r="G30" s="28" t="s">
        <v>72</v>
      </c>
      <c r="H30" s="29">
        <v>-5</v>
      </c>
      <c r="I30" s="38"/>
      <c r="J30" s="86">
        <f>E30+H30*I30+H31*I31+H32*I32+H33*I33+H34*I34</f>
        <v>80</v>
      </c>
      <c r="K30" s="28" t="s">
        <v>72</v>
      </c>
      <c r="L30" s="32">
        <v>-5</v>
      </c>
      <c r="M30" s="40"/>
      <c r="N30" s="87">
        <f>E30+L30*M30+L31*M31+L32*M32+L33*M33+L34*M34</f>
        <v>80</v>
      </c>
      <c r="O30" s="35" t="s">
        <v>54</v>
      </c>
    </row>
    <row r="31" spans="1:17" ht="15" customHeight="1" x14ac:dyDescent="0.2">
      <c r="A31" s="63"/>
      <c r="B31" s="63"/>
      <c r="C31" s="26"/>
      <c r="D31" s="83"/>
      <c r="E31" s="84"/>
      <c r="F31" s="88"/>
      <c r="G31" s="28" t="s">
        <v>73</v>
      </c>
      <c r="H31" s="29">
        <v>-8</v>
      </c>
      <c r="I31" s="38"/>
      <c r="J31" s="89"/>
      <c r="K31" s="28" t="s">
        <v>73</v>
      </c>
      <c r="L31" s="32">
        <v>-8</v>
      </c>
      <c r="M31" s="40"/>
      <c r="N31" s="90"/>
      <c r="O31" s="49"/>
    </row>
    <row r="32" spans="1:17" ht="15" customHeight="1" x14ac:dyDescent="0.2">
      <c r="A32" s="63"/>
      <c r="B32" s="63"/>
      <c r="C32" s="26"/>
      <c r="D32" s="83"/>
      <c r="E32" s="84"/>
      <c r="F32" s="88"/>
      <c r="G32" s="28" t="s">
        <v>74</v>
      </c>
      <c r="H32" s="29">
        <v>-10</v>
      </c>
      <c r="I32" s="38"/>
      <c r="J32" s="89"/>
      <c r="K32" s="28" t="s">
        <v>74</v>
      </c>
      <c r="L32" s="32">
        <v>-10</v>
      </c>
      <c r="M32" s="40"/>
      <c r="N32" s="90"/>
      <c r="O32" s="61" t="s">
        <v>64</v>
      </c>
    </row>
    <row r="33" spans="1:17" ht="15" customHeight="1" x14ac:dyDescent="0.2">
      <c r="A33" s="63"/>
      <c r="B33" s="63"/>
      <c r="C33" s="26"/>
      <c r="D33" s="83"/>
      <c r="E33" s="84"/>
      <c r="F33" s="88"/>
      <c r="G33" s="28" t="s">
        <v>75</v>
      </c>
      <c r="H33" s="29">
        <v>-15</v>
      </c>
      <c r="I33" s="38"/>
      <c r="J33" s="89"/>
      <c r="K33" s="28" t="s">
        <v>75</v>
      </c>
      <c r="L33" s="32">
        <v>-15</v>
      </c>
      <c r="M33" s="40"/>
      <c r="N33" s="90"/>
      <c r="O33" s="68"/>
    </row>
    <row r="34" spans="1:17" ht="15" customHeight="1" x14ac:dyDescent="0.2">
      <c r="A34" s="63"/>
      <c r="B34" s="63"/>
      <c r="C34" s="26"/>
      <c r="D34" s="83"/>
      <c r="E34" s="84"/>
      <c r="F34" s="88"/>
      <c r="G34" s="28" t="s">
        <v>76</v>
      </c>
      <c r="H34" s="29">
        <v>-20</v>
      </c>
      <c r="I34" s="38"/>
      <c r="J34" s="91"/>
      <c r="K34" s="28" t="s">
        <v>76</v>
      </c>
      <c r="L34" s="32">
        <v>-20</v>
      </c>
      <c r="M34" s="40"/>
      <c r="N34" s="92"/>
      <c r="O34" s="69"/>
    </row>
    <row r="35" spans="1:17" ht="21" customHeight="1" x14ac:dyDescent="0.2">
      <c r="A35" s="63"/>
      <c r="B35" s="63"/>
      <c r="C35" s="54" t="s">
        <v>77</v>
      </c>
      <c r="D35" s="54" t="s">
        <v>78</v>
      </c>
      <c r="E35" s="35">
        <v>20</v>
      </c>
      <c r="F35" s="54" t="s">
        <v>79</v>
      </c>
      <c r="G35" s="28" t="s">
        <v>80</v>
      </c>
      <c r="H35" s="29">
        <v>10</v>
      </c>
      <c r="I35" s="38"/>
      <c r="J35" s="86">
        <f>MEDIAN(H35*I35+H36*I36,20,0)</f>
        <v>0</v>
      </c>
      <c r="K35" s="28" t="s">
        <v>80</v>
      </c>
      <c r="L35" s="32">
        <v>10</v>
      </c>
      <c r="M35" s="40"/>
      <c r="N35" s="87">
        <f>MEDIAN(L35*M35+L36*M36,20,0)</f>
        <v>0</v>
      </c>
      <c r="O35" s="35" t="s">
        <v>81</v>
      </c>
    </row>
    <row r="36" spans="1:17" ht="24" customHeight="1" x14ac:dyDescent="0.2">
      <c r="A36" s="63"/>
      <c r="B36" s="63"/>
      <c r="C36" s="63"/>
      <c r="D36" s="63"/>
      <c r="E36" s="36"/>
      <c r="F36" s="63"/>
      <c r="G36" s="28" t="s">
        <v>82</v>
      </c>
      <c r="H36" s="29">
        <v>5</v>
      </c>
      <c r="I36" s="38"/>
      <c r="J36" s="91"/>
      <c r="K36" s="28" t="s">
        <v>82</v>
      </c>
      <c r="L36" s="32">
        <v>5</v>
      </c>
      <c r="M36" s="40"/>
      <c r="N36" s="92"/>
      <c r="O36" s="49"/>
    </row>
    <row r="37" spans="1:17" ht="21" customHeight="1" x14ac:dyDescent="0.2">
      <c r="A37" s="63"/>
      <c r="B37" s="63"/>
      <c r="C37" s="26" t="s">
        <v>83</v>
      </c>
      <c r="D37" s="26" t="s">
        <v>83</v>
      </c>
      <c r="E37" s="50">
        <v>20</v>
      </c>
      <c r="F37" s="54" t="s">
        <v>84</v>
      </c>
      <c r="G37" s="93" t="s">
        <v>85</v>
      </c>
      <c r="H37" s="94">
        <v>20</v>
      </c>
      <c r="I37" s="95"/>
      <c r="J37" s="86">
        <f>IF(I37=100%,20,IF(I37&gt;=8.25%,10,IF(I37&gt;=0,0,IF(I37&lt;0,-10,))))</f>
        <v>0</v>
      </c>
      <c r="K37" s="93" t="s">
        <v>85</v>
      </c>
      <c r="L37" s="42">
        <v>20</v>
      </c>
      <c r="M37" s="96"/>
      <c r="N37" s="97">
        <f>IF(M37=100%,20,IF(M37&gt;=8.25%,10,IF(M37&gt;=0,0,IF(M37&lt;0,-10,))))</f>
        <v>0</v>
      </c>
      <c r="O37" s="35" t="s">
        <v>20</v>
      </c>
    </row>
    <row r="38" spans="1:17" ht="21" customHeight="1" x14ac:dyDescent="0.2">
      <c r="A38" s="63"/>
      <c r="B38" s="63"/>
      <c r="C38" s="26"/>
      <c r="D38" s="26"/>
      <c r="E38" s="50"/>
      <c r="F38" s="63"/>
      <c r="G38" s="93" t="s">
        <v>86</v>
      </c>
      <c r="H38" s="94">
        <v>10</v>
      </c>
      <c r="I38" s="98"/>
      <c r="J38" s="89"/>
      <c r="K38" s="93" t="s">
        <v>86</v>
      </c>
      <c r="L38" s="42">
        <v>10</v>
      </c>
      <c r="M38" s="99"/>
      <c r="N38" s="100"/>
      <c r="O38" s="36"/>
    </row>
    <row r="39" spans="1:17" ht="21" customHeight="1" x14ac:dyDescent="0.2">
      <c r="A39" s="63"/>
      <c r="B39" s="63"/>
      <c r="C39" s="26"/>
      <c r="D39" s="26"/>
      <c r="E39" s="50"/>
      <c r="F39" s="63"/>
      <c r="G39" s="93" t="s">
        <v>87</v>
      </c>
      <c r="H39" s="94">
        <v>5</v>
      </c>
      <c r="I39" s="98"/>
      <c r="J39" s="89"/>
      <c r="K39" s="93"/>
      <c r="L39" s="42"/>
      <c r="M39" s="99"/>
      <c r="N39" s="100"/>
      <c r="O39" s="36"/>
    </row>
    <row r="40" spans="1:17" ht="21" customHeight="1" x14ac:dyDescent="0.2">
      <c r="A40" s="63"/>
      <c r="B40" s="63"/>
      <c r="C40" s="26"/>
      <c r="D40" s="26"/>
      <c r="E40" s="50"/>
      <c r="F40" s="63"/>
      <c r="G40" s="37" t="s">
        <v>88</v>
      </c>
      <c r="H40" s="94">
        <v>0</v>
      </c>
      <c r="I40" s="98"/>
      <c r="J40" s="89"/>
      <c r="K40" s="37" t="s">
        <v>89</v>
      </c>
      <c r="L40" s="42">
        <v>0</v>
      </c>
      <c r="M40" s="99"/>
      <c r="N40" s="100"/>
      <c r="O40" s="36"/>
    </row>
    <row r="41" spans="1:17" ht="21" customHeight="1" x14ac:dyDescent="0.2">
      <c r="A41" s="63"/>
      <c r="B41" s="63"/>
      <c r="C41" s="26"/>
      <c r="D41" s="26"/>
      <c r="E41" s="50"/>
      <c r="F41" s="72"/>
      <c r="G41" s="101" t="s">
        <v>90</v>
      </c>
      <c r="H41" s="94">
        <v>-5</v>
      </c>
      <c r="I41" s="102"/>
      <c r="J41" s="91"/>
      <c r="K41" s="101" t="s">
        <v>91</v>
      </c>
      <c r="L41" s="94">
        <v>-10</v>
      </c>
      <c r="M41" s="103"/>
      <c r="N41" s="104"/>
      <c r="O41" s="49"/>
      <c r="P41" s="81">
        <f>SUM(J30:J41)</f>
        <v>80</v>
      </c>
      <c r="Q41" s="82">
        <f>SUM(N30:N41)</f>
        <v>80</v>
      </c>
    </row>
    <row r="42" spans="1:17" ht="22.5" customHeight="1" x14ac:dyDescent="0.2">
      <c r="A42" s="63"/>
      <c r="B42" s="63"/>
      <c r="C42" s="54" t="s">
        <v>92</v>
      </c>
      <c r="D42" s="54" t="s">
        <v>92</v>
      </c>
      <c r="E42" s="35">
        <v>60</v>
      </c>
      <c r="F42" s="54" t="s">
        <v>93</v>
      </c>
      <c r="G42" s="94" t="s">
        <v>94</v>
      </c>
      <c r="H42" s="94">
        <v>0.5</v>
      </c>
      <c r="I42" s="38"/>
      <c r="J42" s="105">
        <f>MEDIAN(H42*I42,60,0)</f>
        <v>0</v>
      </c>
      <c r="K42" s="101"/>
      <c r="L42" s="94"/>
      <c r="M42" s="106"/>
      <c r="N42" s="107"/>
      <c r="O42" s="108"/>
      <c r="P42" s="81"/>
      <c r="Q42" s="82"/>
    </row>
    <row r="43" spans="1:17" ht="22.5" customHeight="1" x14ac:dyDescent="0.2">
      <c r="A43" s="63"/>
      <c r="B43" s="63"/>
      <c r="C43" s="63"/>
      <c r="D43" s="63"/>
      <c r="E43" s="36"/>
      <c r="F43" s="63"/>
      <c r="G43" s="101" t="s">
        <v>95</v>
      </c>
      <c r="H43" s="94">
        <v>0.1</v>
      </c>
      <c r="I43" s="38"/>
      <c r="J43" s="109">
        <f>MEDIAN(H43*I43+H44*I44,60,0)</f>
        <v>0</v>
      </c>
      <c r="K43" s="101"/>
      <c r="L43" s="94"/>
      <c r="M43" s="106"/>
      <c r="N43" s="107"/>
      <c r="O43" s="108"/>
      <c r="P43" s="81"/>
      <c r="Q43" s="82"/>
    </row>
    <row r="44" spans="1:17" ht="22.5" customHeight="1" x14ac:dyDescent="0.2">
      <c r="A44" s="63"/>
      <c r="B44" s="72"/>
      <c r="C44" s="63"/>
      <c r="D44" s="63"/>
      <c r="E44" s="36"/>
      <c r="F44" s="63"/>
      <c r="G44" s="101" t="s">
        <v>96</v>
      </c>
      <c r="H44" s="94">
        <v>0.5</v>
      </c>
      <c r="I44" s="38"/>
      <c r="J44" s="110"/>
      <c r="K44" s="101"/>
      <c r="L44" s="94"/>
      <c r="M44" s="106"/>
      <c r="N44" s="107"/>
      <c r="O44" s="108"/>
      <c r="P44" s="81"/>
      <c r="Q44" s="82"/>
    </row>
    <row r="45" spans="1:17" ht="31.5" customHeight="1" x14ac:dyDescent="0.2">
      <c r="A45" s="26" t="s">
        <v>97</v>
      </c>
      <c r="B45" s="111">
        <v>80</v>
      </c>
      <c r="C45" s="112" t="s">
        <v>98</v>
      </c>
      <c r="D45" s="112" t="s">
        <v>99</v>
      </c>
      <c r="E45" s="113">
        <v>10</v>
      </c>
      <c r="F45" s="112" t="s">
        <v>100</v>
      </c>
      <c r="G45" s="28" t="s">
        <v>101</v>
      </c>
      <c r="H45" s="94">
        <v>2</v>
      </c>
      <c r="I45" s="114"/>
      <c r="J45" s="105">
        <f>MEDIAN(H45*I45,10,0)</f>
        <v>0</v>
      </c>
      <c r="K45" s="28" t="s">
        <v>102</v>
      </c>
      <c r="L45" s="42">
        <v>2</v>
      </c>
      <c r="M45" s="115"/>
      <c r="N45" s="116">
        <f>MEDIAN(L45*M45,10,0)</f>
        <v>0</v>
      </c>
      <c r="O45" s="113" t="s">
        <v>103</v>
      </c>
    </row>
    <row r="46" spans="1:17" ht="21" customHeight="1" x14ac:dyDescent="0.2">
      <c r="A46" s="26"/>
      <c r="B46" s="111"/>
      <c r="C46" s="54" t="s">
        <v>104</v>
      </c>
      <c r="D46" s="54" t="s">
        <v>105</v>
      </c>
      <c r="E46" s="117">
        <v>30</v>
      </c>
      <c r="F46" s="35" t="s">
        <v>106</v>
      </c>
      <c r="G46" s="28" t="s">
        <v>107</v>
      </c>
      <c r="H46" s="94">
        <v>5</v>
      </c>
      <c r="I46" s="38"/>
      <c r="J46" s="118">
        <f>MEDIAN(H46*I46+H47*I47,30,0)</f>
        <v>0</v>
      </c>
      <c r="K46" s="28" t="s">
        <v>107</v>
      </c>
      <c r="L46" s="42">
        <v>5</v>
      </c>
      <c r="M46" s="106"/>
      <c r="N46" s="119"/>
      <c r="O46" s="36" t="s">
        <v>108</v>
      </c>
    </row>
    <row r="47" spans="1:17" ht="21" customHeight="1" x14ac:dyDescent="0.2">
      <c r="A47" s="26"/>
      <c r="B47" s="111"/>
      <c r="C47" s="72"/>
      <c r="D47" s="72"/>
      <c r="E47" s="120"/>
      <c r="F47" s="49"/>
      <c r="G47" s="28" t="s">
        <v>109</v>
      </c>
      <c r="H47" s="94">
        <v>5</v>
      </c>
      <c r="I47" s="38"/>
      <c r="J47" s="121"/>
      <c r="K47" s="28" t="s">
        <v>109</v>
      </c>
      <c r="L47" s="42">
        <v>5</v>
      </c>
      <c r="M47" s="122"/>
      <c r="N47" s="123"/>
      <c r="O47" s="49"/>
    </row>
    <row r="48" spans="1:17" ht="32.25" customHeight="1" x14ac:dyDescent="0.2">
      <c r="A48" s="26"/>
      <c r="B48" s="111"/>
      <c r="C48" s="37" t="s">
        <v>110</v>
      </c>
      <c r="D48" s="124" t="s">
        <v>110</v>
      </c>
      <c r="E48" s="45">
        <v>20</v>
      </c>
      <c r="F48" s="28" t="s">
        <v>111</v>
      </c>
      <c r="G48" s="28" t="s">
        <v>112</v>
      </c>
      <c r="H48" s="94">
        <v>10</v>
      </c>
      <c r="I48" s="114"/>
      <c r="J48" s="105">
        <f>MEDIAN(H48*I48,20,0)</f>
        <v>0</v>
      </c>
      <c r="K48" s="28" t="s">
        <v>112</v>
      </c>
      <c r="L48" s="42">
        <v>10</v>
      </c>
      <c r="M48" s="115"/>
      <c r="N48" s="116">
        <f>MEDIAN(L48*M48,20,0)</f>
        <v>0</v>
      </c>
      <c r="O48" s="42" t="s">
        <v>81</v>
      </c>
    </row>
    <row r="49" spans="1:20" ht="28.5" customHeight="1" x14ac:dyDescent="0.2">
      <c r="A49" s="26"/>
      <c r="B49" s="111"/>
      <c r="C49" s="28" t="s">
        <v>113</v>
      </c>
      <c r="D49" s="28" t="s">
        <v>114</v>
      </c>
      <c r="E49" s="42">
        <v>10</v>
      </c>
      <c r="F49" s="28" t="s">
        <v>115</v>
      </c>
      <c r="G49" s="28" t="s">
        <v>116</v>
      </c>
      <c r="H49" s="94">
        <v>10</v>
      </c>
      <c r="I49" s="114"/>
      <c r="J49" s="105">
        <f>MEDIAN(H49*I49,10,0)</f>
        <v>0</v>
      </c>
      <c r="K49" s="28" t="s">
        <v>116</v>
      </c>
      <c r="L49" s="42">
        <v>10</v>
      </c>
      <c r="M49" s="115"/>
      <c r="N49" s="116">
        <f>MEDIAN(L49*M49,10,0)</f>
        <v>0</v>
      </c>
      <c r="O49" s="42" t="s">
        <v>81</v>
      </c>
      <c r="P49" s="125"/>
    </row>
    <row r="50" spans="1:20" ht="29.25" customHeight="1" x14ac:dyDescent="0.2">
      <c r="A50" s="26"/>
      <c r="B50" s="111"/>
      <c r="C50" s="28" t="s">
        <v>117</v>
      </c>
      <c r="D50" s="124" t="s">
        <v>118</v>
      </c>
      <c r="E50" s="126">
        <v>10</v>
      </c>
      <c r="F50" s="112" t="s">
        <v>119</v>
      </c>
      <c r="G50" s="112" t="s">
        <v>120</v>
      </c>
      <c r="H50" s="94">
        <v>2</v>
      </c>
      <c r="I50" s="38"/>
      <c r="J50" s="105">
        <f>H50*I50</f>
        <v>0</v>
      </c>
      <c r="K50" s="112" t="s">
        <v>120</v>
      </c>
      <c r="L50" s="42">
        <v>2</v>
      </c>
      <c r="M50" s="40"/>
      <c r="N50" s="116">
        <f>L50*M50</f>
        <v>0</v>
      </c>
      <c r="O50" s="113" t="s">
        <v>81</v>
      </c>
      <c r="P50" s="127">
        <f>SUM(J45:J50)</f>
        <v>0</v>
      </c>
      <c r="Q50" s="128">
        <f>SUM(N45:N50)</f>
        <v>0</v>
      </c>
    </row>
    <row r="51" spans="1:20" ht="18" customHeight="1" x14ac:dyDescent="0.2">
      <c r="A51" s="54" t="s">
        <v>121</v>
      </c>
      <c r="B51" s="26">
        <v>165</v>
      </c>
      <c r="C51" s="54" t="s">
        <v>122</v>
      </c>
      <c r="D51" s="54" t="s">
        <v>123</v>
      </c>
      <c r="E51" s="35">
        <v>30</v>
      </c>
      <c r="F51" s="35" t="s">
        <v>124</v>
      </c>
      <c r="G51" s="55" t="s">
        <v>123</v>
      </c>
      <c r="H51" s="129">
        <f>MEDIAN(I51*6,30,0)</f>
        <v>0</v>
      </c>
      <c r="I51" s="114"/>
      <c r="J51" s="130">
        <f>MEDIAN((H51*5%+H52*5%+H53*10%+H54*10%+H55*20%+H56*50%),30,0)</f>
        <v>0</v>
      </c>
      <c r="K51" s="55" t="s">
        <v>123</v>
      </c>
      <c r="L51" s="55">
        <v>6</v>
      </c>
      <c r="M51" s="131"/>
      <c r="N51" s="132">
        <f>MEDIAN(M51*L51,30,0)</f>
        <v>0</v>
      </c>
      <c r="O51" s="35" t="s">
        <v>125</v>
      </c>
    </row>
    <row r="52" spans="1:20" ht="18" customHeight="1" x14ac:dyDescent="0.2">
      <c r="A52" s="63"/>
      <c r="B52" s="26"/>
      <c r="C52" s="63"/>
      <c r="D52" s="63"/>
      <c r="E52" s="36"/>
      <c r="F52" s="36"/>
      <c r="G52" s="64"/>
      <c r="H52" s="129">
        <f t="shared" ref="H52:H56" si="0">MEDIAN(I52*6,30,0)</f>
        <v>0</v>
      </c>
      <c r="I52" s="114"/>
      <c r="J52" s="130"/>
      <c r="K52" s="64"/>
      <c r="L52" s="64"/>
      <c r="M52" s="99"/>
      <c r="N52" s="133"/>
      <c r="O52" s="36"/>
    </row>
    <row r="53" spans="1:20" ht="18" customHeight="1" x14ac:dyDescent="0.2">
      <c r="A53" s="63"/>
      <c r="B53" s="26"/>
      <c r="C53" s="63"/>
      <c r="D53" s="63"/>
      <c r="E53" s="36"/>
      <c r="F53" s="36"/>
      <c r="G53" s="64"/>
      <c r="H53" s="129">
        <f t="shared" si="0"/>
        <v>0</v>
      </c>
      <c r="I53" s="114"/>
      <c r="J53" s="130"/>
      <c r="K53" s="64"/>
      <c r="L53" s="64"/>
      <c r="M53" s="99"/>
      <c r="N53" s="133"/>
      <c r="O53" s="36"/>
    </row>
    <row r="54" spans="1:20" ht="18" customHeight="1" x14ac:dyDescent="0.2">
      <c r="A54" s="63"/>
      <c r="B54" s="26"/>
      <c r="C54" s="63"/>
      <c r="D54" s="63"/>
      <c r="E54" s="36"/>
      <c r="F54" s="36"/>
      <c r="G54" s="64"/>
      <c r="H54" s="129">
        <f t="shared" si="0"/>
        <v>0</v>
      </c>
      <c r="I54" s="114"/>
      <c r="J54" s="130"/>
      <c r="K54" s="64"/>
      <c r="L54" s="64"/>
      <c r="M54" s="99"/>
      <c r="N54" s="133"/>
      <c r="O54" s="36"/>
    </row>
    <row r="55" spans="1:20" ht="18" customHeight="1" x14ac:dyDescent="0.2">
      <c r="A55" s="63"/>
      <c r="B55" s="26"/>
      <c r="C55" s="63"/>
      <c r="D55" s="63"/>
      <c r="E55" s="36"/>
      <c r="F55" s="36"/>
      <c r="G55" s="64"/>
      <c r="H55" s="129">
        <f t="shared" si="0"/>
        <v>0</v>
      </c>
      <c r="I55" s="114"/>
      <c r="J55" s="130"/>
      <c r="K55" s="64"/>
      <c r="L55" s="64"/>
      <c r="M55" s="99"/>
      <c r="N55" s="133"/>
      <c r="O55" s="36"/>
    </row>
    <row r="56" spans="1:20" ht="18" customHeight="1" x14ac:dyDescent="0.2">
      <c r="A56" s="63"/>
      <c r="B56" s="26"/>
      <c r="C56" s="72"/>
      <c r="D56" s="72"/>
      <c r="E56" s="49"/>
      <c r="F56" s="49"/>
      <c r="G56" s="134"/>
      <c r="H56" s="129">
        <f t="shared" si="0"/>
        <v>0</v>
      </c>
      <c r="I56" s="114"/>
      <c r="J56" s="135"/>
      <c r="K56" s="134"/>
      <c r="L56" s="134"/>
      <c r="M56" s="103"/>
      <c r="N56" s="136"/>
      <c r="O56" s="49"/>
    </row>
    <row r="57" spans="1:20" ht="15" customHeight="1" x14ac:dyDescent="0.2">
      <c r="A57" s="63"/>
      <c r="B57" s="26"/>
      <c r="C57" s="26" t="s">
        <v>126</v>
      </c>
      <c r="D57" s="54" t="s">
        <v>127</v>
      </c>
      <c r="E57" s="117">
        <v>15</v>
      </c>
      <c r="F57" s="54" t="s">
        <v>128</v>
      </c>
      <c r="G57" s="37" t="s">
        <v>129</v>
      </c>
      <c r="H57" s="137">
        <f>IF(I57&gt;=91%,15,IF(I57&gt;=81%,10,IF(I57&gt;=71%,8,IF(I57&gt;=61%,5,0))))</f>
        <v>15</v>
      </c>
      <c r="I57" s="138">
        <v>0.91</v>
      </c>
      <c r="J57" s="139">
        <f>H57*5%+H58*5%+H59*10%+H60*10%+H61*20%+H62*50%</f>
        <v>15</v>
      </c>
      <c r="K57" s="37" t="s">
        <v>130</v>
      </c>
      <c r="L57" s="140">
        <v>15</v>
      </c>
      <c r="M57" s="96"/>
      <c r="N57" s="132">
        <f>IF(M57&gt;=91%,20,IF(M57&gt;=81%,15,IF(M57&gt;=71%,10,IF(M57&gt;=61%,8,IF(M57&gt;0,5,0)))))</f>
        <v>0</v>
      </c>
      <c r="O57" s="35" t="s">
        <v>103</v>
      </c>
      <c r="R57" s="37" t="s">
        <v>130</v>
      </c>
      <c r="S57" s="37">
        <v>20</v>
      </c>
      <c r="T57" s="141">
        <v>5.6</v>
      </c>
    </row>
    <row r="58" spans="1:20" ht="15" customHeight="1" x14ac:dyDescent="0.2">
      <c r="A58" s="63"/>
      <c r="B58" s="26"/>
      <c r="C58" s="26"/>
      <c r="D58" s="63"/>
      <c r="E58" s="142"/>
      <c r="F58" s="63"/>
      <c r="G58" s="37" t="s">
        <v>131</v>
      </c>
      <c r="H58" s="137">
        <f>IF(I58&gt;=91%,15,IF(I58&gt;=81%,10,IF(I58&gt;=71%,8,IF(I58&gt;=61%,5,0))))</f>
        <v>15</v>
      </c>
      <c r="I58" s="138">
        <v>0.91</v>
      </c>
      <c r="J58" s="139"/>
      <c r="K58" s="37" t="s">
        <v>132</v>
      </c>
      <c r="L58" s="140">
        <v>10</v>
      </c>
      <c r="M58" s="99"/>
      <c r="N58" s="133"/>
      <c r="O58" s="36"/>
      <c r="R58" s="37" t="s">
        <v>132</v>
      </c>
      <c r="S58" s="37">
        <v>15</v>
      </c>
      <c r="T58" s="141">
        <v>4.3</v>
      </c>
    </row>
    <row r="59" spans="1:20" ht="15" customHeight="1" x14ac:dyDescent="0.2">
      <c r="A59" s="63"/>
      <c r="B59" s="26"/>
      <c r="C59" s="26"/>
      <c r="D59" s="63"/>
      <c r="E59" s="142"/>
      <c r="F59" s="63"/>
      <c r="G59" s="37" t="s">
        <v>133</v>
      </c>
      <c r="H59" s="137">
        <f>IF(I59&gt;=91%,15,IF(I59&gt;=81%,10,IF(I59&gt;=71%,8,IF(I59&gt;=61%,5,0))))</f>
        <v>15</v>
      </c>
      <c r="I59" s="138">
        <v>1</v>
      </c>
      <c r="J59" s="139"/>
      <c r="K59" s="37" t="s">
        <v>134</v>
      </c>
      <c r="L59" s="140">
        <v>8</v>
      </c>
      <c r="M59" s="99"/>
      <c r="N59" s="133"/>
      <c r="O59" s="36"/>
      <c r="R59" s="37" t="s">
        <v>134</v>
      </c>
      <c r="S59" s="37">
        <v>10</v>
      </c>
      <c r="T59" s="141">
        <v>2.8</v>
      </c>
    </row>
    <row r="60" spans="1:20" ht="15" customHeight="1" x14ac:dyDescent="0.2">
      <c r="A60" s="63"/>
      <c r="B60" s="26"/>
      <c r="C60" s="26"/>
      <c r="D60" s="63"/>
      <c r="E60" s="142"/>
      <c r="F60" s="63"/>
      <c r="G60" s="37" t="s">
        <v>135</v>
      </c>
      <c r="H60" s="137">
        <f>IF(I60&gt;=91%,15,IF(I60&gt;=81%,10,IF(I60&gt;=71%,8,IF(I60&gt;=61%,5,0))))</f>
        <v>15</v>
      </c>
      <c r="I60" s="138">
        <v>1</v>
      </c>
      <c r="J60" s="139"/>
      <c r="K60" s="37" t="s">
        <v>136</v>
      </c>
      <c r="L60" s="140">
        <v>5</v>
      </c>
      <c r="M60" s="99"/>
      <c r="N60" s="133"/>
      <c r="O60" s="36"/>
      <c r="R60" s="37" t="s">
        <v>136</v>
      </c>
      <c r="S60" s="37">
        <v>8</v>
      </c>
      <c r="T60" s="143">
        <v>2.2999999999999998</v>
      </c>
    </row>
    <row r="61" spans="1:20" ht="15" customHeight="1" x14ac:dyDescent="0.2">
      <c r="A61" s="63"/>
      <c r="B61" s="26"/>
      <c r="C61" s="26"/>
      <c r="D61" s="63"/>
      <c r="E61" s="142"/>
      <c r="F61" s="63"/>
      <c r="G61" s="37" t="s">
        <v>137</v>
      </c>
      <c r="H61" s="137">
        <f>IF(I61&gt;=91%,15,IF(I61&gt;=81%,10,IF(I61&gt;=71%,8,IF(I61&gt;=61%,5,0))))</f>
        <v>15</v>
      </c>
      <c r="I61" s="138">
        <v>1</v>
      </c>
      <c r="J61" s="139"/>
      <c r="K61" s="37" t="s">
        <v>138</v>
      </c>
      <c r="L61" s="140">
        <v>0</v>
      </c>
      <c r="M61" s="99"/>
      <c r="N61" s="133"/>
      <c r="O61" s="36"/>
      <c r="R61" s="37" t="s">
        <v>138</v>
      </c>
      <c r="S61" s="37">
        <v>5</v>
      </c>
      <c r="T61" s="143">
        <v>1.4</v>
      </c>
    </row>
    <row r="62" spans="1:20" ht="15" customHeight="1" x14ac:dyDescent="0.2">
      <c r="A62" s="63"/>
      <c r="B62" s="26"/>
      <c r="C62" s="26"/>
      <c r="D62" s="72"/>
      <c r="E62" s="120"/>
      <c r="F62" s="72"/>
      <c r="G62" s="37">
        <v>0</v>
      </c>
      <c r="H62" s="137">
        <f>IF(I62&gt;=91%,15,IF(I62&gt;=81%,10,IF(I62&gt;=71%,8,IF(I62&gt;=61%,5,0))))</f>
        <v>15</v>
      </c>
      <c r="I62" s="138">
        <v>1</v>
      </c>
      <c r="J62" s="144"/>
      <c r="K62" s="37">
        <v>0</v>
      </c>
      <c r="L62" s="7">
        <v>0</v>
      </c>
      <c r="M62" s="103"/>
      <c r="N62" s="136"/>
      <c r="O62" s="49"/>
      <c r="R62" s="37">
        <v>0</v>
      </c>
      <c r="S62" s="145"/>
      <c r="T62" s="146">
        <v>0</v>
      </c>
    </row>
    <row r="63" spans="1:20" ht="15" customHeight="1" x14ac:dyDescent="0.2">
      <c r="A63" s="63"/>
      <c r="B63" s="26"/>
      <c r="C63" s="26"/>
      <c r="D63" s="54" t="s">
        <v>139</v>
      </c>
      <c r="E63" s="117">
        <v>40</v>
      </c>
      <c r="F63" s="35" t="s">
        <v>140</v>
      </c>
      <c r="G63" s="37" t="s">
        <v>141</v>
      </c>
      <c r="H63" s="147">
        <f>IF(I63&gt;=91%,40,IF(I63&gt;=81%,30,IF(I63&gt;=71%,20,IF(I63&gt;=61%,10,IF(I63&gt;0,5,0)))))</f>
        <v>10</v>
      </c>
      <c r="I63" s="138">
        <v>0.61</v>
      </c>
      <c r="J63" s="139">
        <f>H63*5%+H64*5%+H65*10%+H66*10%+H67*20%+H68*50%</f>
        <v>10</v>
      </c>
      <c r="K63" s="37" t="s">
        <v>130</v>
      </c>
      <c r="L63" s="140">
        <v>40</v>
      </c>
      <c r="M63" s="96"/>
      <c r="N63" s="132">
        <f>IF(M63&gt;=91%,30,IF(M63&gt;=81%,25,IF(M63&gt;=71%,20,IF(M63&gt;=61%,15,IF(M63&gt;0,10,0)))))</f>
        <v>0</v>
      </c>
      <c r="O63" s="35" t="s">
        <v>103</v>
      </c>
      <c r="R63" s="37" t="s">
        <v>130</v>
      </c>
      <c r="S63" s="37">
        <v>30</v>
      </c>
      <c r="T63" s="141">
        <v>8.5</v>
      </c>
    </row>
    <row r="64" spans="1:20" ht="15" customHeight="1" x14ac:dyDescent="0.2">
      <c r="A64" s="63"/>
      <c r="B64" s="26"/>
      <c r="C64" s="26"/>
      <c r="D64" s="63"/>
      <c r="E64" s="142"/>
      <c r="F64" s="36"/>
      <c r="G64" s="37" t="s">
        <v>142</v>
      </c>
      <c r="H64" s="147">
        <f>IF(I64&gt;=91%,40,IF(I64&gt;=81%,30,IF(I64&gt;=71%,20,IF(I64&gt;=61%,10,IF(I64&gt;0,5,0)))))</f>
        <v>10</v>
      </c>
      <c r="I64" s="138">
        <v>0.61</v>
      </c>
      <c r="J64" s="139"/>
      <c r="K64" s="37" t="s">
        <v>132</v>
      </c>
      <c r="L64" s="140">
        <v>30</v>
      </c>
      <c r="M64" s="148"/>
      <c r="N64" s="133"/>
      <c r="O64" s="36"/>
      <c r="R64" s="37" t="s">
        <v>132</v>
      </c>
      <c r="S64" s="37">
        <v>25</v>
      </c>
      <c r="T64" s="141">
        <v>7.1</v>
      </c>
    </row>
    <row r="65" spans="1:20" ht="15" customHeight="1" x14ac:dyDescent="0.2">
      <c r="A65" s="63"/>
      <c r="B65" s="26"/>
      <c r="C65" s="26"/>
      <c r="D65" s="63"/>
      <c r="E65" s="142"/>
      <c r="F65" s="36"/>
      <c r="G65" s="37" t="s">
        <v>143</v>
      </c>
      <c r="H65" s="147">
        <f>IF(I65&gt;=91%,40,IF(I65&gt;=81%,30,IF(I65&gt;=71%,20,IF(I65&gt;=61%,10,IF(I65&gt;0,5,0)))))</f>
        <v>10</v>
      </c>
      <c r="I65" s="138">
        <v>0.61</v>
      </c>
      <c r="J65" s="139"/>
      <c r="K65" s="37" t="s">
        <v>134</v>
      </c>
      <c r="L65" s="140">
        <v>20</v>
      </c>
      <c r="M65" s="148"/>
      <c r="N65" s="133"/>
      <c r="O65" s="36"/>
      <c r="R65" s="37" t="s">
        <v>134</v>
      </c>
      <c r="S65" s="37">
        <v>20</v>
      </c>
      <c r="T65" s="141">
        <v>5.7</v>
      </c>
    </row>
    <row r="66" spans="1:20" ht="15" customHeight="1" x14ac:dyDescent="0.2">
      <c r="A66" s="63"/>
      <c r="B66" s="26"/>
      <c r="C66" s="26"/>
      <c r="D66" s="63"/>
      <c r="E66" s="142"/>
      <c r="F66" s="36"/>
      <c r="G66" s="37" t="s">
        <v>144</v>
      </c>
      <c r="H66" s="147">
        <f>IF(I66&gt;=91%,40,IF(I66&gt;=81%,30,IF(I66&gt;=71%,20,IF(I66&gt;=61%,10,IF(I66&gt;0,5,0)))))</f>
        <v>10</v>
      </c>
      <c r="I66" s="138">
        <v>0.61</v>
      </c>
      <c r="J66" s="139"/>
      <c r="K66" s="37" t="s">
        <v>136</v>
      </c>
      <c r="L66" s="140">
        <v>10</v>
      </c>
      <c r="M66" s="148"/>
      <c r="N66" s="133"/>
      <c r="O66" s="36"/>
      <c r="R66" s="37" t="s">
        <v>136</v>
      </c>
      <c r="S66" s="37">
        <v>15</v>
      </c>
      <c r="T66" s="143">
        <v>4.3</v>
      </c>
    </row>
    <row r="67" spans="1:20" ht="15" customHeight="1" x14ac:dyDescent="0.2">
      <c r="A67" s="63"/>
      <c r="B67" s="26"/>
      <c r="C67" s="26"/>
      <c r="D67" s="63"/>
      <c r="E67" s="142"/>
      <c r="F67" s="36"/>
      <c r="G67" s="37" t="s">
        <v>145</v>
      </c>
      <c r="H67" s="147">
        <f>IF(I67&gt;=91%,40,IF(I67&gt;=81%,30,IF(I67&gt;=71%,20,IF(I67&gt;=61%,10,IF(I67&gt;0,5,0)))))</f>
        <v>10</v>
      </c>
      <c r="I67" s="138">
        <v>0.61</v>
      </c>
      <c r="J67" s="139"/>
      <c r="K67" s="37" t="s">
        <v>138</v>
      </c>
      <c r="L67" s="140">
        <v>5</v>
      </c>
      <c r="M67" s="148"/>
      <c r="N67" s="133"/>
      <c r="O67" s="36"/>
      <c r="R67" s="37" t="s">
        <v>138</v>
      </c>
      <c r="S67" s="37">
        <v>10</v>
      </c>
      <c r="T67" s="143">
        <v>2.85</v>
      </c>
    </row>
    <row r="68" spans="1:20" ht="15" customHeight="1" x14ac:dyDescent="0.2">
      <c r="A68" s="63"/>
      <c r="B68" s="26"/>
      <c r="C68" s="26"/>
      <c r="D68" s="72"/>
      <c r="E68" s="120"/>
      <c r="F68" s="49"/>
      <c r="G68" s="37">
        <v>0</v>
      </c>
      <c r="H68" s="147">
        <f>IF(I68&gt;=91%,40,IF(I68&gt;=81%,30,IF(I68&gt;=71%,20,IF(I68&gt;=61%,10,IF(I68&gt;0,5,0)))))</f>
        <v>10</v>
      </c>
      <c r="I68" s="138">
        <v>0.61</v>
      </c>
      <c r="J68" s="144"/>
      <c r="K68" s="37"/>
      <c r="L68" s="140"/>
      <c r="M68" s="149"/>
      <c r="N68" s="136"/>
      <c r="O68" s="49"/>
      <c r="R68" s="37">
        <v>0</v>
      </c>
      <c r="S68" s="37"/>
      <c r="T68" s="37">
        <v>0</v>
      </c>
    </row>
    <row r="69" spans="1:20" ht="15" customHeight="1" x14ac:dyDescent="0.2">
      <c r="A69" s="63"/>
      <c r="B69" s="26"/>
      <c r="C69" s="88"/>
      <c r="D69" s="54" t="s">
        <v>146</v>
      </c>
      <c r="E69" s="117">
        <v>20</v>
      </c>
      <c r="F69" s="35" t="s">
        <v>147</v>
      </c>
      <c r="G69" s="150" t="s">
        <v>148</v>
      </c>
      <c r="H69" s="147">
        <f>IF(I69&gt;=51%,20,IF(I69&gt;=41%,15,IF(I69&gt;=31%,10,IF(I69&gt;=11%,8,IF(I69&gt;0,5,0)))))</f>
        <v>5</v>
      </c>
      <c r="I69" s="138">
        <v>0.1</v>
      </c>
      <c r="J69" s="139">
        <f>H69*5%+H70*5%+H71*10%+H72*10%+H73*20%+H74*50%</f>
        <v>5</v>
      </c>
      <c r="K69" s="150" t="s">
        <v>149</v>
      </c>
      <c r="L69" s="151">
        <v>20</v>
      </c>
      <c r="M69" s="96"/>
      <c r="N69" s="132">
        <f>IF(M69&gt;=51%,10,IF(M69&gt;=31%,8,IF(M69&gt;=11%,6,IF(M69&gt;0,5,0))))</f>
        <v>0</v>
      </c>
      <c r="O69" s="35" t="s">
        <v>103</v>
      </c>
      <c r="R69" s="150" t="s">
        <v>149</v>
      </c>
      <c r="S69" s="151">
        <v>10</v>
      </c>
      <c r="T69" s="141">
        <v>2.8</v>
      </c>
    </row>
    <row r="70" spans="1:20" ht="15" customHeight="1" x14ac:dyDescent="0.2">
      <c r="A70" s="63"/>
      <c r="B70" s="26"/>
      <c r="C70" s="88"/>
      <c r="D70" s="63"/>
      <c r="E70" s="142"/>
      <c r="F70" s="36"/>
      <c r="G70" s="37" t="s">
        <v>150</v>
      </c>
      <c r="H70" s="147">
        <f>IF(I70&gt;=51%,20,IF(I70&gt;=41%,15,IF(I70&gt;=31%,10,IF(I70&gt;=11%,8,IF(I70&gt;0,5,0)))))</f>
        <v>5</v>
      </c>
      <c r="I70" s="138">
        <v>0.1</v>
      </c>
      <c r="J70" s="139"/>
      <c r="K70" s="37" t="s">
        <v>151</v>
      </c>
      <c r="L70" s="151">
        <v>15</v>
      </c>
      <c r="M70" s="148"/>
      <c r="N70" s="133"/>
      <c r="O70" s="36"/>
      <c r="R70" s="37" t="s">
        <v>152</v>
      </c>
      <c r="S70" s="151">
        <v>8</v>
      </c>
      <c r="T70" s="141">
        <v>2.2999999999999998</v>
      </c>
    </row>
    <row r="71" spans="1:20" ht="15" customHeight="1" x14ac:dyDescent="0.2">
      <c r="A71" s="63"/>
      <c r="B71" s="26"/>
      <c r="C71" s="88"/>
      <c r="D71" s="63"/>
      <c r="E71" s="142"/>
      <c r="F71" s="36"/>
      <c r="G71" s="37" t="s">
        <v>153</v>
      </c>
      <c r="H71" s="147">
        <f>IF(I71&gt;=51%,20,IF(I71&gt;=41%,15,IF(I71&gt;=31%,10,IF(I71&gt;=11%,8,IF(I71&gt;0,5,0)))))</f>
        <v>5</v>
      </c>
      <c r="I71" s="138">
        <v>0.1</v>
      </c>
      <c r="J71" s="139"/>
      <c r="K71" s="37" t="s">
        <v>154</v>
      </c>
      <c r="L71" s="151">
        <v>10</v>
      </c>
      <c r="M71" s="148"/>
      <c r="N71" s="133"/>
      <c r="O71" s="36"/>
      <c r="R71" s="101" t="s">
        <v>155</v>
      </c>
      <c r="S71" s="151">
        <v>6</v>
      </c>
      <c r="T71" s="141">
        <v>1.7</v>
      </c>
    </row>
    <row r="72" spans="1:20" ht="15" customHeight="1" x14ac:dyDescent="0.2">
      <c r="A72" s="63"/>
      <c r="B72" s="26"/>
      <c r="C72" s="88"/>
      <c r="D72" s="63"/>
      <c r="E72" s="142"/>
      <c r="F72" s="36"/>
      <c r="G72" s="101" t="s">
        <v>156</v>
      </c>
      <c r="H72" s="147">
        <f>IF(I72&gt;=51%,20,IF(I72&gt;=41%,15,IF(I72&gt;=31%,10,IF(I72&gt;=11%,8,IF(I72&gt;0,5,0)))))</f>
        <v>5</v>
      </c>
      <c r="I72" s="138">
        <v>0.1</v>
      </c>
      <c r="J72" s="139"/>
      <c r="K72" s="101" t="s">
        <v>155</v>
      </c>
      <c r="L72" s="151">
        <v>8</v>
      </c>
      <c r="M72" s="148"/>
      <c r="N72" s="133"/>
      <c r="O72" s="36"/>
      <c r="R72" s="37" t="s">
        <v>157</v>
      </c>
      <c r="S72" s="151">
        <v>5</v>
      </c>
      <c r="T72" s="143">
        <v>1.4</v>
      </c>
    </row>
    <row r="73" spans="1:20" ht="15" customHeight="1" x14ac:dyDescent="0.2">
      <c r="A73" s="63"/>
      <c r="B73" s="26"/>
      <c r="C73" s="88"/>
      <c r="D73" s="63"/>
      <c r="E73" s="142"/>
      <c r="F73" s="36"/>
      <c r="G73" s="37" t="s">
        <v>158</v>
      </c>
      <c r="H73" s="147">
        <f>IF(I73&gt;=51%,20,IF(I73&gt;=41%,15,IF(I73&gt;=31%,10,IF(I73&gt;=11%,8,IF(I73&gt;0,5,0)))))</f>
        <v>5</v>
      </c>
      <c r="I73" s="138">
        <v>0.1</v>
      </c>
      <c r="J73" s="139"/>
      <c r="K73" s="37" t="s">
        <v>157</v>
      </c>
      <c r="L73" s="152">
        <v>5</v>
      </c>
      <c r="M73" s="148"/>
      <c r="N73" s="133"/>
      <c r="O73" s="36"/>
      <c r="R73" s="153">
        <v>0</v>
      </c>
      <c r="S73" s="152">
        <v>0</v>
      </c>
      <c r="T73" s="151"/>
    </row>
    <row r="74" spans="1:20" ht="15" customHeight="1" x14ac:dyDescent="0.2">
      <c r="A74" s="63"/>
      <c r="B74" s="26"/>
      <c r="C74" s="88"/>
      <c r="D74" s="72"/>
      <c r="E74" s="120"/>
      <c r="F74" s="49"/>
      <c r="G74" s="145">
        <v>0</v>
      </c>
      <c r="H74" s="147">
        <f>IF(I74&gt;=51%,20,IF(I74&gt;=41%,15,IF(I74&gt;=31%,10,IF(I74&gt;=11%,8,IF(I74&gt;0,5,0)))))</f>
        <v>5</v>
      </c>
      <c r="I74" s="138">
        <v>0.1</v>
      </c>
      <c r="J74" s="144"/>
      <c r="K74" s="153">
        <v>0</v>
      </c>
      <c r="L74" s="145"/>
      <c r="M74" s="149"/>
      <c r="N74" s="136"/>
      <c r="O74" s="49"/>
      <c r="R74" s="37"/>
      <c r="S74" s="145"/>
      <c r="T74" s="151"/>
    </row>
    <row r="75" spans="1:20" ht="15" customHeight="1" x14ac:dyDescent="0.2">
      <c r="A75" s="63"/>
      <c r="B75" s="26"/>
      <c r="C75" s="88"/>
      <c r="D75" s="54" t="s">
        <v>159</v>
      </c>
      <c r="E75" s="35">
        <v>45</v>
      </c>
      <c r="F75" s="35" t="s">
        <v>160</v>
      </c>
      <c r="G75" s="37" t="s">
        <v>161</v>
      </c>
      <c r="H75" s="147">
        <f>IF(I75&gt;=31%,45,IF(I75&gt;=21%,35,IF(I75&gt;=11%,25,IF(I75&gt;0,10,0))))</f>
        <v>45</v>
      </c>
      <c r="I75" s="138">
        <v>0.31</v>
      </c>
      <c r="J75" s="139">
        <f>H75*5%+H76*5%+H77*10%+H78*10%+H79*20%+H80*50%</f>
        <v>45</v>
      </c>
      <c r="K75" s="150"/>
      <c r="L75" s="140"/>
      <c r="M75" s="154"/>
      <c r="N75" s="132">
        <f>IF(M75&gt;=51%,45,IF(M75&gt;=31%,40,IF(M75&gt;=11%,35,IF(M75&gt;0,30,0))))</f>
        <v>0</v>
      </c>
      <c r="O75" s="35" t="s">
        <v>103</v>
      </c>
      <c r="R75" s="150" t="s">
        <v>149</v>
      </c>
      <c r="S75" s="37">
        <v>45</v>
      </c>
      <c r="T75" s="141">
        <v>12.9</v>
      </c>
    </row>
    <row r="76" spans="1:20" ht="15" customHeight="1" x14ac:dyDescent="0.2">
      <c r="A76" s="63"/>
      <c r="B76" s="26"/>
      <c r="C76" s="88"/>
      <c r="D76" s="63"/>
      <c r="E76" s="36"/>
      <c r="F76" s="36"/>
      <c r="G76" s="37" t="s">
        <v>162</v>
      </c>
      <c r="H76" s="147">
        <f t="shared" ref="H76:H80" si="1">IF(I76&gt;=31%,45,IF(I76&gt;=21%,35,IF(I76&gt;=11%,25,IF(I76&gt;0,10,0))))</f>
        <v>45</v>
      </c>
      <c r="I76" s="138">
        <v>0.31</v>
      </c>
      <c r="J76" s="139"/>
      <c r="K76" s="37" t="s">
        <v>163</v>
      </c>
      <c r="L76" s="140">
        <v>45</v>
      </c>
      <c r="M76" s="155"/>
      <c r="N76" s="133"/>
      <c r="O76" s="36"/>
      <c r="R76" s="37" t="s">
        <v>164</v>
      </c>
      <c r="S76" s="37">
        <v>40</v>
      </c>
      <c r="T76" s="141">
        <v>11.4</v>
      </c>
    </row>
    <row r="77" spans="1:20" ht="15" customHeight="1" x14ac:dyDescent="0.2">
      <c r="A77" s="63"/>
      <c r="B77" s="26"/>
      <c r="C77" s="88"/>
      <c r="D77" s="63"/>
      <c r="E77" s="36"/>
      <c r="F77" s="36"/>
      <c r="G77" s="101" t="s">
        <v>165</v>
      </c>
      <c r="H77" s="147">
        <f t="shared" si="1"/>
        <v>45</v>
      </c>
      <c r="I77" s="138">
        <v>0.31</v>
      </c>
      <c r="J77" s="139"/>
      <c r="K77" s="37" t="s">
        <v>166</v>
      </c>
      <c r="L77" s="140">
        <v>35</v>
      </c>
      <c r="M77" s="155"/>
      <c r="N77" s="133"/>
      <c r="O77" s="36"/>
      <c r="R77" s="101" t="s">
        <v>155</v>
      </c>
      <c r="S77" s="37">
        <v>35</v>
      </c>
      <c r="T77" s="141">
        <v>10</v>
      </c>
    </row>
    <row r="78" spans="1:20" ht="15" customHeight="1" x14ac:dyDescent="0.2">
      <c r="A78" s="63"/>
      <c r="B78" s="26"/>
      <c r="C78" s="88"/>
      <c r="D78" s="63"/>
      <c r="E78" s="36"/>
      <c r="F78" s="36"/>
      <c r="G78" s="37" t="s">
        <v>167</v>
      </c>
      <c r="H78" s="147">
        <f t="shared" si="1"/>
        <v>45</v>
      </c>
      <c r="I78" s="138">
        <v>0.31</v>
      </c>
      <c r="J78" s="139"/>
      <c r="K78" s="101" t="s">
        <v>168</v>
      </c>
      <c r="L78" s="140">
        <v>20</v>
      </c>
      <c r="M78" s="155"/>
      <c r="N78" s="133"/>
      <c r="O78" s="36"/>
      <c r="R78" s="37" t="s">
        <v>157</v>
      </c>
      <c r="S78" s="37">
        <v>30</v>
      </c>
      <c r="T78" s="141">
        <v>8.6</v>
      </c>
    </row>
    <row r="79" spans="1:20" ht="15" customHeight="1" x14ac:dyDescent="0.2">
      <c r="A79" s="63"/>
      <c r="B79" s="26"/>
      <c r="C79" s="88"/>
      <c r="D79" s="63"/>
      <c r="E79" s="36"/>
      <c r="F79" s="36"/>
      <c r="G79" s="37">
        <v>0</v>
      </c>
      <c r="H79" s="147">
        <f t="shared" si="1"/>
        <v>45</v>
      </c>
      <c r="I79" s="138">
        <v>0.31</v>
      </c>
      <c r="J79" s="139"/>
      <c r="K79" s="37" t="s">
        <v>157</v>
      </c>
      <c r="L79" s="37">
        <v>5</v>
      </c>
      <c r="M79" s="155"/>
      <c r="N79" s="133"/>
      <c r="O79" s="36"/>
      <c r="R79" s="37">
        <v>0</v>
      </c>
      <c r="S79" s="37"/>
      <c r="T79" s="141"/>
    </row>
    <row r="80" spans="1:20" ht="15" customHeight="1" x14ac:dyDescent="0.2">
      <c r="A80" s="63"/>
      <c r="B80" s="26"/>
      <c r="C80" s="88"/>
      <c r="D80" s="63"/>
      <c r="E80" s="36"/>
      <c r="F80" s="36"/>
      <c r="G80" s="43"/>
      <c r="H80" s="147">
        <f t="shared" si="1"/>
        <v>45</v>
      </c>
      <c r="I80" s="138">
        <v>0.31</v>
      </c>
      <c r="J80" s="144"/>
      <c r="K80" s="37">
        <v>0</v>
      </c>
      <c r="L80" s="7">
        <v>0</v>
      </c>
      <c r="M80" s="155"/>
      <c r="N80" s="136"/>
      <c r="O80" s="36"/>
      <c r="R80" s="43"/>
      <c r="S80" s="145"/>
      <c r="T80" s="37">
        <v>0</v>
      </c>
    </row>
    <row r="81" spans="1:20" ht="15" customHeight="1" x14ac:dyDescent="0.2">
      <c r="A81" s="63"/>
      <c r="B81" s="26"/>
      <c r="C81" s="88"/>
      <c r="D81" s="54" t="s">
        <v>169</v>
      </c>
      <c r="E81" s="35">
        <v>15</v>
      </c>
      <c r="F81" s="35" t="s">
        <v>170</v>
      </c>
      <c r="G81" s="37" t="s">
        <v>171</v>
      </c>
      <c r="H81" s="147">
        <f>IF(I81&gt;=31%,15,IF(I81&gt;=21%,12,IF(I81&gt;=11%,10,IF(I81&gt;0,8,0))))</f>
        <v>8</v>
      </c>
      <c r="I81" s="138">
        <v>0.08</v>
      </c>
      <c r="J81" s="139">
        <f>H81*5%+H82*5%+H83*10%+H84*10%+H85*20%+H86*50%</f>
        <v>8</v>
      </c>
      <c r="K81" s="37" t="s">
        <v>163</v>
      </c>
      <c r="L81" s="140">
        <v>15</v>
      </c>
      <c r="M81" s="154"/>
      <c r="N81" s="132">
        <f>IF(M81&gt;=51%,15,IF(M81&gt;=31%,12,IF(M81&gt;=11%,10,IF(M81&gt;0,8,0))))</f>
        <v>0</v>
      </c>
      <c r="O81" s="35" t="s">
        <v>103</v>
      </c>
      <c r="R81" s="150" t="s">
        <v>172</v>
      </c>
      <c r="S81" s="37">
        <v>15</v>
      </c>
      <c r="T81" s="156">
        <v>4.3</v>
      </c>
    </row>
    <row r="82" spans="1:20" ht="15" customHeight="1" x14ac:dyDescent="0.2">
      <c r="A82" s="63"/>
      <c r="B82" s="26"/>
      <c r="C82" s="88"/>
      <c r="D82" s="63"/>
      <c r="E82" s="36"/>
      <c r="F82" s="36"/>
      <c r="G82" s="37" t="s">
        <v>173</v>
      </c>
      <c r="H82" s="147">
        <f t="shared" ref="H82:H86" si="2">IF(I82&gt;=31%,15,IF(I82&gt;=21%,12,IF(I82&gt;=11%,10,IF(I82&gt;0,8,0))))</f>
        <v>8</v>
      </c>
      <c r="I82" s="138">
        <v>0.08</v>
      </c>
      <c r="J82" s="139"/>
      <c r="K82" s="37" t="s">
        <v>166</v>
      </c>
      <c r="L82" s="140">
        <v>12</v>
      </c>
      <c r="M82" s="155"/>
      <c r="N82" s="133"/>
      <c r="O82" s="36"/>
      <c r="R82" s="37" t="s">
        <v>174</v>
      </c>
      <c r="S82" s="37">
        <v>12</v>
      </c>
      <c r="T82" s="156">
        <v>3.4</v>
      </c>
    </row>
    <row r="83" spans="1:20" ht="15" customHeight="1" x14ac:dyDescent="0.2">
      <c r="A83" s="63"/>
      <c r="B83" s="26"/>
      <c r="C83" s="88"/>
      <c r="D83" s="63"/>
      <c r="E83" s="36"/>
      <c r="F83" s="36"/>
      <c r="G83" s="101" t="s">
        <v>175</v>
      </c>
      <c r="H83" s="147">
        <f t="shared" si="2"/>
        <v>8</v>
      </c>
      <c r="I83" s="138">
        <v>0.08</v>
      </c>
      <c r="J83" s="139"/>
      <c r="K83" s="101" t="s">
        <v>168</v>
      </c>
      <c r="L83" s="140">
        <v>10</v>
      </c>
      <c r="M83" s="155"/>
      <c r="N83" s="133"/>
      <c r="O83" s="36"/>
      <c r="R83" s="101" t="s">
        <v>176</v>
      </c>
      <c r="S83" s="37">
        <v>10</v>
      </c>
      <c r="T83" s="156">
        <v>2.8</v>
      </c>
    </row>
    <row r="84" spans="1:20" ht="15" customHeight="1" x14ac:dyDescent="0.2">
      <c r="A84" s="63"/>
      <c r="B84" s="26"/>
      <c r="C84" s="88"/>
      <c r="D84" s="63"/>
      <c r="E84" s="36"/>
      <c r="F84" s="36"/>
      <c r="G84" s="37" t="s">
        <v>177</v>
      </c>
      <c r="H84" s="147">
        <f t="shared" si="2"/>
        <v>8</v>
      </c>
      <c r="I84" s="138">
        <v>0.08</v>
      </c>
      <c r="J84" s="139"/>
      <c r="K84" s="37" t="s">
        <v>157</v>
      </c>
      <c r="L84" s="140">
        <v>8</v>
      </c>
      <c r="M84" s="155"/>
      <c r="N84" s="133"/>
      <c r="O84" s="36"/>
      <c r="R84" s="37" t="s">
        <v>178</v>
      </c>
      <c r="S84" s="37">
        <v>8</v>
      </c>
      <c r="T84" s="156">
        <v>2.2999999999999998</v>
      </c>
    </row>
    <row r="85" spans="1:20" ht="15" customHeight="1" x14ac:dyDescent="0.2">
      <c r="A85" s="63"/>
      <c r="B85" s="26"/>
      <c r="C85" s="88"/>
      <c r="D85" s="63"/>
      <c r="E85" s="36"/>
      <c r="F85" s="36"/>
      <c r="G85" s="37">
        <v>0</v>
      </c>
      <c r="H85" s="147">
        <f t="shared" si="2"/>
        <v>8</v>
      </c>
      <c r="I85" s="138">
        <v>0.08</v>
      </c>
      <c r="J85" s="139"/>
      <c r="K85" s="37">
        <v>0</v>
      </c>
      <c r="L85" s="140">
        <v>0</v>
      </c>
      <c r="M85" s="155"/>
      <c r="N85" s="133"/>
      <c r="O85" s="36"/>
      <c r="R85" s="37">
        <v>0</v>
      </c>
      <c r="S85" s="37"/>
      <c r="T85" s="156"/>
    </row>
    <row r="86" spans="1:20" ht="15" customHeight="1" x14ac:dyDescent="0.2">
      <c r="A86" s="72"/>
      <c r="B86" s="26"/>
      <c r="C86" s="88"/>
      <c r="D86" s="63"/>
      <c r="E86" s="36"/>
      <c r="F86" s="36"/>
      <c r="G86" s="43"/>
      <c r="H86" s="147">
        <f t="shared" si="2"/>
        <v>8</v>
      </c>
      <c r="I86" s="138">
        <v>0.08</v>
      </c>
      <c r="J86" s="144"/>
      <c r="K86" s="101"/>
      <c r="L86" s="140"/>
      <c r="M86" s="155"/>
      <c r="N86" s="136"/>
      <c r="O86" s="36"/>
      <c r="P86" s="157">
        <f>SUM(J51:J86)</f>
        <v>83</v>
      </c>
      <c r="Q86" s="158">
        <f>SUM(N51:N86)</f>
        <v>0</v>
      </c>
      <c r="R86" s="159"/>
      <c r="S86" s="160"/>
      <c r="T86" s="159"/>
    </row>
    <row r="87" spans="1:20" s="168" customFormat="1" ht="28.5" customHeight="1" x14ac:dyDescent="0.2">
      <c r="A87" s="35" t="s">
        <v>179</v>
      </c>
      <c r="B87" s="26">
        <v>210</v>
      </c>
      <c r="C87" s="26" t="s">
        <v>180</v>
      </c>
      <c r="D87" s="28" t="s">
        <v>181</v>
      </c>
      <c r="E87" s="161">
        <f>20%*200</f>
        <v>40</v>
      </c>
      <c r="F87" s="162" t="s">
        <v>182</v>
      </c>
      <c r="G87" s="163" t="s">
        <v>183</v>
      </c>
      <c r="H87" s="164">
        <v>1</v>
      </c>
      <c r="I87" s="38"/>
      <c r="J87" s="165">
        <f>MEDIAN(H87*I87+H88*I88,60,0)</f>
        <v>0</v>
      </c>
      <c r="K87" s="163" t="s">
        <v>184</v>
      </c>
      <c r="L87" s="113">
        <v>1</v>
      </c>
      <c r="M87" s="40"/>
      <c r="N87" s="166">
        <f>MEDIAN(L87*M87+L88*M88,60,0)</f>
        <v>0</v>
      </c>
      <c r="O87" s="167" t="s">
        <v>185</v>
      </c>
      <c r="P87" s="7"/>
      <c r="R87" s="7"/>
      <c r="S87" s="7"/>
      <c r="T87" s="7"/>
    </row>
    <row r="88" spans="1:20" s="168" customFormat="1" ht="28.5" customHeight="1" x14ac:dyDescent="0.2">
      <c r="A88" s="36"/>
      <c r="B88" s="26"/>
      <c r="C88" s="26"/>
      <c r="D88" s="57" t="s">
        <v>186</v>
      </c>
      <c r="E88" s="57">
        <v>20</v>
      </c>
      <c r="F88" s="57" t="s">
        <v>187</v>
      </c>
      <c r="G88" s="57" t="s">
        <v>180</v>
      </c>
      <c r="H88" s="94">
        <v>8</v>
      </c>
      <c r="I88" s="38"/>
      <c r="J88" s="169"/>
      <c r="K88" s="57" t="s">
        <v>180</v>
      </c>
      <c r="L88" s="71">
        <v>8</v>
      </c>
      <c r="M88" s="40"/>
      <c r="N88" s="170"/>
      <c r="O88" s="167" t="s">
        <v>188</v>
      </c>
      <c r="P88" s="7"/>
      <c r="R88" s="7"/>
      <c r="S88" s="7"/>
      <c r="T88" s="7"/>
    </row>
    <row r="89" spans="1:20" s="168" customFormat="1" ht="28.5" customHeight="1" x14ac:dyDescent="0.2">
      <c r="A89" s="36"/>
      <c r="B89" s="26"/>
      <c r="C89" s="26" t="s">
        <v>189</v>
      </c>
      <c r="D89" s="28" t="s">
        <v>190</v>
      </c>
      <c r="E89" s="161">
        <v>30</v>
      </c>
      <c r="F89" s="28" t="s">
        <v>191</v>
      </c>
      <c r="G89" s="42" t="s">
        <v>192</v>
      </c>
      <c r="H89" s="101">
        <v>1.5</v>
      </c>
      <c r="I89" s="38"/>
      <c r="J89" s="171">
        <f>MEDIAN(H89*I89,30,0)</f>
        <v>0</v>
      </c>
      <c r="K89" s="42" t="s">
        <v>192</v>
      </c>
      <c r="L89" s="37">
        <v>1.5</v>
      </c>
      <c r="M89" s="40"/>
      <c r="N89" s="172">
        <f>MEDIAN(L89*M89,30,0)</f>
        <v>0</v>
      </c>
      <c r="O89" s="167" t="s">
        <v>193</v>
      </c>
      <c r="P89" s="7"/>
      <c r="R89" s="7"/>
      <c r="S89" s="7"/>
      <c r="T89" s="7"/>
    </row>
    <row r="90" spans="1:20" s="168" customFormat="1" ht="28.5" customHeight="1" x14ac:dyDescent="0.2">
      <c r="A90" s="36"/>
      <c r="B90" s="26"/>
      <c r="C90" s="26"/>
      <c r="D90" s="28" t="s">
        <v>194</v>
      </c>
      <c r="E90" s="161">
        <v>10</v>
      </c>
      <c r="F90" s="28" t="s">
        <v>195</v>
      </c>
      <c r="G90" s="42" t="s">
        <v>196</v>
      </c>
      <c r="H90" s="101">
        <v>0.5</v>
      </c>
      <c r="I90" s="38"/>
      <c r="J90" s="171">
        <f>MEDIAN(H90*I90,10,0)</f>
        <v>0</v>
      </c>
      <c r="K90" s="42" t="s">
        <v>196</v>
      </c>
      <c r="L90" s="37">
        <v>0.5</v>
      </c>
      <c r="M90" s="40"/>
      <c r="N90" s="172">
        <f>MEDIAN(L90*M90,10,0)</f>
        <v>0</v>
      </c>
      <c r="O90" s="167" t="s">
        <v>197</v>
      </c>
      <c r="P90" s="173"/>
      <c r="Q90" s="173"/>
      <c r="R90" s="7"/>
      <c r="S90" s="7"/>
      <c r="T90" s="7"/>
    </row>
    <row r="91" spans="1:20" s="168" customFormat="1" ht="33.75" customHeight="1" x14ac:dyDescent="0.2">
      <c r="A91" s="36"/>
      <c r="B91" s="26"/>
      <c r="C91" s="26" t="s">
        <v>198</v>
      </c>
      <c r="D91" s="57" t="s">
        <v>199</v>
      </c>
      <c r="E91" s="174">
        <v>40</v>
      </c>
      <c r="F91" s="175" t="s">
        <v>200</v>
      </c>
      <c r="G91" s="42" t="s">
        <v>199</v>
      </c>
      <c r="H91" s="101">
        <v>2</v>
      </c>
      <c r="I91" s="38"/>
      <c r="J91" s="171">
        <f>MEDIAN(H91*I91/5,40,0)</f>
        <v>0</v>
      </c>
      <c r="K91" s="42" t="s">
        <v>199</v>
      </c>
      <c r="L91" s="37">
        <v>2</v>
      </c>
      <c r="M91" s="40"/>
      <c r="N91" s="172">
        <f>MEDIAN(L91*M91/5,40,0)</f>
        <v>0</v>
      </c>
      <c r="O91" s="175" t="s">
        <v>200</v>
      </c>
      <c r="P91" s="7"/>
      <c r="R91" s="7"/>
      <c r="S91" s="7"/>
      <c r="T91" s="7"/>
    </row>
    <row r="92" spans="1:20" s="168" customFormat="1" ht="28.5" customHeight="1" x14ac:dyDescent="0.2">
      <c r="A92" s="36"/>
      <c r="B92" s="26"/>
      <c r="C92" s="26"/>
      <c r="D92" s="57" t="s">
        <v>201</v>
      </c>
      <c r="E92" s="137">
        <v>20</v>
      </c>
      <c r="F92" s="28" t="s">
        <v>202</v>
      </c>
      <c r="G92" s="42" t="s">
        <v>203</v>
      </c>
      <c r="H92" s="176">
        <v>2</v>
      </c>
      <c r="I92" s="38"/>
      <c r="J92" s="171">
        <f>MEDIAN(H92*I92,20,0)</f>
        <v>0</v>
      </c>
      <c r="K92" s="42" t="s">
        <v>203</v>
      </c>
      <c r="L92" s="43">
        <v>2</v>
      </c>
      <c r="M92" s="40"/>
      <c r="N92" s="172">
        <f>MEDIAN(L92*M92,20,0)</f>
        <v>0</v>
      </c>
      <c r="O92" s="175" t="s">
        <v>204</v>
      </c>
      <c r="P92" s="177">
        <f>SUM(J87:J92)</f>
        <v>0</v>
      </c>
      <c r="Q92" s="128">
        <f>SUM(N69:N92)</f>
        <v>0</v>
      </c>
      <c r="R92" s="7"/>
      <c r="S92" s="7"/>
      <c r="T92" s="7"/>
    </row>
    <row r="93" spans="1:20" s="168" customFormat="1" ht="15" customHeight="1" x14ac:dyDescent="0.2">
      <c r="A93" s="36"/>
      <c r="B93" s="26"/>
      <c r="C93" s="54" t="s">
        <v>205</v>
      </c>
      <c r="D93" s="178" t="s">
        <v>206</v>
      </c>
      <c r="E93" s="179">
        <v>30</v>
      </c>
      <c r="F93" s="54" t="s">
        <v>207</v>
      </c>
      <c r="G93" s="35" t="s">
        <v>208</v>
      </c>
      <c r="H93" s="129">
        <f>MEDIAN(I93*1,30,0)</f>
        <v>10</v>
      </c>
      <c r="I93" s="180">
        <v>10</v>
      </c>
      <c r="J93" s="139">
        <f>H93*5%+H94*5%+H95*10%+H96*10%+H97*20%+H98*50%</f>
        <v>18.75</v>
      </c>
      <c r="K93" s="35" t="s">
        <v>208</v>
      </c>
      <c r="L93" s="55">
        <v>1</v>
      </c>
      <c r="M93" s="131"/>
      <c r="N93" s="181">
        <f>MEDIAN(L93*M93,30,0)</f>
        <v>0</v>
      </c>
      <c r="O93" s="182" t="s">
        <v>209</v>
      </c>
      <c r="P93" s="7"/>
      <c r="R93" s="7"/>
      <c r="S93" s="7"/>
      <c r="T93" s="7"/>
    </row>
    <row r="94" spans="1:20" s="168" customFormat="1" ht="15" customHeight="1" x14ac:dyDescent="0.2">
      <c r="A94" s="36"/>
      <c r="B94" s="26"/>
      <c r="C94" s="63"/>
      <c r="D94" s="183"/>
      <c r="E94" s="184"/>
      <c r="F94" s="63"/>
      <c r="G94" s="36"/>
      <c r="H94" s="129">
        <f t="shared" ref="H94:H98" si="3">MEDIAN(I94*1,30,0)</f>
        <v>5</v>
      </c>
      <c r="I94" s="180">
        <v>5</v>
      </c>
      <c r="J94" s="139"/>
      <c r="K94" s="36"/>
      <c r="L94" s="64"/>
      <c r="M94" s="99"/>
      <c r="N94" s="185"/>
      <c r="O94" s="186"/>
      <c r="P94" s="7"/>
      <c r="R94" s="7"/>
      <c r="S94" s="7"/>
      <c r="T94" s="7"/>
    </row>
    <row r="95" spans="1:20" s="168" customFormat="1" ht="15" customHeight="1" x14ac:dyDescent="0.2">
      <c r="A95" s="36"/>
      <c r="B95" s="26"/>
      <c r="C95" s="63"/>
      <c r="D95" s="183"/>
      <c r="E95" s="184"/>
      <c r="F95" s="63"/>
      <c r="G95" s="36"/>
      <c r="H95" s="129">
        <f t="shared" si="3"/>
        <v>20</v>
      </c>
      <c r="I95" s="180">
        <v>20</v>
      </c>
      <c r="J95" s="139"/>
      <c r="K95" s="36"/>
      <c r="L95" s="64"/>
      <c r="M95" s="99"/>
      <c r="N95" s="185"/>
      <c r="O95" s="186"/>
      <c r="P95" s="7"/>
      <c r="R95" s="7"/>
      <c r="S95" s="7"/>
      <c r="T95" s="7"/>
    </row>
    <row r="96" spans="1:20" s="168" customFormat="1" ht="15" customHeight="1" x14ac:dyDescent="0.2">
      <c r="A96" s="36"/>
      <c r="B96" s="26"/>
      <c r="C96" s="63"/>
      <c r="D96" s="183"/>
      <c r="E96" s="184"/>
      <c r="F96" s="63"/>
      <c r="G96" s="36"/>
      <c r="H96" s="129">
        <f t="shared" si="3"/>
        <v>20</v>
      </c>
      <c r="I96" s="180">
        <v>20</v>
      </c>
      <c r="J96" s="139"/>
      <c r="K96" s="36"/>
      <c r="L96" s="64"/>
      <c r="M96" s="99"/>
      <c r="N96" s="185"/>
      <c r="O96" s="186"/>
      <c r="P96" s="7"/>
      <c r="R96" s="7"/>
      <c r="S96" s="7"/>
      <c r="T96" s="7"/>
    </row>
    <row r="97" spans="1:20" s="168" customFormat="1" ht="15" customHeight="1" x14ac:dyDescent="0.2">
      <c r="A97" s="36"/>
      <c r="B97" s="26"/>
      <c r="C97" s="63"/>
      <c r="D97" s="183"/>
      <c r="E97" s="184"/>
      <c r="F97" s="63"/>
      <c r="G97" s="36"/>
      <c r="H97" s="129">
        <f t="shared" si="3"/>
        <v>20</v>
      </c>
      <c r="I97" s="180">
        <v>20</v>
      </c>
      <c r="J97" s="139"/>
      <c r="K97" s="36"/>
      <c r="L97" s="64"/>
      <c r="M97" s="99"/>
      <c r="N97" s="185"/>
      <c r="O97" s="186"/>
      <c r="P97" s="7"/>
      <c r="R97" s="7"/>
      <c r="S97" s="7"/>
      <c r="T97" s="7"/>
    </row>
    <row r="98" spans="1:20" s="168" customFormat="1" ht="15" customHeight="1" x14ac:dyDescent="0.2">
      <c r="A98" s="36"/>
      <c r="B98" s="26"/>
      <c r="C98" s="63"/>
      <c r="D98" s="187"/>
      <c r="E98" s="188"/>
      <c r="F98" s="72"/>
      <c r="G98" s="49"/>
      <c r="H98" s="129">
        <f t="shared" si="3"/>
        <v>20</v>
      </c>
      <c r="I98" s="180">
        <v>20</v>
      </c>
      <c r="J98" s="144"/>
      <c r="K98" s="49"/>
      <c r="L98" s="134"/>
      <c r="M98" s="103"/>
      <c r="N98" s="189"/>
      <c r="O98" s="190"/>
      <c r="P98" s="7"/>
      <c r="R98" s="7"/>
      <c r="S98" s="7"/>
      <c r="T98" s="7"/>
    </row>
    <row r="99" spans="1:20" s="168" customFormat="1" ht="15" customHeight="1" x14ac:dyDescent="0.2">
      <c r="A99" s="36"/>
      <c r="B99" s="26"/>
      <c r="C99" s="63"/>
      <c r="D99" s="178" t="s">
        <v>210</v>
      </c>
      <c r="E99" s="56">
        <f>5%*200</f>
        <v>10</v>
      </c>
      <c r="F99" s="54" t="s">
        <v>211</v>
      </c>
      <c r="G99" s="35" t="s">
        <v>208</v>
      </c>
      <c r="H99" s="129">
        <f>MEDIAN(I99*1,10,0)</f>
        <v>1</v>
      </c>
      <c r="I99" s="38">
        <v>1</v>
      </c>
      <c r="J99" s="139">
        <f>H99*5%+H100*5%+H101*10%+H102*10%+H103*20%+H104*50%</f>
        <v>1</v>
      </c>
      <c r="K99" s="35" t="s">
        <v>208</v>
      </c>
      <c r="L99" s="55">
        <v>1</v>
      </c>
      <c r="M99" s="131"/>
      <c r="N99" s="181">
        <f>MEDIAN(L99*M99,10,0)</f>
        <v>0</v>
      </c>
      <c r="O99" s="182" t="s">
        <v>212</v>
      </c>
      <c r="P99" s="7"/>
      <c r="R99" s="7"/>
      <c r="S99" s="7"/>
      <c r="T99" s="7"/>
    </row>
    <row r="100" spans="1:20" s="168" customFormat="1" ht="15" customHeight="1" x14ac:dyDescent="0.2">
      <c r="A100" s="36"/>
      <c r="B100" s="26"/>
      <c r="C100" s="63"/>
      <c r="D100" s="183"/>
      <c r="E100" s="65"/>
      <c r="F100" s="63"/>
      <c r="G100" s="36"/>
      <c r="H100" s="129">
        <f t="shared" ref="H100:H104" si="4">MEDIAN(I100*1,10,0)</f>
        <v>1</v>
      </c>
      <c r="I100" s="38">
        <v>1</v>
      </c>
      <c r="J100" s="139"/>
      <c r="K100" s="36"/>
      <c r="L100" s="64"/>
      <c r="M100" s="99"/>
      <c r="N100" s="185"/>
      <c r="O100" s="186"/>
      <c r="P100" s="7"/>
      <c r="R100" s="7"/>
      <c r="S100" s="7"/>
      <c r="T100" s="7"/>
    </row>
    <row r="101" spans="1:20" s="168" customFormat="1" ht="15" customHeight="1" x14ac:dyDescent="0.2">
      <c r="A101" s="36"/>
      <c r="B101" s="26"/>
      <c r="C101" s="63"/>
      <c r="D101" s="183"/>
      <c r="E101" s="65"/>
      <c r="F101" s="63"/>
      <c r="G101" s="36"/>
      <c r="H101" s="129">
        <f t="shared" si="4"/>
        <v>1</v>
      </c>
      <c r="I101" s="38">
        <v>1</v>
      </c>
      <c r="J101" s="139"/>
      <c r="K101" s="36"/>
      <c r="L101" s="64"/>
      <c r="M101" s="99"/>
      <c r="N101" s="185"/>
      <c r="O101" s="186"/>
      <c r="P101" s="7"/>
      <c r="R101" s="7"/>
      <c r="S101" s="7"/>
      <c r="T101" s="7"/>
    </row>
    <row r="102" spans="1:20" s="168" customFormat="1" ht="15" customHeight="1" x14ac:dyDescent="0.2">
      <c r="A102" s="36"/>
      <c r="B102" s="26"/>
      <c r="C102" s="63"/>
      <c r="D102" s="183"/>
      <c r="E102" s="65"/>
      <c r="F102" s="63"/>
      <c r="G102" s="36"/>
      <c r="H102" s="129">
        <f t="shared" si="4"/>
        <v>1</v>
      </c>
      <c r="I102" s="38">
        <v>1</v>
      </c>
      <c r="J102" s="139"/>
      <c r="K102" s="36"/>
      <c r="L102" s="64"/>
      <c r="M102" s="99"/>
      <c r="N102" s="185"/>
      <c r="O102" s="186"/>
      <c r="P102" s="7"/>
      <c r="R102" s="7"/>
      <c r="S102" s="7"/>
      <c r="T102" s="7"/>
    </row>
    <row r="103" spans="1:20" s="168" customFormat="1" ht="15" customHeight="1" x14ac:dyDescent="0.2">
      <c r="A103" s="36"/>
      <c r="B103" s="26"/>
      <c r="C103" s="63"/>
      <c r="D103" s="183"/>
      <c r="E103" s="65"/>
      <c r="F103" s="63"/>
      <c r="G103" s="36"/>
      <c r="H103" s="129">
        <f t="shared" si="4"/>
        <v>1</v>
      </c>
      <c r="I103" s="38">
        <v>1</v>
      </c>
      <c r="J103" s="139"/>
      <c r="K103" s="36"/>
      <c r="L103" s="64"/>
      <c r="M103" s="99"/>
      <c r="N103" s="185"/>
      <c r="O103" s="186"/>
      <c r="P103" s="7"/>
      <c r="R103" s="7"/>
      <c r="S103" s="7"/>
      <c r="T103" s="7"/>
    </row>
    <row r="104" spans="1:20" s="168" customFormat="1" ht="15" customHeight="1" x14ac:dyDescent="0.2">
      <c r="A104" s="36"/>
      <c r="B104" s="26"/>
      <c r="C104" s="63"/>
      <c r="D104" s="187"/>
      <c r="E104" s="73"/>
      <c r="F104" s="72"/>
      <c r="G104" s="49"/>
      <c r="H104" s="129">
        <f t="shared" si="4"/>
        <v>1</v>
      </c>
      <c r="I104" s="38">
        <v>1</v>
      </c>
      <c r="J104" s="144"/>
      <c r="K104" s="49"/>
      <c r="L104" s="134"/>
      <c r="M104" s="103"/>
      <c r="N104" s="189"/>
      <c r="O104" s="190"/>
      <c r="P104" s="7"/>
      <c r="R104" s="7"/>
      <c r="S104" s="7"/>
      <c r="T104" s="7"/>
    </row>
    <row r="105" spans="1:20" s="168" customFormat="1" ht="15" customHeight="1" x14ac:dyDescent="0.2">
      <c r="A105" s="36"/>
      <c r="B105" s="26"/>
      <c r="C105" s="63"/>
      <c r="D105" s="178" t="s">
        <v>213</v>
      </c>
      <c r="E105" s="56">
        <f>5%*200</f>
        <v>10</v>
      </c>
      <c r="F105" s="54" t="s">
        <v>214</v>
      </c>
      <c r="G105" s="35" t="s">
        <v>215</v>
      </c>
      <c r="H105" s="129">
        <f>MEDIAN(I105*2,10,0)</f>
        <v>10</v>
      </c>
      <c r="I105" s="38">
        <v>5</v>
      </c>
      <c r="J105" s="139">
        <f>H105*5%+H106*5%+H107*10%+H108*10%+H109*20%+H110*50%</f>
        <v>10</v>
      </c>
      <c r="K105" s="35" t="s">
        <v>215</v>
      </c>
      <c r="L105" s="55">
        <v>2</v>
      </c>
      <c r="M105" s="131"/>
      <c r="N105" s="181">
        <f>MEDIAN(L105*M105,10,0)</f>
        <v>0</v>
      </c>
      <c r="O105" s="182" t="s">
        <v>216</v>
      </c>
      <c r="P105" s="7"/>
      <c r="R105" s="7"/>
      <c r="S105" s="7"/>
      <c r="T105" s="7"/>
    </row>
    <row r="106" spans="1:20" s="168" customFormat="1" ht="15" customHeight="1" x14ac:dyDescent="0.2">
      <c r="A106" s="36"/>
      <c r="B106" s="26"/>
      <c r="C106" s="63"/>
      <c r="D106" s="183"/>
      <c r="E106" s="65"/>
      <c r="F106" s="63"/>
      <c r="G106" s="36"/>
      <c r="H106" s="129">
        <f t="shared" ref="H106:H110" si="5">MEDIAN(I106*2,10,0)</f>
        <v>10</v>
      </c>
      <c r="I106" s="38">
        <v>5</v>
      </c>
      <c r="J106" s="139"/>
      <c r="K106" s="36"/>
      <c r="L106" s="64"/>
      <c r="M106" s="99"/>
      <c r="N106" s="185"/>
      <c r="O106" s="186"/>
      <c r="P106" s="7"/>
      <c r="R106" s="7"/>
      <c r="S106" s="7"/>
      <c r="T106" s="7"/>
    </row>
    <row r="107" spans="1:20" s="168" customFormat="1" ht="15" customHeight="1" x14ac:dyDescent="0.2">
      <c r="A107" s="36"/>
      <c r="B107" s="26"/>
      <c r="C107" s="63"/>
      <c r="D107" s="183"/>
      <c r="E107" s="65"/>
      <c r="F107" s="63"/>
      <c r="G107" s="36"/>
      <c r="H107" s="129">
        <f t="shared" si="5"/>
        <v>10</v>
      </c>
      <c r="I107" s="38">
        <v>5</v>
      </c>
      <c r="J107" s="139"/>
      <c r="K107" s="36"/>
      <c r="L107" s="64"/>
      <c r="M107" s="99"/>
      <c r="N107" s="185"/>
      <c r="O107" s="186"/>
      <c r="P107" s="7"/>
      <c r="R107" s="7"/>
      <c r="S107" s="7"/>
      <c r="T107" s="7"/>
    </row>
    <row r="108" spans="1:20" s="168" customFormat="1" ht="15" customHeight="1" x14ac:dyDescent="0.2">
      <c r="A108" s="36"/>
      <c r="B108" s="26"/>
      <c r="C108" s="63"/>
      <c r="D108" s="183"/>
      <c r="E108" s="65"/>
      <c r="F108" s="63"/>
      <c r="G108" s="36"/>
      <c r="H108" s="129">
        <f t="shared" si="5"/>
        <v>10</v>
      </c>
      <c r="I108" s="38">
        <v>5</v>
      </c>
      <c r="J108" s="139"/>
      <c r="K108" s="36"/>
      <c r="L108" s="64"/>
      <c r="M108" s="99"/>
      <c r="N108" s="185"/>
      <c r="O108" s="186"/>
      <c r="P108" s="7"/>
      <c r="R108" s="7"/>
      <c r="S108" s="7"/>
      <c r="T108" s="7"/>
    </row>
    <row r="109" spans="1:20" s="168" customFormat="1" ht="15" customHeight="1" x14ac:dyDescent="0.2">
      <c r="A109" s="36"/>
      <c r="B109" s="26"/>
      <c r="C109" s="63"/>
      <c r="D109" s="183"/>
      <c r="E109" s="65"/>
      <c r="F109" s="63"/>
      <c r="G109" s="36"/>
      <c r="H109" s="129">
        <f t="shared" si="5"/>
        <v>10</v>
      </c>
      <c r="I109" s="38">
        <v>5</v>
      </c>
      <c r="J109" s="139"/>
      <c r="K109" s="36"/>
      <c r="L109" s="64"/>
      <c r="M109" s="99"/>
      <c r="N109" s="185"/>
      <c r="O109" s="186"/>
      <c r="P109" s="7"/>
      <c r="R109" s="7"/>
      <c r="S109" s="7"/>
      <c r="T109" s="7"/>
    </row>
    <row r="110" spans="1:20" s="168" customFormat="1" ht="15" customHeight="1" x14ac:dyDescent="0.2">
      <c r="A110" s="36"/>
      <c r="B110" s="26"/>
      <c r="C110" s="63"/>
      <c r="D110" s="187"/>
      <c r="E110" s="73"/>
      <c r="F110" s="72"/>
      <c r="G110" s="49"/>
      <c r="H110" s="129">
        <f t="shared" si="5"/>
        <v>10</v>
      </c>
      <c r="I110" s="38">
        <v>5</v>
      </c>
      <c r="J110" s="144"/>
      <c r="K110" s="49"/>
      <c r="L110" s="134"/>
      <c r="M110" s="103"/>
      <c r="N110" s="189"/>
      <c r="O110" s="190"/>
      <c r="P110" s="7"/>
      <c r="R110" s="7"/>
      <c r="S110" s="7"/>
      <c r="T110" s="7"/>
    </row>
    <row r="111" spans="1:20" ht="31.5" customHeight="1" x14ac:dyDescent="0.2">
      <c r="A111" s="50" t="s">
        <v>217</v>
      </c>
      <c r="B111" s="27">
        <v>210</v>
      </c>
      <c r="C111" s="191" t="s">
        <v>218</v>
      </c>
      <c r="D111" s="44" t="s">
        <v>219</v>
      </c>
      <c r="E111" s="57">
        <v>60</v>
      </c>
      <c r="F111" s="192" t="s">
        <v>220</v>
      </c>
      <c r="G111" s="193" t="s">
        <v>184</v>
      </c>
      <c r="H111" s="164">
        <v>6</v>
      </c>
      <c r="I111" s="38"/>
      <c r="J111" s="194">
        <f>MEDIAN(H111*I111+H112*I112,80,0)</f>
        <v>0</v>
      </c>
      <c r="K111" s="193" t="s">
        <v>184</v>
      </c>
      <c r="L111" s="195">
        <v>6</v>
      </c>
      <c r="M111" s="40"/>
      <c r="N111" s="196">
        <f>MEDIAN(L111*M111+L112*M112,80,0)</f>
        <v>0</v>
      </c>
      <c r="O111" s="167" t="s">
        <v>221</v>
      </c>
    </row>
    <row r="112" spans="1:20" ht="24" customHeight="1" x14ac:dyDescent="0.2">
      <c r="A112" s="50"/>
      <c r="B112" s="27"/>
      <c r="C112" s="191"/>
      <c r="D112" s="44" t="s">
        <v>186</v>
      </c>
      <c r="E112" s="57">
        <v>20</v>
      </c>
      <c r="F112" s="57" t="s">
        <v>187</v>
      </c>
      <c r="G112" s="57" t="s">
        <v>180</v>
      </c>
      <c r="H112" s="94">
        <v>8</v>
      </c>
      <c r="I112" s="38"/>
      <c r="J112" s="197"/>
      <c r="K112" s="57" t="s">
        <v>180</v>
      </c>
      <c r="L112" s="71">
        <v>8</v>
      </c>
      <c r="M112" s="40"/>
      <c r="N112" s="198"/>
      <c r="O112" s="167" t="s">
        <v>222</v>
      </c>
    </row>
    <row r="113" spans="1:17" ht="32.25" customHeight="1" x14ac:dyDescent="0.2">
      <c r="A113" s="50"/>
      <c r="B113" s="27"/>
      <c r="C113" s="57" t="s">
        <v>223</v>
      </c>
      <c r="D113" s="44" t="s">
        <v>224</v>
      </c>
      <c r="E113" s="57">
        <v>30</v>
      </c>
      <c r="F113" s="57" t="s">
        <v>225</v>
      </c>
      <c r="G113" s="57" t="s">
        <v>180</v>
      </c>
      <c r="H113" s="94">
        <v>4</v>
      </c>
      <c r="I113" s="199"/>
      <c r="J113" s="200">
        <f>MEDIAN(H113*I113,30,0)</f>
        <v>0</v>
      </c>
      <c r="K113" s="57" t="s">
        <v>180</v>
      </c>
      <c r="L113" s="201">
        <v>4</v>
      </c>
      <c r="M113" s="40"/>
      <c r="N113" s="202">
        <f>MEDIAN(L113*M113,30,0)</f>
        <v>0</v>
      </c>
      <c r="O113" s="167" t="s">
        <v>226</v>
      </c>
    </row>
    <row r="114" spans="1:17" ht="32.25" customHeight="1" x14ac:dyDescent="0.2">
      <c r="A114" s="50"/>
      <c r="B114" s="27"/>
      <c r="C114" s="57" t="s">
        <v>227</v>
      </c>
      <c r="D114" s="44" t="s">
        <v>227</v>
      </c>
      <c r="E114" s="57">
        <v>30</v>
      </c>
      <c r="F114" s="57" t="s">
        <v>228</v>
      </c>
      <c r="G114" s="57" t="s">
        <v>229</v>
      </c>
      <c r="H114" s="94">
        <v>6</v>
      </c>
      <c r="I114" s="38"/>
      <c r="J114" s="200">
        <f>MEDIAN(H114*I114,30,0)</f>
        <v>0</v>
      </c>
      <c r="K114" s="57" t="s">
        <v>229</v>
      </c>
      <c r="L114" s="71">
        <v>6</v>
      </c>
      <c r="M114" s="40"/>
      <c r="N114" s="202">
        <f>MEDIAN(L114*M114,30,0)</f>
        <v>0</v>
      </c>
      <c r="O114" s="167" t="s">
        <v>230</v>
      </c>
      <c r="P114" s="203">
        <f>SUM(J111:J114)</f>
        <v>0</v>
      </c>
      <c r="Q114" s="128">
        <f>SUM(N111:N114)</f>
        <v>0</v>
      </c>
    </row>
    <row r="115" spans="1:17" ht="17.25" customHeight="1" x14ac:dyDescent="0.2">
      <c r="A115" s="50"/>
      <c r="B115" s="27"/>
      <c r="C115" s="191" t="s">
        <v>205</v>
      </c>
      <c r="D115" s="178" t="s">
        <v>231</v>
      </c>
      <c r="E115" s="204">
        <v>10</v>
      </c>
      <c r="F115" s="204" t="s">
        <v>232</v>
      </c>
      <c r="G115" s="57" t="s">
        <v>233</v>
      </c>
      <c r="H115" s="205">
        <f>IF(I115&gt;=5,10,0)</f>
        <v>0</v>
      </c>
      <c r="I115" s="180">
        <v>2</v>
      </c>
      <c r="J115" s="139">
        <f>H115*5%+H116*5%+H117*10%+H118*10%+H119*20%+H120*50%</f>
        <v>5</v>
      </c>
      <c r="K115" s="204" t="s">
        <v>234</v>
      </c>
      <c r="L115" s="205">
        <f t="shared" ref="L115:L120" si="6">IF(M115&gt;=7,2,0)</f>
        <v>0</v>
      </c>
      <c r="M115" s="206"/>
      <c r="N115" s="207">
        <f>MEDIAN(L115+L116+L117+L118+L119+L120,10,0)</f>
        <v>0</v>
      </c>
      <c r="O115" s="50" t="s">
        <v>235</v>
      </c>
    </row>
    <row r="116" spans="1:17" ht="16.5" x14ac:dyDescent="0.2">
      <c r="A116" s="50"/>
      <c r="B116" s="27"/>
      <c r="C116" s="191"/>
      <c r="D116" s="183"/>
      <c r="E116" s="208"/>
      <c r="F116" s="208"/>
      <c r="G116" s="57" t="s">
        <v>233</v>
      </c>
      <c r="H116" s="205">
        <f t="shared" ref="H116:H120" si="7">IF(I116&gt;=5,10,0)</f>
        <v>0</v>
      </c>
      <c r="I116" s="180">
        <v>2</v>
      </c>
      <c r="J116" s="139"/>
      <c r="K116" s="208"/>
      <c r="L116" s="205">
        <f t="shared" si="6"/>
        <v>0</v>
      </c>
      <c r="M116" s="206"/>
      <c r="N116" s="209"/>
      <c r="O116" s="50"/>
    </row>
    <row r="117" spans="1:17" ht="16.5" x14ac:dyDescent="0.2">
      <c r="A117" s="50"/>
      <c r="B117" s="27"/>
      <c r="C117" s="191"/>
      <c r="D117" s="183"/>
      <c r="E117" s="208"/>
      <c r="F117" s="208"/>
      <c r="G117" s="57" t="s">
        <v>233</v>
      </c>
      <c r="H117" s="205">
        <f t="shared" si="7"/>
        <v>0</v>
      </c>
      <c r="I117" s="180">
        <v>2</v>
      </c>
      <c r="J117" s="139"/>
      <c r="K117" s="208"/>
      <c r="L117" s="205">
        <f t="shared" si="6"/>
        <v>0</v>
      </c>
      <c r="M117" s="206"/>
      <c r="N117" s="209"/>
      <c r="O117" s="50"/>
    </row>
    <row r="118" spans="1:17" ht="16.5" x14ac:dyDescent="0.2">
      <c r="A118" s="50"/>
      <c r="B118" s="27"/>
      <c r="C118" s="191"/>
      <c r="D118" s="183"/>
      <c r="E118" s="208"/>
      <c r="F118" s="208"/>
      <c r="G118" s="57" t="s">
        <v>233</v>
      </c>
      <c r="H118" s="205">
        <f t="shared" si="7"/>
        <v>0</v>
      </c>
      <c r="I118" s="180">
        <v>2</v>
      </c>
      <c r="J118" s="139"/>
      <c r="K118" s="208"/>
      <c r="L118" s="205">
        <f t="shared" si="6"/>
        <v>0</v>
      </c>
      <c r="M118" s="206"/>
      <c r="N118" s="209"/>
      <c r="O118" s="50"/>
    </row>
    <row r="119" spans="1:17" ht="16.5" x14ac:dyDescent="0.2">
      <c r="A119" s="50"/>
      <c r="B119" s="27"/>
      <c r="C119" s="191"/>
      <c r="D119" s="183"/>
      <c r="E119" s="208"/>
      <c r="F119" s="208"/>
      <c r="G119" s="57" t="s">
        <v>233</v>
      </c>
      <c r="H119" s="205">
        <f t="shared" si="7"/>
        <v>0</v>
      </c>
      <c r="I119" s="180">
        <v>2</v>
      </c>
      <c r="J119" s="139"/>
      <c r="K119" s="208"/>
      <c r="L119" s="205">
        <f t="shared" si="6"/>
        <v>0</v>
      </c>
      <c r="M119" s="206"/>
      <c r="N119" s="209"/>
      <c r="O119" s="50"/>
    </row>
    <row r="120" spans="1:17" ht="16.5" customHeight="1" x14ac:dyDescent="0.2">
      <c r="A120" s="50"/>
      <c r="B120" s="27"/>
      <c r="C120" s="191"/>
      <c r="D120" s="187"/>
      <c r="E120" s="210"/>
      <c r="F120" s="210"/>
      <c r="G120" s="57" t="s">
        <v>233</v>
      </c>
      <c r="H120" s="205">
        <f t="shared" si="7"/>
        <v>10</v>
      </c>
      <c r="I120" s="180">
        <v>5</v>
      </c>
      <c r="J120" s="144"/>
      <c r="K120" s="210"/>
      <c r="L120" s="205">
        <f t="shared" si="6"/>
        <v>0</v>
      </c>
      <c r="M120" s="206"/>
      <c r="N120" s="211"/>
      <c r="O120" s="50"/>
    </row>
    <row r="121" spans="1:17" ht="13.5" customHeight="1" x14ac:dyDescent="0.2">
      <c r="A121" s="50"/>
      <c r="B121" s="27"/>
      <c r="C121" s="191"/>
      <c r="D121" s="178" t="s">
        <v>236</v>
      </c>
      <c r="E121" s="204">
        <v>10</v>
      </c>
      <c r="F121" s="204" t="s">
        <v>237</v>
      </c>
      <c r="G121" s="57" t="s">
        <v>233</v>
      </c>
      <c r="H121" s="205">
        <f>IF(I121&gt;=14,10,0)</f>
        <v>0</v>
      </c>
      <c r="I121" s="180">
        <v>1</v>
      </c>
      <c r="J121" s="139">
        <f>H121*5%+H122*5%+H123*10%+H124*10%+H125*20%+H126*50%</f>
        <v>7.5</v>
      </c>
      <c r="K121" s="204" t="s">
        <v>234</v>
      </c>
      <c r="L121" s="205">
        <f>IF(M121&gt;=14,2,0)</f>
        <v>0</v>
      </c>
      <c r="M121" s="206"/>
      <c r="N121" s="207">
        <f>MEDIAN(L121+L122+L123+L124+L125+L126,10,0)</f>
        <v>0</v>
      </c>
      <c r="O121" s="35" t="s">
        <v>235</v>
      </c>
    </row>
    <row r="122" spans="1:17" ht="16.5" x14ac:dyDescent="0.2">
      <c r="A122" s="50"/>
      <c r="B122" s="27"/>
      <c r="C122" s="191"/>
      <c r="D122" s="183"/>
      <c r="E122" s="208"/>
      <c r="F122" s="208"/>
      <c r="G122" s="57" t="s">
        <v>233</v>
      </c>
      <c r="H122" s="205">
        <f t="shared" ref="H122:H126" si="8">IF(I122&gt;=14,10,0)</f>
        <v>10</v>
      </c>
      <c r="I122" s="180">
        <v>14</v>
      </c>
      <c r="J122" s="139"/>
      <c r="K122" s="208"/>
      <c r="L122" s="205">
        <f t="shared" ref="L122:L126" si="9">IF(M122&gt;=14,2,0)</f>
        <v>0</v>
      </c>
      <c r="M122" s="206"/>
      <c r="N122" s="209"/>
      <c r="O122" s="36"/>
    </row>
    <row r="123" spans="1:17" ht="16.5" x14ac:dyDescent="0.2">
      <c r="A123" s="50"/>
      <c r="B123" s="27"/>
      <c r="C123" s="191"/>
      <c r="D123" s="183"/>
      <c r="E123" s="208"/>
      <c r="F123" s="208"/>
      <c r="G123" s="57" t="s">
        <v>233</v>
      </c>
      <c r="H123" s="205">
        <f t="shared" si="8"/>
        <v>0</v>
      </c>
      <c r="I123" s="180">
        <v>1</v>
      </c>
      <c r="J123" s="139"/>
      <c r="K123" s="208"/>
      <c r="L123" s="205">
        <f t="shared" si="9"/>
        <v>0</v>
      </c>
      <c r="M123" s="206"/>
      <c r="N123" s="209"/>
      <c r="O123" s="36"/>
    </row>
    <row r="124" spans="1:17" ht="16.5" x14ac:dyDescent="0.2">
      <c r="A124" s="50"/>
      <c r="B124" s="27"/>
      <c r="C124" s="191"/>
      <c r="D124" s="183"/>
      <c r="E124" s="208"/>
      <c r="F124" s="208"/>
      <c r="G124" s="57" t="s">
        <v>233</v>
      </c>
      <c r="H124" s="205">
        <f t="shared" si="8"/>
        <v>0</v>
      </c>
      <c r="I124" s="180">
        <v>1</v>
      </c>
      <c r="J124" s="139"/>
      <c r="K124" s="208"/>
      <c r="L124" s="205">
        <f t="shared" si="9"/>
        <v>0</v>
      </c>
      <c r="M124" s="206"/>
      <c r="N124" s="209"/>
      <c r="O124" s="36"/>
    </row>
    <row r="125" spans="1:17" ht="16.5" x14ac:dyDescent="0.2">
      <c r="A125" s="50"/>
      <c r="B125" s="27"/>
      <c r="C125" s="191"/>
      <c r="D125" s="183"/>
      <c r="E125" s="208"/>
      <c r="F125" s="208"/>
      <c r="G125" s="57" t="s">
        <v>233</v>
      </c>
      <c r="H125" s="205">
        <f t="shared" si="8"/>
        <v>10</v>
      </c>
      <c r="I125" s="180">
        <v>14</v>
      </c>
      <c r="J125" s="139"/>
      <c r="K125" s="208"/>
      <c r="L125" s="205">
        <f t="shared" si="9"/>
        <v>0</v>
      </c>
      <c r="M125" s="206"/>
      <c r="N125" s="209"/>
      <c r="O125" s="36"/>
    </row>
    <row r="126" spans="1:17" ht="16.5" x14ac:dyDescent="0.2">
      <c r="A126" s="50"/>
      <c r="B126" s="27"/>
      <c r="C126" s="191"/>
      <c r="D126" s="187"/>
      <c r="E126" s="210"/>
      <c r="F126" s="210"/>
      <c r="G126" s="57" t="s">
        <v>233</v>
      </c>
      <c r="H126" s="205">
        <f t="shared" si="8"/>
        <v>10</v>
      </c>
      <c r="I126" s="180">
        <v>14</v>
      </c>
      <c r="J126" s="144"/>
      <c r="K126" s="210"/>
      <c r="L126" s="205">
        <f t="shared" si="9"/>
        <v>0</v>
      </c>
      <c r="M126" s="206"/>
      <c r="N126" s="211"/>
      <c r="O126" s="49"/>
    </row>
    <row r="127" spans="1:17" ht="14.25" customHeight="1" x14ac:dyDescent="0.2">
      <c r="A127" s="50"/>
      <c r="B127" s="27"/>
      <c r="C127" s="191"/>
      <c r="D127" s="178" t="s">
        <v>210</v>
      </c>
      <c r="E127" s="204">
        <v>10</v>
      </c>
      <c r="F127" s="204" t="s">
        <v>238</v>
      </c>
      <c r="G127" s="57" t="s">
        <v>233</v>
      </c>
      <c r="H127" s="205">
        <f>IF(I127&gt;=2,10,0)</f>
        <v>0</v>
      </c>
      <c r="I127" s="180"/>
      <c r="J127" s="139">
        <f>H127*5%+H128*5%+H129*10%+H130*10%+H131*20%+H132*50%</f>
        <v>5</v>
      </c>
      <c r="K127" s="204" t="s">
        <v>234</v>
      </c>
      <c r="L127" s="205">
        <f>IF(M127&gt;=2,2,0)</f>
        <v>0</v>
      </c>
      <c r="M127" s="206"/>
      <c r="N127" s="207">
        <f>MEDIAN(L127+L128+L129+L130+L131+L132,10,0)</f>
        <v>0</v>
      </c>
      <c r="O127" s="35" t="s">
        <v>235</v>
      </c>
    </row>
    <row r="128" spans="1:17" ht="16.5" x14ac:dyDescent="0.2">
      <c r="A128" s="50"/>
      <c r="B128" s="27"/>
      <c r="C128" s="191"/>
      <c r="D128" s="183"/>
      <c r="E128" s="208"/>
      <c r="F128" s="208"/>
      <c r="G128" s="57" t="s">
        <v>233</v>
      </c>
      <c r="H128" s="205">
        <f t="shared" ref="H128:H132" si="10">IF(I128&gt;=2,10,0)</f>
        <v>0</v>
      </c>
      <c r="I128" s="180"/>
      <c r="J128" s="139"/>
      <c r="K128" s="208"/>
      <c r="L128" s="205">
        <f t="shared" ref="L128:L132" si="11">IF(M128&gt;=2,2,0)</f>
        <v>0</v>
      </c>
      <c r="M128" s="206"/>
      <c r="N128" s="209"/>
      <c r="O128" s="36"/>
    </row>
    <row r="129" spans="1:16" ht="16.5" x14ac:dyDescent="0.2">
      <c r="A129" s="50"/>
      <c r="B129" s="27"/>
      <c r="C129" s="191"/>
      <c r="D129" s="183"/>
      <c r="E129" s="208"/>
      <c r="F129" s="208"/>
      <c r="G129" s="57" t="s">
        <v>233</v>
      </c>
      <c r="H129" s="205">
        <f t="shared" si="10"/>
        <v>0</v>
      </c>
      <c r="I129" s="180"/>
      <c r="J129" s="139"/>
      <c r="K129" s="208"/>
      <c r="L129" s="205">
        <f t="shared" si="11"/>
        <v>0</v>
      </c>
      <c r="M129" s="206"/>
      <c r="N129" s="209"/>
      <c r="O129" s="36"/>
    </row>
    <row r="130" spans="1:16" ht="16.5" x14ac:dyDescent="0.2">
      <c r="A130" s="50"/>
      <c r="B130" s="27"/>
      <c r="C130" s="191"/>
      <c r="D130" s="183"/>
      <c r="E130" s="208"/>
      <c r="F130" s="208"/>
      <c r="G130" s="57" t="s">
        <v>233</v>
      </c>
      <c r="H130" s="205">
        <f t="shared" si="10"/>
        <v>0</v>
      </c>
      <c r="I130" s="180"/>
      <c r="J130" s="139"/>
      <c r="K130" s="208"/>
      <c r="L130" s="205">
        <f t="shared" si="11"/>
        <v>0</v>
      </c>
      <c r="M130" s="206"/>
      <c r="N130" s="209"/>
      <c r="O130" s="36"/>
    </row>
    <row r="131" spans="1:16" ht="16.5" x14ac:dyDescent="0.2">
      <c r="A131" s="50"/>
      <c r="B131" s="27"/>
      <c r="C131" s="191"/>
      <c r="D131" s="183"/>
      <c r="E131" s="208"/>
      <c r="F131" s="208"/>
      <c r="G131" s="57" t="s">
        <v>233</v>
      </c>
      <c r="H131" s="205">
        <f t="shared" si="10"/>
        <v>0</v>
      </c>
      <c r="I131" s="180"/>
      <c r="J131" s="139"/>
      <c r="K131" s="208"/>
      <c r="L131" s="205">
        <f t="shared" si="11"/>
        <v>0</v>
      </c>
      <c r="M131" s="206"/>
      <c r="N131" s="209"/>
      <c r="O131" s="36"/>
    </row>
    <row r="132" spans="1:16" ht="16.5" x14ac:dyDescent="0.2">
      <c r="A132" s="50"/>
      <c r="B132" s="27"/>
      <c r="C132" s="191"/>
      <c r="D132" s="187"/>
      <c r="E132" s="210"/>
      <c r="F132" s="210"/>
      <c r="G132" s="57" t="s">
        <v>233</v>
      </c>
      <c r="H132" s="205">
        <f t="shared" si="10"/>
        <v>10</v>
      </c>
      <c r="I132" s="180">
        <v>2</v>
      </c>
      <c r="J132" s="144"/>
      <c r="K132" s="210"/>
      <c r="L132" s="205">
        <f t="shared" si="11"/>
        <v>0</v>
      </c>
      <c r="M132" s="206"/>
      <c r="N132" s="211"/>
      <c r="O132" s="49"/>
    </row>
    <row r="133" spans="1:16" ht="17.25" customHeight="1" x14ac:dyDescent="0.2">
      <c r="A133" s="50"/>
      <c r="B133" s="27"/>
      <c r="C133" s="191"/>
      <c r="D133" s="178" t="s">
        <v>239</v>
      </c>
      <c r="E133" s="212">
        <v>20</v>
      </c>
      <c r="F133" s="204" t="s">
        <v>240</v>
      </c>
      <c r="G133" s="57" t="s">
        <v>233</v>
      </c>
      <c r="H133" s="205">
        <f>IF(I133&gt;=1,20,0)</f>
        <v>0</v>
      </c>
      <c r="I133" s="180"/>
      <c r="J133" s="139">
        <f>H133*5%+H134*5%+H135*10%+H136*10%+H137*20%+H138*50%</f>
        <v>10</v>
      </c>
      <c r="K133" s="204" t="s">
        <v>234</v>
      </c>
      <c r="L133" s="205">
        <f>IF(M133&gt;=1,3.3,0)</f>
        <v>0</v>
      </c>
      <c r="M133" s="206"/>
      <c r="N133" s="207">
        <f>MEDIAN(L133+L134+L135+L136+L137+L138,20,0)</f>
        <v>0</v>
      </c>
      <c r="O133" s="35" t="s">
        <v>235</v>
      </c>
    </row>
    <row r="134" spans="1:16" ht="16.5" x14ac:dyDescent="0.2">
      <c r="A134" s="50"/>
      <c r="B134" s="27"/>
      <c r="C134" s="191"/>
      <c r="D134" s="183"/>
      <c r="E134" s="213"/>
      <c r="F134" s="208"/>
      <c r="G134" s="57" t="s">
        <v>233</v>
      </c>
      <c r="H134" s="205">
        <f t="shared" ref="H134:H138" si="12">IF(I134&gt;=1,20,0)</f>
        <v>0</v>
      </c>
      <c r="I134" s="180"/>
      <c r="J134" s="139"/>
      <c r="K134" s="208"/>
      <c r="L134" s="205">
        <f t="shared" ref="L134:L144" si="13">IF(M134&gt;=1,3.3,0)</f>
        <v>0</v>
      </c>
      <c r="M134" s="206"/>
      <c r="N134" s="209"/>
      <c r="O134" s="36"/>
    </row>
    <row r="135" spans="1:16" ht="16.5" x14ac:dyDescent="0.2">
      <c r="A135" s="50"/>
      <c r="B135" s="27"/>
      <c r="C135" s="191"/>
      <c r="D135" s="183"/>
      <c r="E135" s="213"/>
      <c r="F135" s="208"/>
      <c r="G135" s="57" t="s">
        <v>233</v>
      </c>
      <c r="H135" s="205">
        <f t="shared" si="12"/>
        <v>0</v>
      </c>
      <c r="I135" s="180"/>
      <c r="J135" s="139"/>
      <c r="K135" s="208"/>
      <c r="L135" s="205">
        <f t="shared" si="13"/>
        <v>0</v>
      </c>
      <c r="M135" s="206"/>
      <c r="N135" s="209"/>
      <c r="O135" s="36"/>
    </row>
    <row r="136" spans="1:16" ht="16.5" x14ac:dyDescent="0.2">
      <c r="A136" s="50"/>
      <c r="B136" s="27"/>
      <c r="C136" s="191"/>
      <c r="D136" s="183"/>
      <c r="E136" s="213"/>
      <c r="F136" s="208"/>
      <c r="G136" s="57" t="s">
        <v>233</v>
      </c>
      <c r="H136" s="205">
        <f t="shared" si="12"/>
        <v>0</v>
      </c>
      <c r="I136" s="180"/>
      <c r="J136" s="139"/>
      <c r="K136" s="208"/>
      <c r="L136" s="205">
        <f t="shared" si="13"/>
        <v>0</v>
      </c>
      <c r="M136" s="206"/>
      <c r="N136" s="209"/>
      <c r="O136" s="36"/>
    </row>
    <row r="137" spans="1:16" ht="16.5" x14ac:dyDescent="0.2">
      <c r="A137" s="50"/>
      <c r="B137" s="27"/>
      <c r="C137" s="191"/>
      <c r="D137" s="183"/>
      <c r="E137" s="213"/>
      <c r="F137" s="208"/>
      <c r="G137" s="57" t="s">
        <v>233</v>
      </c>
      <c r="H137" s="205">
        <f t="shared" si="12"/>
        <v>0</v>
      </c>
      <c r="I137" s="180"/>
      <c r="J137" s="139"/>
      <c r="K137" s="208"/>
      <c r="L137" s="205">
        <f t="shared" si="13"/>
        <v>0</v>
      </c>
      <c r="M137" s="206"/>
      <c r="N137" s="209"/>
      <c r="O137" s="36"/>
    </row>
    <row r="138" spans="1:16" ht="16.5" x14ac:dyDescent="0.2">
      <c r="A138" s="50"/>
      <c r="B138" s="27"/>
      <c r="C138" s="191"/>
      <c r="D138" s="187"/>
      <c r="E138" s="214"/>
      <c r="F138" s="210"/>
      <c r="G138" s="57" t="s">
        <v>233</v>
      </c>
      <c r="H138" s="205">
        <f t="shared" si="12"/>
        <v>20</v>
      </c>
      <c r="I138" s="180">
        <v>5</v>
      </c>
      <c r="J138" s="144"/>
      <c r="K138" s="210"/>
      <c r="L138" s="205">
        <f t="shared" si="13"/>
        <v>0</v>
      </c>
      <c r="M138" s="206"/>
      <c r="N138" s="211"/>
      <c r="O138" s="49"/>
    </row>
    <row r="139" spans="1:16" ht="15.75" customHeight="1" x14ac:dyDescent="0.2">
      <c r="A139" s="50"/>
      <c r="B139" s="27"/>
      <c r="C139" s="191"/>
      <c r="D139" s="215" t="s">
        <v>241</v>
      </c>
      <c r="E139" s="216">
        <v>20</v>
      </c>
      <c r="F139" s="191" t="s">
        <v>242</v>
      </c>
      <c r="G139" s="57" t="s">
        <v>233</v>
      </c>
      <c r="H139" s="205">
        <f>IF(I139&gt;=1,20,0)</f>
        <v>0</v>
      </c>
      <c r="I139" s="180"/>
      <c r="J139" s="139">
        <f>H139*5%+H140*5%+H141*10%+H142*10%+H143*20%+H144*50%</f>
        <v>10</v>
      </c>
      <c r="K139" s="204" t="s">
        <v>234</v>
      </c>
      <c r="L139" s="205">
        <f t="shared" si="13"/>
        <v>0</v>
      </c>
      <c r="M139" s="206"/>
      <c r="N139" s="207">
        <f>MEDIAN(L139+L140+L141+L142+L143+L144,20,0)</f>
        <v>0</v>
      </c>
      <c r="O139" s="35" t="s">
        <v>243</v>
      </c>
      <c r="P139" s="217"/>
    </row>
    <row r="140" spans="1:16" ht="15.75" customHeight="1" x14ac:dyDescent="0.2">
      <c r="A140" s="50"/>
      <c r="B140" s="27"/>
      <c r="C140" s="191"/>
      <c r="D140" s="215"/>
      <c r="E140" s="216"/>
      <c r="F140" s="191"/>
      <c r="G140" s="57" t="s">
        <v>233</v>
      </c>
      <c r="H140" s="205">
        <f t="shared" ref="H140:H144" si="14">IF(I140&gt;=1,20,0)</f>
        <v>0</v>
      </c>
      <c r="I140" s="180"/>
      <c r="J140" s="139"/>
      <c r="K140" s="208"/>
      <c r="L140" s="205">
        <f t="shared" si="13"/>
        <v>0</v>
      </c>
      <c r="M140" s="206"/>
      <c r="N140" s="209"/>
      <c r="O140" s="36"/>
    </row>
    <row r="141" spans="1:16" ht="16.5" x14ac:dyDescent="0.2">
      <c r="A141" s="50"/>
      <c r="B141" s="27"/>
      <c r="C141" s="191"/>
      <c r="D141" s="215"/>
      <c r="E141" s="216"/>
      <c r="F141" s="191"/>
      <c r="G141" s="57" t="s">
        <v>233</v>
      </c>
      <c r="H141" s="205">
        <f t="shared" si="14"/>
        <v>0</v>
      </c>
      <c r="I141" s="180"/>
      <c r="J141" s="139"/>
      <c r="K141" s="208"/>
      <c r="L141" s="205">
        <f t="shared" si="13"/>
        <v>0</v>
      </c>
      <c r="M141" s="206"/>
      <c r="N141" s="209"/>
      <c r="O141" s="36"/>
    </row>
    <row r="142" spans="1:16" ht="16.5" x14ac:dyDescent="0.2">
      <c r="A142" s="50"/>
      <c r="B142" s="27"/>
      <c r="C142" s="191"/>
      <c r="D142" s="215"/>
      <c r="E142" s="216"/>
      <c r="F142" s="191"/>
      <c r="G142" s="57" t="s">
        <v>233</v>
      </c>
      <c r="H142" s="205">
        <f t="shared" si="14"/>
        <v>0</v>
      </c>
      <c r="I142" s="180"/>
      <c r="J142" s="139"/>
      <c r="K142" s="208"/>
      <c r="L142" s="205">
        <f t="shared" si="13"/>
        <v>0</v>
      </c>
      <c r="M142" s="206"/>
      <c r="N142" s="209"/>
      <c r="O142" s="36"/>
    </row>
    <row r="143" spans="1:16" ht="16.5" x14ac:dyDescent="0.2">
      <c r="A143" s="50"/>
      <c r="B143" s="27"/>
      <c r="C143" s="191"/>
      <c r="D143" s="215"/>
      <c r="E143" s="216"/>
      <c r="F143" s="191"/>
      <c r="G143" s="57" t="s">
        <v>233</v>
      </c>
      <c r="H143" s="205">
        <f t="shared" si="14"/>
        <v>0</v>
      </c>
      <c r="I143" s="180"/>
      <c r="J143" s="139"/>
      <c r="K143" s="208"/>
      <c r="L143" s="205">
        <f t="shared" si="13"/>
        <v>0</v>
      </c>
      <c r="M143" s="206"/>
      <c r="N143" s="209"/>
      <c r="O143" s="36"/>
    </row>
    <row r="144" spans="1:16" ht="16.5" x14ac:dyDescent="0.2">
      <c r="A144" s="50"/>
      <c r="B144" s="27"/>
      <c r="C144" s="191"/>
      <c r="D144" s="215"/>
      <c r="E144" s="216"/>
      <c r="F144" s="191"/>
      <c r="G144" s="57" t="s">
        <v>233</v>
      </c>
      <c r="H144" s="218">
        <f t="shared" si="14"/>
        <v>20</v>
      </c>
      <c r="I144" s="219">
        <v>1</v>
      </c>
      <c r="J144" s="144"/>
      <c r="K144" s="210"/>
      <c r="L144" s="218">
        <f t="shared" si="13"/>
        <v>0</v>
      </c>
      <c r="M144" s="220"/>
      <c r="N144" s="211"/>
      <c r="O144" s="49"/>
      <c r="P144" s="221">
        <f>SUM(J115:J144)</f>
        <v>37.5</v>
      </c>
    </row>
    <row r="145" spans="10:17" x14ac:dyDescent="0.2">
      <c r="J145" s="222">
        <f>SUM(J4:J144)</f>
        <v>320.25</v>
      </c>
      <c r="N145" s="222">
        <f>SUM(N4:N144)</f>
        <v>170</v>
      </c>
      <c r="P145" s="223" t="e">
        <f>P144+P114+#REF!+P92+P86+P50+P41+P29+P18</f>
        <v>#REF!</v>
      </c>
      <c r="Q145" s="223" t="e">
        <f>Q144+Q114+#REF!+Q92+Q86+Q50+Q41+Q29+Q18</f>
        <v>#REF!</v>
      </c>
    </row>
  </sheetData>
  <mergeCells count="230">
    <mergeCell ref="O139:O144"/>
    <mergeCell ref="D139:D144"/>
    <mergeCell ref="E139:E144"/>
    <mergeCell ref="F139:F144"/>
    <mergeCell ref="J139:J144"/>
    <mergeCell ref="K139:K144"/>
    <mergeCell ref="N139:N144"/>
    <mergeCell ref="K127:K132"/>
    <mergeCell ref="N127:N132"/>
    <mergeCell ref="O127:O132"/>
    <mergeCell ref="D133:D138"/>
    <mergeCell ref="E133:E138"/>
    <mergeCell ref="F133:F138"/>
    <mergeCell ref="J133:J138"/>
    <mergeCell ref="K133:K138"/>
    <mergeCell ref="N133:N138"/>
    <mergeCell ref="O133:O138"/>
    <mergeCell ref="N115:N120"/>
    <mergeCell ref="O115:O120"/>
    <mergeCell ref="D121:D126"/>
    <mergeCell ref="E121:E126"/>
    <mergeCell ref="F121:F126"/>
    <mergeCell ref="J121:J126"/>
    <mergeCell ref="K121:K126"/>
    <mergeCell ref="N121:N126"/>
    <mergeCell ref="O121:O126"/>
    <mergeCell ref="C115:C144"/>
    <mergeCell ref="D115:D120"/>
    <mergeCell ref="E115:E120"/>
    <mergeCell ref="F115:F120"/>
    <mergeCell ref="J115:J120"/>
    <mergeCell ref="K115:K120"/>
    <mergeCell ref="D127:D132"/>
    <mergeCell ref="E127:E132"/>
    <mergeCell ref="F127:F132"/>
    <mergeCell ref="J127:J132"/>
    <mergeCell ref="K105:K110"/>
    <mergeCell ref="L105:L110"/>
    <mergeCell ref="M105:M110"/>
    <mergeCell ref="N105:N110"/>
    <mergeCell ref="O105:O110"/>
    <mergeCell ref="A111:A144"/>
    <mergeCell ref="B111:B144"/>
    <mergeCell ref="C111:C112"/>
    <mergeCell ref="J111:J112"/>
    <mergeCell ref="N111:N112"/>
    <mergeCell ref="K99:K104"/>
    <mergeCell ref="L99:L104"/>
    <mergeCell ref="M99:M104"/>
    <mergeCell ref="N99:N104"/>
    <mergeCell ref="O99:O104"/>
    <mergeCell ref="D105:D110"/>
    <mergeCell ref="E105:E110"/>
    <mergeCell ref="F105:F110"/>
    <mergeCell ref="G105:G110"/>
    <mergeCell ref="J105:J110"/>
    <mergeCell ref="K93:K98"/>
    <mergeCell ref="L93:L98"/>
    <mergeCell ref="M93:M98"/>
    <mergeCell ref="N93:N98"/>
    <mergeCell ref="O93:O98"/>
    <mergeCell ref="D99:D104"/>
    <mergeCell ref="E99:E104"/>
    <mergeCell ref="F99:F104"/>
    <mergeCell ref="G99:G104"/>
    <mergeCell ref="J99:J104"/>
    <mergeCell ref="C93:C110"/>
    <mergeCell ref="D93:D98"/>
    <mergeCell ref="E93:E98"/>
    <mergeCell ref="F93:F98"/>
    <mergeCell ref="G93:G98"/>
    <mergeCell ref="J93:J98"/>
    <mergeCell ref="M81:M86"/>
    <mergeCell ref="N81:N86"/>
    <mergeCell ref="O81:O86"/>
    <mergeCell ref="A87:A110"/>
    <mergeCell ref="B87:B110"/>
    <mergeCell ref="C87:C88"/>
    <mergeCell ref="J87:J88"/>
    <mergeCell ref="N87:N88"/>
    <mergeCell ref="C89:C90"/>
    <mergeCell ref="C91:C92"/>
    <mergeCell ref="N69:N74"/>
    <mergeCell ref="O69:O74"/>
    <mergeCell ref="D75:D80"/>
    <mergeCell ref="E75:E80"/>
    <mergeCell ref="F75:F80"/>
    <mergeCell ref="J75:J80"/>
    <mergeCell ref="M75:M80"/>
    <mergeCell ref="N75:N80"/>
    <mergeCell ref="O75:O80"/>
    <mergeCell ref="C69:C86"/>
    <mergeCell ref="D69:D74"/>
    <mergeCell ref="E69:E74"/>
    <mergeCell ref="F69:F74"/>
    <mergeCell ref="J69:J74"/>
    <mergeCell ref="M69:M74"/>
    <mergeCell ref="D81:D86"/>
    <mergeCell ref="E81:E86"/>
    <mergeCell ref="F81:F86"/>
    <mergeCell ref="J81:J86"/>
    <mergeCell ref="M57:M62"/>
    <mergeCell ref="N57:N62"/>
    <mergeCell ref="O57:O62"/>
    <mergeCell ref="D63:D68"/>
    <mergeCell ref="E63:E68"/>
    <mergeCell ref="F63:F68"/>
    <mergeCell ref="J63:J68"/>
    <mergeCell ref="M63:M68"/>
    <mergeCell ref="N63:N68"/>
    <mergeCell ref="O63:O68"/>
    <mergeCell ref="K51:K56"/>
    <mergeCell ref="L51:L56"/>
    <mergeCell ref="M51:M56"/>
    <mergeCell ref="N51:N56"/>
    <mergeCell ref="O51:O56"/>
    <mergeCell ref="C57:C68"/>
    <mergeCell ref="D57:D62"/>
    <mergeCell ref="E57:E62"/>
    <mergeCell ref="F57:F62"/>
    <mergeCell ref="J57:J62"/>
    <mergeCell ref="N46:N47"/>
    <mergeCell ref="O46:O47"/>
    <mergeCell ref="A51:A86"/>
    <mergeCell ref="B51:B86"/>
    <mergeCell ref="C51:C56"/>
    <mergeCell ref="D51:D56"/>
    <mergeCell ref="E51:E56"/>
    <mergeCell ref="F51:F56"/>
    <mergeCell ref="G51:G56"/>
    <mergeCell ref="J51:J56"/>
    <mergeCell ref="J43:J44"/>
    <mergeCell ref="A45:A50"/>
    <mergeCell ref="B45:B50"/>
    <mergeCell ref="C46:C47"/>
    <mergeCell ref="D46:D47"/>
    <mergeCell ref="E46:E47"/>
    <mergeCell ref="F46:F47"/>
    <mergeCell ref="J46:J47"/>
    <mergeCell ref="O35:O36"/>
    <mergeCell ref="C37:C41"/>
    <mergeCell ref="D37:D41"/>
    <mergeCell ref="E37:E41"/>
    <mergeCell ref="F37:F41"/>
    <mergeCell ref="I37:I41"/>
    <mergeCell ref="J37:J41"/>
    <mergeCell ref="M37:M41"/>
    <mergeCell ref="N37:N41"/>
    <mergeCell ref="O37:O41"/>
    <mergeCell ref="J30:J34"/>
    <mergeCell ref="N30:N34"/>
    <mergeCell ref="O30:O31"/>
    <mergeCell ref="O32:O34"/>
    <mergeCell ref="C35:C36"/>
    <mergeCell ref="D35:D36"/>
    <mergeCell ref="E35:E36"/>
    <mergeCell ref="F35:F36"/>
    <mergeCell ref="J35:J36"/>
    <mergeCell ref="N35:N36"/>
    <mergeCell ref="A30:A44"/>
    <mergeCell ref="B30:B44"/>
    <mergeCell ref="C30:C34"/>
    <mergeCell ref="D30:D34"/>
    <mergeCell ref="E30:E34"/>
    <mergeCell ref="F30:F34"/>
    <mergeCell ref="C42:C44"/>
    <mergeCell ref="D42:D44"/>
    <mergeCell ref="E42:E44"/>
    <mergeCell ref="F42:F44"/>
    <mergeCell ref="O19:O22"/>
    <mergeCell ref="O23:O25"/>
    <mergeCell ref="C26:C29"/>
    <mergeCell ref="D26:D29"/>
    <mergeCell ref="E26:E29"/>
    <mergeCell ref="F26:F29"/>
    <mergeCell ref="J26:J29"/>
    <mergeCell ref="N26:N29"/>
    <mergeCell ref="O26:O29"/>
    <mergeCell ref="N15:N18"/>
    <mergeCell ref="O15:O18"/>
    <mergeCell ref="A19:A29"/>
    <mergeCell ref="B19:B29"/>
    <mergeCell ref="C19:C25"/>
    <mergeCell ref="D19:D25"/>
    <mergeCell ref="E19:E25"/>
    <mergeCell ref="F19:F25"/>
    <mergeCell ref="J19:J25"/>
    <mergeCell ref="N19:N25"/>
    <mergeCell ref="M12:M14"/>
    <mergeCell ref="N12:N14"/>
    <mergeCell ref="O12:O14"/>
    <mergeCell ref="C15:C18"/>
    <mergeCell ref="D15:D18"/>
    <mergeCell ref="E15:E18"/>
    <mergeCell ref="F15:F18"/>
    <mergeCell ref="I15:I18"/>
    <mergeCell ref="J15:J18"/>
    <mergeCell ref="M15:M18"/>
    <mergeCell ref="C12:C14"/>
    <mergeCell ref="D12:D14"/>
    <mergeCell ref="E12:E14"/>
    <mergeCell ref="F12:F14"/>
    <mergeCell ref="I12:I14"/>
    <mergeCell ref="J12:J14"/>
    <mergeCell ref="F4:F8"/>
    <mergeCell ref="I4:I8"/>
    <mergeCell ref="J4:J8"/>
    <mergeCell ref="M4:M8"/>
    <mergeCell ref="N4:N8"/>
    <mergeCell ref="O4:O8"/>
    <mergeCell ref="I2:I3"/>
    <mergeCell ref="J2:J3"/>
    <mergeCell ref="M2:M3"/>
    <mergeCell ref="N2:N3"/>
    <mergeCell ref="O2:O3"/>
    <mergeCell ref="A4:A18"/>
    <mergeCell ref="B4:B18"/>
    <mergeCell ref="C4:C10"/>
    <mergeCell ref="D4:D8"/>
    <mergeCell ref="E4:E8"/>
    <mergeCell ref="A1:G1"/>
    <mergeCell ref="I1:J1"/>
    <mergeCell ref="L1:N1"/>
    <mergeCell ref="A2:A3"/>
    <mergeCell ref="B2:B3"/>
    <mergeCell ref="C2:C3"/>
    <mergeCell ref="D2:D3"/>
    <mergeCell ref="E2:E3"/>
    <mergeCell ref="F2:F3"/>
    <mergeCell ref="G2:H2"/>
  </mergeCells>
  <phoneticPr fontId="2" type="noConversion"/>
  <dataValidations count="4">
    <dataValidation type="list" allowBlank="1" showInputMessage="1" showErrorMessage="1" sqref="I12:I14 M12:M14">
      <formula1>"杭州经纪人证,全国协理证,全国经纪人证"</formula1>
    </dataValidation>
    <dataValidation type="list" allowBlank="1" showInputMessage="1" showErrorMessage="1" sqref="I4:I8 M4:M8">
      <formula1>"高中,中专,大专非统招,大专统招,本科非统招,本科统招,本科以上非统招,本科以上统招"</formula1>
    </dataValidation>
    <dataValidation type="list" allowBlank="1" showInputMessage="1" showErrorMessage="1" sqref="I10 M10">
      <formula1>"退伍军人,党员,退伍军人，党员"</formula1>
    </dataValidation>
    <dataValidation type="list" allowBlank="1" showInputMessage="1" showErrorMessage="1" sqref="I9 M9">
      <formula1>"特长生"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2021-04-23T07:14:10Z</dcterms:modified>
</cp:coreProperties>
</file>