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PPT\积分项目\2021.4.29\"/>
    </mc:Choice>
  </mc:AlternateContent>
  <bookViews>
    <workbookView xWindow="-105" yWindow="-105" windowWidth="23250" windowHeight="12570" tabRatio="599" firstSheet="6" activeTab="6"/>
  </bookViews>
  <sheets>
    <sheet name="2021.3.29" sheetId="23" r:id="rId1"/>
    <sheet name="2021.4.14" sheetId="26" r:id="rId2"/>
    <sheet name="2021.4.16" sheetId="27" r:id="rId3"/>
    <sheet name="2021.4.20" sheetId="28" r:id="rId4"/>
    <sheet name="2021.4.25" sheetId="41" r:id="rId5"/>
    <sheet name="2021.4.26" sheetId="49" r:id="rId6"/>
    <sheet name="2021.4.29" sheetId="51" r:id="rId7"/>
  </sheets>
  <externalReferences>
    <externalReference r:id="rId8"/>
  </externalReferences>
  <definedNames>
    <definedName name="_xlnm._FilterDatabase" localSheetId="1" hidden="1">'2021.4.14'!$A$3:$Q$128</definedName>
    <definedName name="_xlnm._FilterDatabase" localSheetId="2" hidden="1">'2021.4.16'!$A$3:$P$121</definedName>
    <definedName name="_xlnm._FilterDatabase" localSheetId="3" hidden="1">'2021.4.20'!$A$3:$P$3</definedName>
    <definedName name="_xlnm._FilterDatabase" localSheetId="4" hidden="1">'2021.4.25'!$A$3:$L$3</definedName>
    <definedName name="_xlnm._FilterDatabase" localSheetId="5" hidden="1">'2021.4.26'!$A$3:$L$3</definedName>
    <definedName name="_xlnm._FilterDatabase" localSheetId="6" hidden="1">'2021.4.29'!$A$3:$I$3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6" i="51" l="1"/>
  <c r="E95" i="51"/>
  <c r="H149" i="49" l="1"/>
  <c r="H148" i="49"/>
  <c r="H147" i="49"/>
  <c r="H146" i="49"/>
  <c r="H145" i="49"/>
  <c r="H144" i="49"/>
  <c r="H143" i="49"/>
  <c r="H142" i="49"/>
  <c r="H141" i="49"/>
  <c r="H140" i="49"/>
  <c r="H139" i="49"/>
  <c r="H138" i="49"/>
  <c r="H137" i="49"/>
  <c r="H136" i="49"/>
  <c r="H135" i="49"/>
  <c r="H134" i="49"/>
  <c r="H133" i="49"/>
  <c r="H132" i="49"/>
  <c r="H131" i="49"/>
  <c r="H130" i="49"/>
  <c r="H129" i="49"/>
  <c r="H128" i="49"/>
  <c r="H127" i="49"/>
  <c r="H126" i="49"/>
  <c r="J126" i="49" s="1"/>
  <c r="H125" i="49"/>
  <c r="H124" i="49"/>
  <c r="H123" i="49"/>
  <c r="H122" i="49"/>
  <c r="H121" i="49"/>
  <c r="H120" i="49"/>
  <c r="J119" i="49"/>
  <c r="J118" i="49"/>
  <c r="J116" i="49"/>
  <c r="H115" i="49"/>
  <c r="H114" i="49"/>
  <c r="H113" i="49"/>
  <c r="H112" i="49"/>
  <c r="H111" i="49"/>
  <c r="H110" i="49"/>
  <c r="J110" i="49" s="1"/>
  <c r="E110" i="49"/>
  <c r="H109" i="49"/>
  <c r="H108" i="49"/>
  <c r="H107" i="49"/>
  <c r="H106" i="49"/>
  <c r="H105" i="49"/>
  <c r="H104" i="49"/>
  <c r="E104" i="49"/>
  <c r="H103" i="49"/>
  <c r="H102" i="49"/>
  <c r="H101" i="49"/>
  <c r="H100" i="49"/>
  <c r="H99" i="49"/>
  <c r="H98" i="49"/>
  <c r="J97" i="49"/>
  <c r="J96" i="49"/>
  <c r="J95" i="49"/>
  <c r="J94" i="49"/>
  <c r="L97" i="49" s="1"/>
  <c r="J92" i="49"/>
  <c r="E92" i="49"/>
  <c r="H91" i="49"/>
  <c r="H90" i="49"/>
  <c r="H89" i="49"/>
  <c r="H88" i="49"/>
  <c r="H87" i="49"/>
  <c r="H86" i="49"/>
  <c r="J86" i="49" s="1"/>
  <c r="H85" i="49"/>
  <c r="H84" i="49"/>
  <c r="H83" i="49"/>
  <c r="H82" i="49"/>
  <c r="H81" i="49"/>
  <c r="H80" i="49"/>
  <c r="H79" i="49"/>
  <c r="H78" i="49"/>
  <c r="H77" i="49"/>
  <c r="H76" i="49"/>
  <c r="H75" i="49"/>
  <c r="H74" i="49"/>
  <c r="J74" i="49" s="1"/>
  <c r="H73" i="49"/>
  <c r="H72" i="49"/>
  <c r="H71" i="49"/>
  <c r="H70" i="49"/>
  <c r="H69" i="49"/>
  <c r="H68" i="49"/>
  <c r="H67" i="49"/>
  <c r="H66" i="49"/>
  <c r="H65" i="49"/>
  <c r="H64" i="49"/>
  <c r="H63" i="49"/>
  <c r="H62" i="49"/>
  <c r="H61" i="49"/>
  <c r="H60" i="49"/>
  <c r="H59" i="49"/>
  <c r="H58" i="49"/>
  <c r="H57" i="49"/>
  <c r="J56" i="49" s="1"/>
  <c r="H56" i="49"/>
  <c r="J55" i="49"/>
  <c r="J54" i="49"/>
  <c r="J53" i="49"/>
  <c r="J51" i="49"/>
  <c r="H50" i="49"/>
  <c r="H49" i="49"/>
  <c r="H48" i="49"/>
  <c r="H47" i="49"/>
  <c r="H46" i="49"/>
  <c r="J45" i="49" s="1"/>
  <c r="L55" i="49" s="1"/>
  <c r="H45" i="49"/>
  <c r="J43" i="49"/>
  <c r="J42" i="49"/>
  <c r="J37" i="49"/>
  <c r="J35" i="49"/>
  <c r="J30" i="49"/>
  <c r="L44" i="49" s="1"/>
  <c r="J26" i="49"/>
  <c r="J19" i="49"/>
  <c r="L29" i="49" s="1"/>
  <c r="J15" i="49"/>
  <c r="J12" i="49"/>
  <c r="J11" i="49"/>
  <c r="J10" i="49"/>
  <c r="J9" i="49"/>
  <c r="J4" i="49"/>
  <c r="L18" i="49" s="1"/>
  <c r="J80" i="49" l="1"/>
  <c r="J104" i="49"/>
  <c r="J120" i="49"/>
  <c r="J98" i="49"/>
  <c r="L115" i="49" s="1"/>
  <c r="J144" i="49"/>
  <c r="J68" i="49"/>
  <c r="J138" i="49"/>
  <c r="L149" i="49" s="1"/>
  <c r="J62" i="49"/>
  <c r="J150" i="49" s="1"/>
  <c r="J132" i="49"/>
  <c r="L119" i="49"/>
  <c r="L91" i="49" l="1"/>
  <c r="L150" i="49"/>
  <c r="H50" i="41" l="1"/>
  <c r="H49" i="41"/>
  <c r="H48" i="41"/>
  <c r="H47" i="41"/>
  <c r="H46" i="41"/>
  <c r="H45" i="41"/>
  <c r="J45" i="41" l="1"/>
  <c r="J37" i="41"/>
  <c r="H143" i="41"/>
  <c r="H142" i="41"/>
  <c r="H141" i="41"/>
  <c r="H140" i="41"/>
  <c r="H139" i="41"/>
  <c r="H138" i="41"/>
  <c r="H149" i="41"/>
  <c r="H148" i="41"/>
  <c r="H147" i="41"/>
  <c r="H146" i="41"/>
  <c r="H145" i="41"/>
  <c r="H144" i="41"/>
  <c r="H137" i="41"/>
  <c r="H136" i="41"/>
  <c r="H135" i="41"/>
  <c r="H134" i="41"/>
  <c r="H133" i="41"/>
  <c r="H132" i="41"/>
  <c r="H131" i="41"/>
  <c r="H130" i="41"/>
  <c r="H129" i="41"/>
  <c r="H128" i="41"/>
  <c r="H127" i="41"/>
  <c r="H126" i="41"/>
  <c r="H125" i="41"/>
  <c r="H124" i="41"/>
  <c r="H123" i="41"/>
  <c r="H122" i="41"/>
  <c r="H121" i="41"/>
  <c r="H120" i="41"/>
  <c r="H115" i="41"/>
  <c r="H114" i="41"/>
  <c r="H113" i="41"/>
  <c r="H112" i="41"/>
  <c r="H111" i="41"/>
  <c r="H110" i="41"/>
  <c r="H109" i="41"/>
  <c r="H108" i="41"/>
  <c r="H107" i="41"/>
  <c r="H106" i="41"/>
  <c r="H105" i="41"/>
  <c r="H104" i="41"/>
  <c r="H103" i="41"/>
  <c r="H102" i="41"/>
  <c r="H101" i="41"/>
  <c r="H100" i="41"/>
  <c r="H99" i="41"/>
  <c r="H98" i="41"/>
  <c r="H91" i="41"/>
  <c r="H90" i="41"/>
  <c r="H89" i="41"/>
  <c r="H88" i="41"/>
  <c r="H87" i="41"/>
  <c r="H86" i="41"/>
  <c r="H85" i="41"/>
  <c r="H84" i="41"/>
  <c r="H83" i="41"/>
  <c r="H82" i="41"/>
  <c r="H81" i="41"/>
  <c r="H80" i="41"/>
  <c r="H79" i="41"/>
  <c r="H78" i="41"/>
  <c r="H77" i="41"/>
  <c r="H76" i="41"/>
  <c r="H75" i="41"/>
  <c r="H74" i="41"/>
  <c r="J132" i="41" l="1"/>
  <c r="J80" i="41"/>
  <c r="J144" i="41"/>
  <c r="J138" i="41"/>
  <c r="J126" i="41"/>
  <c r="J120" i="41"/>
  <c r="J110" i="41"/>
  <c r="J104" i="41"/>
  <c r="J98" i="41"/>
  <c r="J86" i="41"/>
  <c r="J74" i="41"/>
  <c r="H73" i="41"/>
  <c r="H72" i="41"/>
  <c r="H71" i="41"/>
  <c r="H70" i="41"/>
  <c r="H69" i="41"/>
  <c r="H68" i="41"/>
  <c r="H67" i="41"/>
  <c r="H66" i="41"/>
  <c r="H65" i="41"/>
  <c r="H64" i="41"/>
  <c r="H63" i="41"/>
  <c r="H62" i="41"/>
  <c r="J51" i="41"/>
  <c r="J43" i="41"/>
  <c r="J42" i="41"/>
  <c r="J11" i="41"/>
  <c r="J119" i="41"/>
  <c r="J118" i="41"/>
  <c r="J116" i="41"/>
  <c r="E110" i="41"/>
  <c r="E104" i="41"/>
  <c r="J97" i="41"/>
  <c r="J96" i="41"/>
  <c r="J95" i="41"/>
  <c r="J94" i="41"/>
  <c r="J92" i="41"/>
  <c r="E92" i="41"/>
  <c r="H61" i="41"/>
  <c r="H60" i="41"/>
  <c r="H59" i="41"/>
  <c r="H58" i="41"/>
  <c r="H57" i="41"/>
  <c r="H56" i="41"/>
  <c r="J55" i="41"/>
  <c r="J54" i="41"/>
  <c r="J53" i="41"/>
  <c r="J35" i="41"/>
  <c r="J30" i="41"/>
  <c r="J26" i="41"/>
  <c r="J19" i="41"/>
  <c r="J15" i="41"/>
  <c r="J12" i="41"/>
  <c r="J10" i="41"/>
  <c r="J9" i="41"/>
  <c r="J4" i="41"/>
  <c r="L44" i="41" l="1"/>
  <c r="L55" i="41"/>
  <c r="L119" i="41"/>
  <c r="L149" i="41"/>
  <c r="L18" i="41"/>
  <c r="L97" i="41"/>
  <c r="J62" i="41"/>
  <c r="L115" i="41"/>
  <c r="J68" i="41"/>
  <c r="J56" i="41"/>
  <c r="L29" i="41"/>
  <c r="J150" i="41" l="1"/>
  <c r="L91" i="41"/>
  <c r="L150" i="41" s="1"/>
  <c r="H54" i="28" l="1"/>
  <c r="L159" i="28" l="1"/>
  <c r="L158" i="28"/>
  <c r="L157" i="28"/>
  <c r="L156" i="28"/>
  <c r="L155" i="28"/>
  <c r="L154" i="28"/>
  <c r="L153" i="28"/>
  <c r="L152" i="28"/>
  <c r="L151" i="28"/>
  <c r="L150" i="28"/>
  <c r="L149" i="28"/>
  <c r="L148" i="28"/>
  <c r="L147" i="28"/>
  <c r="L146" i="28"/>
  <c r="L145" i="28"/>
  <c r="L144" i="28"/>
  <c r="L143" i="28"/>
  <c r="L142" i="28"/>
  <c r="L141" i="28"/>
  <c r="L140" i="28"/>
  <c r="L139" i="28"/>
  <c r="L138" i="28"/>
  <c r="L137" i="28"/>
  <c r="L136" i="28"/>
  <c r="L135" i="28"/>
  <c r="L134" i="28"/>
  <c r="L133" i="28"/>
  <c r="L132" i="28"/>
  <c r="L131" i="28"/>
  <c r="L130" i="28"/>
  <c r="N130" i="28" s="1"/>
  <c r="L129" i="28"/>
  <c r="L128" i="28"/>
  <c r="L127" i="28"/>
  <c r="L126" i="28"/>
  <c r="L125" i="28"/>
  <c r="L124" i="28"/>
  <c r="N124" i="28" l="1"/>
  <c r="N142" i="28"/>
  <c r="N154" i="28"/>
  <c r="N136" i="28"/>
  <c r="N148" i="28"/>
  <c r="H142" i="28" l="1"/>
  <c r="N96" i="28"/>
  <c r="N54" i="28"/>
  <c r="H53" i="28"/>
  <c r="H52" i="28"/>
  <c r="H51" i="28"/>
  <c r="H50" i="28"/>
  <c r="H49" i="28"/>
  <c r="H48" i="28"/>
  <c r="N95" i="28"/>
  <c r="J95" i="28"/>
  <c r="N94" i="28"/>
  <c r="J94" i="28"/>
  <c r="H159" i="28"/>
  <c r="H158" i="28"/>
  <c r="H157" i="28"/>
  <c r="H156" i="28"/>
  <c r="H155" i="28"/>
  <c r="H154" i="28"/>
  <c r="H153" i="28"/>
  <c r="H152" i="28"/>
  <c r="H151" i="28"/>
  <c r="H150" i="28"/>
  <c r="H149" i="28"/>
  <c r="H148" i="28"/>
  <c r="H147" i="28"/>
  <c r="H146" i="28"/>
  <c r="H145" i="28"/>
  <c r="H144" i="28"/>
  <c r="H143" i="28"/>
  <c r="H141" i="28"/>
  <c r="H140" i="28"/>
  <c r="H139" i="28"/>
  <c r="H138" i="28"/>
  <c r="H137" i="28"/>
  <c r="H136" i="28"/>
  <c r="H124" i="28"/>
  <c r="H135" i="28"/>
  <c r="H134" i="28"/>
  <c r="H133" i="28"/>
  <c r="H132" i="28"/>
  <c r="H131" i="28"/>
  <c r="H130" i="28"/>
  <c r="H129" i="28"/>
  <c r="H128" i="28"/>
  <c r="H127" i="28"/>
  <c r="H126" i="28"/>
  <c r="H125" i="28"/>
  <c r="H119" i="28"/>
  <c r="H118" i="28"/>
  <c r="H117" i="28"/>
  <c r="H116" i="28"/>
  <c r="H115" i="28"/>
  <c r="H114" i="28"/>
  <c r="H113" i="28"/>
  <c r="H112" i="28"/>
  <c r="H111" i="28"/>
  <c r="H110" i="28"/>
  <c r="H109" i="28"/>
  <c r="H108" i="28"/>
  <c r="H107" i="28"/>
  <c r="H106" i="28"/>
  <c r="H105" i="28"/>
  <c r="H104" i="28"/>
  <c r="H103" i="28"/>
  <c r="H102" i="28"/>
  <c r="H101" i="28"/>
  <c r="H100" i="28"/>
  <c r="H99" i="28"/>
  <c r="H98" i="28"/>
  <c r="H97" i="28"/>
  <c r="H96" i="28"/>
  <c r="H89" i="28"/>
  <c r="H88" i="28"/>
  <c r="H87" i="28"/>
  <c r="H86" i="28"/>
  <c r="H85" i="28"/>
  <c r="H84" i="28"/>
  <c r="H83" i="28"/>
  <c r="H82" i="28"/>
  <c r="H81" i="28"/>
  <c r="H80" i="28"/>
  <c r="H79" i="28"/>
  <c r="H78" i="28"/>
  <c r="H77" i="28"/>
  <c r="H76" i="28"/>
  <c r="H75" i="28"/>
  <c r="H74" i="28"/>
  <c r="H73" i="28"/>
  <c r="H72" i="28"/>
  <c r="H71" i="28"/>
  <c r="H70" i="28"/>
  <c r="H69" i="28"/>
  <c r="H68" i="28"/>
  <c r="H67" i="28"/>
  <c r="H66" i="28"/>
  <c r="H65" i="28"/>
  <c r="H64" i="28"/>
  <c r="H63" i="28"/>
  <c r="H62" i="28"/>
  <c r="H61" i="28"/>
  <c r="H60" i="28"/>
  <c r="H59" i="28"/>
  <c r="H58" i="28"/>
  <c r="H57" i="28"/>
  <c r="H56" i="28"/>
  <c r="H55" i="28"/>
  <c r="J54" i="28" s="1"/>
  <c r="J72" i="28" l="1"/>
  <c r="J84" i="28"/>
  <c r="J96" i="28"/>
  <c r="J48" i="28"/>
  <c r="J130" i="28"/>
  <c r="J60" i="28"/>
  <c r="J124" i="28"/>
  <c r="J142" i="28"/>
  <c r="J148" i="28"/>
  <c r="J136" i="28"/>
  <c r="J66" i="28"/>
  <c r="J114" i="28"/>
  <c r="J154" i="28"/>
  <c r="J108" i="28"/>
  <c r="J102" i="28"/>
  <c r="J78" i="28"/>
  <c r="P119" i="28" l="1"/>
  <c r="P159" i="28"/>
  <c r="J26" i="28" l="1"/>
  <c r="J19" i="28"/>
  <c r="J37" i="28"/>
  <c r="J30" i="28"/>
  <c r="N30" i="28"/>
  <c r="J123" i="28"/>
  <c r="J122" i="28"/>
  <c r="J120" i="28"/>
  <c r="J93" i="28"/>
  <c r="J92" i="28"/>
  <c r="J90" i="28"/>
  <c r="J47" i="28"/>
  <c r="J46" i="28"/>
  <c r="J45" i="28"/>
  <c r="J42" i="28"/>
  <c r="J41" i="28"/>
  <c r="J35" i="28"/>
  <c r="J15" i="28"/>
  <c r="J12" i="28"/>
  <c r="J11" i="28"/>
  <c r="J10" i="28"/>
  <c r="J9" i="28"/>
  <c r="J4" i="28"/>
  <c r="N47" i="28"/>
  <c r="N45" i="28"/>
  <c r="N42" i="28"/>
  <c r="P95" i="28" l="1"/>
  <c r="P123" i="28"/>
  <c r="J160" i="28"/>
  <c r="P29" i="28"/>
  <c r="P18" i="28"/>
  <c r="P47" i="28"/>
  <c r="P40" i="28"/>
  <c r="N108" i="28"/>
  <c r="N102" i="28"/>
  <c r="N84" i="28"/>
  <c r="N78" i="28"/>
  <c r="N72" i="28"/>
  <c r="N66" i="28"/>
  <c r="N60" i="28"/>
  <c r="N41" i="28"/>
  <c r="N12" i="28"/>
  <c r="N122" i="28" l="1"/>
  <c r="N11" i="28" l="1"/>
  <c r="N37" i="28" l="1"/>
  <c r="N48" i="28"/>
  <c r="Q89" i="28" s="1"/>
  <c r="N35" i="28"/>
  <c r="N15" i="28"/>
  <c r="N10" i="28"/>
  <c r="N4" i="28"/>
  <c r="N123" i="28"/>
  <c r="N120" i="28"/>
  <c r="N114" i="28"/>
  <c r="E114" i="28"/>
  <c r="E108" i="28"/>
  <c r="E102" i="28"/>
  <c r="N93" i="28"/>
  <c r="N92" i="28"/>
  <c r="N90" i="28"/>
  <c r="E90" i="28"/>
  <c r="N46" i="28"/>
  <c r="Q47" i="28" s="1"/>
  <c r="N26" i="28"/>
  <c r="N19" i="28"/>
  <c r="N9" i="28"/>
  <c r="L15" i="26"/>
  <c r="K4" i="27"/>
  <c r="K127" i="27"/>
  <c r="K126" i="27"/>
  <c r="K125" i="27"/>
  <c r="K124" i="27"/>
  <c r="K123" i="27"/>
  <c r="K122" i="27"/>
  <c r="K121" i="27"/>
  <c r="K120" i="27"/>
  <c r="K119" i="27"/>
  <c r="K118" i="27"/>
  <c r="K117" i="27"/>
  <c r="K116" i="27"/>
  <c r="K115" i="27"/>
  <c r="K114" i="27"/>
  <c r="K113" i="27"/>
  <c r="K112" i="27"/>
  <c r="K111" i="27"/>
  <c r="K110" i="27"/>
  <c r="K109" i="27"/>
  <c r="K108" i="27"/>
  <c r="K107" i="27"/>
  <c r="K106" i="27"/>
  <c r="K105" i="27"/>
  <c r="K104" i="27"/>
  <c r="K101" i="27"/>
  <c r="K99" i="27"/>
  <c r="K97" i="27"/>
  <c r="K93" i="27"/>
  <c r="K91" i="27"/>
  <c r="K86" i="27"/>
  <c r="K79" i="27"/>
  <c r="K72" i="27"/>
  <c r="K65" i="27"/>
  <c r="K58" i="27"/>
  <c r="K51" i="27"/>
  <c r="K44" i="27"/>
  <c r="K37" i="27"/>
  <c r="K30" i="27"/>
  <c r="K26" i="27"/>
  <c r="K19" i="27"/>
  <c r="K15" i="27"/>
  <c r="K12" i="27"/>
  <c r="K11" i="27"/>
  <c r="K10" i="27"/>
  <c r="K9" i="27"/>
  <c r="K128" i="27" l="1"/>
  <c r="Q29" i="28"/>
  <c r="N160" i="28"/>
  <c r="Q95" i="28"/>
  <c r="Q40" i="28"/>
  <c r="Q18" i="28"/>
  <c r="Q123" i="28"/>
  <c r="L9" i="26"/>
  <c r="L127" i="26"/>
  <c r="L126" i="26"/>
  <c r="L125" i="26"/>
  <c r="L124" i="26"/>
  <c r="L123" i="26"/>
  <c r="L122" i="26"/>
  <c r="L121" i="26"/>
  <c r="L120" i="26"/>
  <c r="L119" i="26"/>
  <c r="L118" i="26"/>
  <c r="L117" i="26"/>
  <c r="L116" i="26"/>
  <c r="L115" i="26"/>
  <c r="L114" i="26"/>
  <c r="L113" i="26"/>
  <c r="L112" i="26"/>
  <c r="L111" i="26"/>
  <c r="L110" i="26"/>
  <c r="L109" i="26"/>
  <c r="L108" i="26"/>
  <c r="L107" i="26"/>
  <c r="L106" i="26"/>
  <c r="L105" i="26"/>
  <c r="L104" i="26"/>
  <c r="L101" i="26"/>
  <c r="L99" i="26"/>
  <c r="L97" i="26"/>
  <c r="L93" i="26"/>
  <c r="L91" i="26"/>
  <c r="L86" i="26"/>
  <c r="L79" i="26"/>
  <c r="L72" i="26"/>
  <c r="L65" i="26"/>
  <c r="L58" i="26"/>
  <c r="L51" i="26"/>
  <c r="L44" i="26"/>
  <c r="L37" i="26"/>
  <c r="L30" i="26"/>
  <c r="L26" i="26"/>
  <c r="L19" i="26"/>
  <c r="L12" i="26"/>
  <c r="L11" i="26"/>
  <c r="L10" i="26"/>
  <c r="L4" i="26"/>
  <c r="Q160" i="28" l="1"/>
  <c r="L128" i="26"/>
  <c r="E109" i="27" l="1"/>
  <c r="E107" i="27"/>
  <c r="E106" i="27"/>
  <c r="E105" i="27"/>
  <c r="E99" i="27"/>
  <c r="E116" i="26"/>
  <c r="E114" i="26"/>
  <c r="E113" i="26"/>
  <c r="E112" i="26"/>
  <c r="E110" i="26"/>
  <c r="E106" i="26"/>
  <c r="F107" i="23"/>
  <c r="F105" i="23"/>
  <c r="F104" i="23"/>
  <c r="F103" i="23"/>
  <c r="F101" i="23"/>
  <c r="F97" i="23"/>
  <c r="P89" i="28" l="1"/>
  <c r="P160" i="28" s="1"/>
</calcChain>
</file>

<file path=xl/sharedStrings.xml><?xml version="1.0" encoding="utf-8"?>
<sst xmlns="http://schemas.openxmlformats.org/spreadsheetml/2006/main" count="2340" uniqueCount="650">
  <si>
    <t>信用积分体系维度指标分值</t>
  </si>
  <si>
    <t>一级指标</t>
  </si>
  <si>
    <t>一级指标分</t>
  </si>
  <si>
    <t>二级指标</t>
  </si>
  <si>
    <t>三级指标</t>
  </si>
  <si>
    <t>三级指标分</t>
  </si>
  <si>
    <t>计分规则</t>
  </si>
  <si>
    <t>计分标准</t>
  </si>
  <si>
    <t>衰减周期</t>
  </si>
  <si>
    <t>指标说明</t>
  </si>
  <si>
    <t>维护部门</t>
  </si>
  <si>
    <t>区间/数量/等级</t>
  </si>
  <si>
    <t>分值</t>
  </si>
  <si>
    <t>基础素质</t>
  </si>
  <si>
    <t>个人背景</t>
  </si>
  <si>
    <t>教育背景分</t>
  </si>
  <si>
    <t>按学历级别得分
（未上传证书不计分）</t>
  </si>
  <si>
    <t>大专以下</t>
  </si>
  <si>
    <t>10</t>
  </si>
  <si>
    <t>人力资源部</t>
  </si>
  <si>
    <t>大专非统招</t>
  </si>
  <si>
    <t>15</t>
  </si>
  <si>
    <t>大专统招</t>
  </si>
  <si>
    <t>20</t>
  </si>
  <si>
    <t>本科及本科以上非统招</t>
  </si>
  <si>
    <t>25</t>
  </si>
  <si>
    <t>本科及本科以上统招</t>
  </si>
  <si>
    <t>30</t>
  </si>
  <si>
    <t>特长</t>
  </si>
  <si>
    <t>足球、篮球、羽毛球等特长</t>
  </si>
  <si>
    <t>5</t>
  </si>
  <si>
    <t>中高考加过分，加入我司运动组织协会、代表我司参赛获奖</t>
  </si>
  <si>
    <t>政治背景</t>
  </si>
  <si>
    <t>退伍军人、党员</t>
  </si>
  <si>
    <t>从业时间</t>
  </si>
  <si>
    <t>从业时间分</t>
  </si>
  <si>
    <t>逐年累加,封顶30分</t>
  </si>
  <si>
    <t>每年6分</t>
  </si>
  <si>
    <t>/</t>
  </si>
  <si>
    <t>入职每满1年加6分，离职再入职不累计。30分封顶</t>
  </si>
  <si>
    <t>执业认证</t>
  </si>
  <si>
    <t>执业认证分</t>
  </si>
  <si>
    <t>按获得执业认证书级别得分，多本证书以最高级别记分，不予累加</t>
  </si>
  <si>
    <r>
      <rPr>
        <sz val="11"/>
        <color theme="1" tint="0.1498764000366222"/>
        <rFont val="宋体"/>
        <family val="3"/>
        <charset val="134"/>
      </rPr>
      <t>杭州经纪人证</t>
    </r>
    <r>
      <rPr>
        <sz val="11"/>
        <color theme="1" tint="0.1498764000366222"/>
        <rFont val="宋体"/>
        <family val="3"/>
        <charset val="134"/>
      </rPr>
      <t xml:space="preserve"> </t>
    </r>
  </si>
  <si>
    <r>
      <rPr>
        <sz val="11"/>
        <color theme="1" tint="0.1498764000366222"/>
        <rFont val="宋体"/>
        <family val="3"/>
        <charset val="134"/>
      </rPr>
      <t>全国协理证</t>
    </r>
    <r>
      <rPr>
        <sz val="11"/>
        <color theme="1" tint="0.1498764000366222"/>
        <rFont val="宋体"/>
        <family val="3"/>
        <charset val="134"/>
      </rPr>
      <t xml:space="preserve">  </t>
    </r>
  </si>
  <si>
    <r>
      <rPr>
        <sz val="11"/>
        <color theme="1" tint="0.1498764000366222"/>
        <rFont val="宋体"/>
        <family val="3"/>
        <charset val="134"/>
      </rPr>
      <t>全国经纪人资格证</t>
    </r>
    <r>
      <rPr>
        <sz val="11"/>
        <color theme="1" tint="0.1498764000366222"/>
        <rFont val="宋体"/>
        <family val="3"/>
        <charset val="134"/>
      </rPr>
      <t xml:space="preserve"> </t>
    </r>
  </si>
  <si>
    <t>每日一考</t>
  </si>
  <si>
    <t>每日一考分</t>
  </si>
  <si>
    <t>每人每月需完成15次考试，按月度平均分值计算</t>
  </si>
  <si>
    <t>90以上-100分</t>
  </si>
  <si>
    <t>每月更新</t>
  </si>
  <si>
    <t>月度总分/月考试次数</t>
  </si>
  <si>
    <t>学习发展中心</t>
  </si>
  <si>
    <t>80-90分</t>
  </si>
  <si>
    <t>0</t>
  </si>
  <si>
    <t>80分以下（不含）</t>
  </si>
  <si>
    <t>-10</t>
  </si>
  <si>
    <t>行为规范</t>
  </si>
  <si>
    <t>员工手册</t>
  </si>
  <si>
    <t>日常行为规范</t>
  </si>
  <si>
    <t>按违规违纪次数累计扣分，按月统计。三级指标分为基础分，扣分无下限</t>
  </si>
  <si>
    <t>迟到早退</t>
  </si>
  <si>
    <t>-2</t>
  </si>
  <si>
    <t>生效期6个月（6个月后恢复至基础分）</t>
  </si>
  <si>
    <t>参照《员工手册》、家训及相关部门管理制度。40分为基础分，扣分无下限</t>
  </si>
  <si>
    <t>人力资源部、学习发展中心、稽查部</t>
  </si>
  <si>
    <t>会议/培训迟到早退</t>
  </si>
  <si>
    <t>-5</t>
  </si>
  <si>
    <t>旷工（含会议/培训缺勤）</t>
  </si>
  <si>
    <t>6S（当事人违规违纪行为）</t>
  </si>
  <si>
    <t>交通违法（骑电瓶闯红灯）</t>
  </si>
  <si>
    <t>参与赌博</t>
  </si>
  <si>
    <t>聚众闹事</t>
  </si>
  <si>
    <t>-20</t>
  </si>
  <si>
    <t>其他违规违纪行为</t>
  </si>
  <si>
    <t>通报批评</t>
  </si>
  <si>
    <r>
      <rPr>
        <sz val="11"/>
        <color rgb="FFFF0000"/>
        <rFont val="宋体"/>
        <family val="3"/>
        <charset val="134"/>
      </rPr>
      <t>-</t>
    </r>
    <r>
      <rPr>
        <sz val="11"/>
        <color rgb="FFFF0000"/>
        <rFont val="宋体"/>
        <family val="3"/>
        <charset val="134"/>
      </rPr>
      <t>10</t>
    </r>
  </si>
  <si>
    <t>生效期12个月（12个月后恢复至基础分）</t>
  </si>
  <si>
    <t>含营运、稽查等部门出具的处分</t>
  </si>
  <si>
    <t>警告处分</t>
  </si>
  <si>
    <t>-15</t>
  </si>
  <si>
    <t>严重警告处分</t>
  </si>
  <si>
    <t>其他</t>
  </si>
  <si>
    <t>如虚假申报获利等</t>
  </si>
  <si>
    <t>品质服务</t>
  </si>
  <si>
    <t>官网房源指标</t>
  </si>
  <si>
    <t>官网VR实勘率</t>
  </si>
  <si>
    <r>
      <rPr>
        <sz val="11"/>
        <color theme="1" tint="0.1498764000366222"/>
        <rFont val="宋体"/>
        <family val="3"/>
        <charset val="134"/>
      </rPr>
      <t>按官网</t>
    </r>
    <r>
      <rPr>
        <sz val="11"/>
        <color theme="1" tint="0.1498764000366222"/>
        <rFont val="宋体"/>
        <family val="3"/>
        <charset val="134"/>
      </rPr>
      <t>VR</t>
    </r>
    <r>
      <rPr>
        <sz val="11"/>
        <color theme="1" tint="0.1498764000366222"/>
        <rFont val="宋体"/>
        <family val="3"/>
        <charset val="134"/>
      </rPr>
      <t>实勘率折算率记分，按月统计</t>
    </r>
  </si>
  <si>
    <t>前10%</t>
  </si>
  <si>
    <r>
      <rPr>
        <sz val="11"/>
        <color theme="1" tint="0.1498764000366222"/>
        <rFont val="宋体"/>
        <family val="3"/>
        <charset val="134"/>
      </rPr>
      <t>官网</t>
    </r>
    <r>
      <rPr>
        <sz val="11"/>
        <color theme="1" tint="0.1498764000366222"/>
        <rFont val="宋体"/>
        <family val="3"/>
        <charset val="134"/>
      </rPr>
      <t>VR</t>
    </r>
    <r>
      <rPr>
        <sz val="11"/>
        <color theme="1" tint="0.1498764000366222"/>
        <rFont val="宋体"/>
        <family val="3"/>
        <charset val="134"/>
      </rPr>
      <t>房源数</t>
    </r>
    <r>
      <rPr>
        <sz val="11"/>
        <color theme="1" tint="0.1498764000366222"/>
        <rFont val="宋体"/>
        <family val="3"/>
        <charset val="134"/>
      </rPr>
      <t>/</t>
    </r>
    <r>
      <rPr>
        <sz val="11"/>
        <color theme="1" tint="0.1498764000366222"/>
        <rFont val="宋体"/>
        <family val="3"/>
        <charset val="134"/>
      </rPr>
      <t>官网房源数</t>
    </r>
  </si>
  <si>
    <t>互联网运营中心</t>
  </si>
  <si>
    <t>11%-20%</t>
  </si>
  <si>
    <t>21%-40%</t>
  </si>
  <si>
    <t>41%-60%</t>
  </si>
  <si>
    <t>61%-80%</t>
  </si>
  <si>
    <t>81%-100%</t>
  </si>
  <si>
    <t>APP指标</t>
  </si>
  <si>
    <t>渗透达标率</t>
  </si>
  <si>
    <r>
      <rPr>
        <sz val="11"/>
        <color theme="1"/>
        <rFont val="宋体"/>
        <family val="3"/>
        <charset val="134"/>
      </rPr>
      <t xml:space="preserve">
按渗透达标率折算（</t>
    </r>
    <r>
      <rPr>
        <sz val="11"/>
        <color rgb="FFFF0000"/>
        <rFont val="宋体"/>
        <family val="3"/>
        <charset val="134"/>
      </rPr>
      <t>初始排名统计近一年数据</t>
    </r>
    <r>
      <rPr>
        <sz val="11"/>
        <color theme="1"/>
        <rFont val="宋体"/>
        <family val="3"/>
        <charset val="134"/>
      </rPr>
      <t>），按月统计</t>
    </r>
  </si>
  <si>
    <t>衰减周期12个月（分摊12个月逐月衰减）</t>
  </si>
  <si>
    <t>达标人数/总考核人数</t>
  </si>
  <si>
    <t>效率指标</t>
  </si>
  <si>
    <r>
      <rPr>
        <sz val="11"/>
        <color theme="1" tint="0.1498764000366222"/>
        <rFont val="宋体"/>
        <family val="3"/>
        <charset val="134"/>
      </rPr>
      <t>400</t>
    </r>
    <r>
      <rPr>
        <sz val="11"/>
        <color theme="1" tint="0.1498764000366222"/>
        <rFont val="宋体"/>
        <family val="3"/>
        <charset val="134"/>
      </rPr>
      <t>接通率</t>
    </r>
  </si>
  <si>
    <r>
      <rPr>
        <sz val="11"/>
        <color theme="1" tint="0.1498764000366222"/>
        <rFont val="宋体"/>
        <family val="3"/>
        <charset val="134"/>
      </rPr>
      <t>按</t>
    </r>
    <r>
      <rPr>
        <sz val="11"/>
        <color theme="1" tint="0.1498764000366222"/>
        <rFont val="宋体"/>
        <family val="3"/>
        <charset val="134"/>
      </rPr>
      <t>400</t>
    </r>
    <r>
      <rPr>
        <sz val="11"/>
        <color theme="1" tint="0.1498764000366222"/>
        <rFont val="宋体"/>
        <family val="3"/>
        <charset val="134"/>
      </rPr>
      <t>接听率折算，按月统计</t>
    </r>
  </si>
  <si>
    <t>1年</t>
  </si>
  <si>
    <r>
      <rPr>
        <sz val="11"/>
        <color theme="1" tint="0.1498764000366222"/>
        <rFont val="宋体"/>
        <family val="3"/>
        <charset val="134"/>
      </rPr>
      <t>400</t>
    </r>
    <r>
      <rPr>
        <sz val="11"/>
        <color theme="1" tint="0.1498764000366222"/>
        <rFont val="宋体"/>
        <family val="3"/>
        <charset val="134"/>
      </rPr>
      <t>接听量</t>
    </r>
    <r>
      <rPr>
        <sz val="11"/>
        <color theme="1" tint="0.1498764000366222"/>
        <rFont val="宋体"/>
        <family val="3"/>
        <charset val="134"/>
      </rPr>
      <t>/400</t>
    </r>
    <r>
      <rPr>
        <sz val="11"/>
        <color theme="1" tint="0.1498764000366222"/>
        <rFont val="宋体"/>
        <family val="3"/>
        <charset val="134"/>
      </rPr>
      <t>来电量</t>
    </r>
  </si>
  <si>
    <t>爱聊1分钟回复</t>
  </si>
  <si>
    <t>按爱聊1分钟回复率折算，按月统计</t>
  </si>
  <si>
    <r>
      <rPr>
        <sz val="11"/>
        <color theme="1" tint="0.1498764000366222"/>
        <rFont val="宋体"/>
        <family val="3"/>
        <charset val="134"/>
      </rPr>
      <t>爱聊一分钟回复数</t>
    </r>
    <r>
      <rPr>
        <sz val="11"/>
        <color theme="1" tint="0.1498764000366222"/>
        <rFont val="宋体"/>
        <family val="3"/>
        <charset val="134"/>
      </rPr>
      <t>/</t>
    </r>
    <r>
      <rPr>
        <sz val="11"/>
        <color theme="1" tint="0.1498764000366222"/>
        <rFont val="宋体"/>
        <family val="3"/>
        <charset val="134"/>
      </rPr>
      <t>总</t>
    </r>
  </si>
  <si>
    <t>转化指标</t>
  </si>
  <si>
    <t>400转首看率</t>
  </si>
  <si>
    <r>
      <rPr>
        <sz val="11"/>
        <color theme="1"/>
        <rFont val="宋体"/>
        <family val="3"/>
        <charset val="134"/>
      </rPr>
      <t xml:space="preserve">
按400来电转首看率折算（</t>
    </r>
    <r>
      <rPr>
        <sz val="11"/>
        <color rgb="FFFF0000"/>
        <rFont val="宋体"/>
        <family val="3"/>
        <charset val="134"/>
      </rPr>
      <t>初始排名统计近一年数据</t>
    </r>
    <r>
      <rPr>
        <sz val="11"/>
        <color theme="1"/>
        <rFont val="宋体"/>
        <family val="3"/>
        <charset val="134"/>
      </rPr>
      <t>），按月统计</t>
    </r>
  </si>
  <si>
    <t>6个月</t>
  </si>
  <si>
    <r>
      <rPr>
        <sz val="11"/>
        <color theme="1" tint="0.1498764000366222"/>
        <rFont val="宋体"/>
        <family val="3"/>
        <charset val="134"/>
      </rPr>
      <t>400</t>
    </r>
    <r>
      <rPr>
        <sz val="11"/>
        <color theme="1" tint="0.1498764000366222"/>
        <rFont val="宋体"/>
        <family val="3"/>
        <charset val="134"/>
      </rPr>
      <t>来电转首看数</t>
    </r>
    <r>
      <rPr>
        <sz val="11"/>
        <color theme="1" tint="0.1498764000366222"/>
        <rFont val="宋体"/>
        <family val="3"/>
        <charset val="134"/>
      </rPr>
      <t>/</t>
    </r>
    <r>
      <rPr>
        <sz val="11"/>
        <color theme="1" tint="0.1498764000366222"/>
        <rFont val="宋体"/>
        <family val="3"/>
        <charset val="134"/>
      </rPr>
      <t>总</t>
    </r>
    <r>
      <rPr>
        <sz val="11"/>
        <color theme="1" tint="0.1498764000366222"/>
        <rFont val="宋体"/>
        <family val="3"/>
        <charset val="134"/>
      </rPr>
      <t>400</t>
    </r>
    <r>
      <rPr>
        <sz val="11"/>
        <color theme="1" tint="0.1498764000366222"/>
        <rFont val="宋体"/>
        <family val="3"/>
        <charset val="134"/>
      </rPr>
      <t>来电量</t>
    </r>
  </si>
  <si>
    <t>爱聊三日复聊率</t>
  </si>
  <si>
    <r>
      <rPr>
        <sz val="11"/>
        <color theme="1"/>
        <rFont val="宋体"/>
        <family val="3"/>
        <charset val="134"/>
      </rPr>
      <t xml:space="preserve">
按爱聊三日复聊率折算（</t>
    </r>
    <r>
      <rPr>
        <sz val="11"/>
        <color rgb="FFFF0000"/>
        <rFont val="宋体"/>
        <family val="3"/>
        <charset val="134"/>
      </rPr>
      <t>初始排名统计近一年数据</t>
    </r>
    <r>
      <rPr>
        <sz val="11"/>
        <color theme="1"/>
        <rFont val="宋体"/>
        <family val="3"/>
        <charset val="134"/>
      </rPr>
      <t>），按月统计</t>
    </r>
  </si>
  <si>
    <r>
      <rPr>
        <sz val="11"/>
        <color theme="1" tint="0.1498764000366222"/>
        <rFont val="宋体"/>
        <family val="3"/>
        <charset val="134"/>
      </rPr>
      <t>三日复聊数</t>
    </r>
    <r>
      <rPr>
        <sz val="11"/>
        <color theme="1" tint="0.1498764000366222"/>
        <rFont val="宋体"/>
        <family val="3"/>
        <charset val="134"/>
      </rPr>
      <t>/(</t>
    </r>
    <r>
      <rPr>
        <sz val="11"/>
        <color theme="1" tint="0.1498764000366222"/>
        <rFont val="宋体"/>
        <family val="3"/>
        <charset val="134"/>
      </rPr>
      <t>爱聊线索量</t>
    </r>
    <r>
      <rPr>
        <sz val="11"/>
        <color theme="1" tint="0.1498764000366222"/>
        <rFont val="宋体"/>
        <family val="3"/>
        <charset val="134"/>
      </rPr>
      <t>-</t>
    </r>
    <r>
      <rPr>
        <sz val="11"/>
        <color theme="1" tint="0.1498764000366222"/>
        <rFont val="宋体"/>
        <family val="3"/>
        <charset val="134"/>
      </rPr>
      <t>录入量）</t>
    </r>
  </si>
  <si>
    <t>爱聊转录入率</t>
  </si>
  <si>
    <r>
      <rPr>
        <sz val="11"/>
        <color theme="1"/>
        <rFont val="宋体"/>
        <family val="3"/>
        <charset val="134"/>
      </rPr>
      <t xml:space="preserve">
按爱聊线索转录入率折算（</t>
    </r>
    <r>
      <rPr>
        <sz val="11"/>
        <color rgb="FFFF0000"/>
        <rFont val="宋体"/>
        <family val="3"/>
        <charset val="134"/>
      </rPr>
      <t>初始排名统计近一年数据</t>
    </r>
    <r>
      <rPr>
        <sz val="11"/>
        <color theme="1"/>
        <rFont val="宋体"/>
        <family val="3"/>
        <charset val="134"/>
      </rPr>
      <t>），按月统计</t>
    </r>
  </si>
  <si>
    <r>
      <rPr>
        <sz val="11"/>
        <color theme="1" tint="0.1498764000366222"/>
        <rFont val="宋体"/>
        <family val="3"/>
        <charset val="134"/>
      </rPr>
      <t>爱聊线索转录入数</t>
    </r>
    <r>
      <rPr>
        <sz val="11"/>
        <color theme="1" tint="0.1498764000366222"/>
        <rFont val="宋体"/>
        <family val="3"/>
        <charset val="134"/>
      </rPr>
      <t>/</t>
    </r>
    <r>
      <rPr>
        <sz val="11"/>
        <color theme="1" tint="0.1498764000366222"/>
        <rFont val="宋体"/>
        <family val="3"/>
        <charset val="134"/>
      </rPr>
      <t>爱聊线索量</t>
    </r>
  </si>
  <si>
    <t>爱聊转带看率</t>
  </si>
  <si>
    <r>
      <rPr>
        <sz val="11"/>
        <color theme="1"/>
        <rFont val="宋体"/>
        <family val="3"/>
        <charset val="134"/>
      </rPr>
      <t xml:space="preserve">
按爱聊线索转带看率折算（</t>
    </r>
    <r>
      <rPr>
        <sz val="11"/>
        <color rgb="FFFF0000"/>
        <rFont val="宋体"/>
        <family val="3"/>
        <charset val="134"/>
      </rPr>
      <t>初始排名统计近一年数据</t>
    </r>
    <r>
      <rPr>
        <sz val="11"/>
        <color theme="1"/>
        <rFont val="宋体"/>
        <family val="3"/>
        <charset val="134"/>
      </rPr>
      <t>），按月统计</t>
    </r>
  </si>
  <si>
    <t>爱聊线索转带看数/爱聊线索量</t>
  </si>
  <si>
    <t>客户投诉</t>
  </si>
  <si>
    <t>有责投诉定级</t>
  </si>
  <si>
    <t>按宫格等级及数量扣分，按月统计</t>
  </si>
  <si>
    <t>一级</t>
  </si>
  <si>
    <t>宫格等级按有责投诉定级标准</t>
  </si>
  <si>
    <t>客服部</t>
  </si>
  <si>
    <t>二级</t>
  </si>
  <si>
    <t>-8</t>
  </si>
  <si>
    <t>三级</t>
  </si>
  <si>
    <t>四级</t>
  </si>
  <si>
    <t>五级</t>
  </si>
  <si>
    <t>客户评价</t>
  </si>
  <si>
    <t>客户表扬</t>
  </si>
  <si>
    <r>
      <rPr>
        <sz val="11"/>
        <color theme="1" tint="0.1498764000366222"/>
        <rFont val="宋体"/>
        <family val="3"/>
        <charset val="134"/>
      </rPr>
      <t>以表扬形式及经核实的评价程度计算，按月统计，</t>
    </r>
    <r>
      <rPr>
        <sz val="11"/>
        <color rgb="FFFF0000"/>
        <rFont val="宋体"/>
        <family val="3"/>
        <charset val="134"/>
      </rPr>
      <t>每年封顶20</t>
    </r>
  </si>
  <si>
    <t>通报表扬+奖励（以客服界定为准）</t>
  </si>
  <si>
    <t>表扬（以客服界定为准）</t>
  </si>
  <si>
    <t>NPS值</t>
  </si>
  <si>
    <t>按月度NPS评分排名率折算。正分值加分，负分值扣分</t>
  </si>
  <si>
    <t>NPS分值100%</t>
  </si>
  <si>
    <r>
      <rPr>
        <sz val="11"/>
        <color theme="1"/>
        <rFont val="宋体"/>
        <family val="3"/>
        <charset val="134"/>
      </rPr>
      <t xml:space="preserve">NPS分值=（推荐量-不推荐量）/调查总量/100%   </t>
    </r>
    <r>
      <rPr>
        <sz val="11"/>
        <color rgb="FFFF0000"/>
        <rFont val="宋体"/>
        <family val="3"/>
        <charset val="134"/>
      </rPr>
      <t>参照品质服务评优规则</t>
    </r>
  </si>
  <si>
    <t>100%~平均值</t>
  </si>
  <si>
    <t>平均值下~0%</t>
  </si>
  <si>
    <t>负分值</t>
  </si>
  <si>
    <t>准备3月NPS报告</t>
  </si>
  <si>
    <t>参与贡献</t>
  </si>
  <si>
    <t>举报违规行为</t>
  </si>
  <si>
    <t>涉及钱款</t>
  </si>
  <si>
    <t>举报违规事项查实计分，按月统计</t>
  </si>
  <si>
    <t>每例</t>
  </si>
  <si>
    <t>稽查部</t>
  </si>
  <si>
    <t>违规操作</t>
  </si>
  <si>
    <t>楼盘信息维护</t>
  </si>
  <si>
    <t>楼盘信息纠错</t>
  </si>
  <si>
    <t>纠错内容核实后计分，按月统计</t>
  </si>
  <si>
    <t>重要信息维护（如学区、年代）</t>
  </si>
  <si>
    <t>目前以爱豆形式计奖励。个人差距大、高的每月近百条</t>
  </si>
  <si>
    <t>其他信息维护</t>
  </si>
  <si>
    <t>师徒带训</t>
  </si>
  <si>
    <t>带教得分</t>
  </si>
  <si>
    <t>按带训徒弟人数计算
按在职时间及转正时间不同对应不同分值</t>
  </si>
  <si>
    <t>每人</t>
  </si>
  <si>
    <t>营运管理中心</t>
  </si>
  <si>
    <r>
      <rPr>
        <sz val="11"/>
        <color theme="1" tint="0.1498764000366222"/>
        <rFont val="宋体"/>
        <family val="3"/>
        <charset val="134"/>
      </rPr>
      <t>徒弟在职</t>
    </r>
    <r>
      <rPr>
        <sz val="11"/>
        <color theme="1" tint="0.1498764000366222"/>
        <rFont val="宋体"/>
        <family val="3"/>
        <charset val="134"/>
      </rPr>
      <t>3</t>
    </r>
    <r>
      <rPr>
        <sz val="11"/>
        <color theme="1" tint="0.1498764000366222"/>
        <rFont val="宋体"/>
        <family val="3"/>
        <charset val="134"/>
      </rPr>
      <t>个月，每人</t>
    </r>
  </si>
  <si>
    <r>
      <rPr>
        <sz val="11"/>
        <color theme="1" tint="0.1498764000366222"/>
        <rFont val="宋体"/>
        <family val="3"/>
        <charset val="134"/>
      </rPr>
      <t>徒弟</t>
    </r>
    <r>
      <rPr>
        <sz val="11"/>
        <color theme="1" tint="0.1498764000366222"/>
        <rFont val="宋体"/>
        <family val="3"/>
        <charset val="134"/>
      </rPr>
      <t>3</t>
    </r>
    <r>
      <rPr>
        <sz val="11"/>
        <color theme="1" tint="0.1498764000366222"/>
        <rFont val="宋体"/>
        <family val="3"/>
        <charset val="134"/>
      </rPr>
      <t>个月转正，每人</t>
    </r>
  </si>
  <si>
    <t>推荐入职</t>
  </si>
  <si>
    <t>推荐入职成功计分</t>
  </si>
  <si>
    <t>社会活动参与</t>
  </si>
  <si>
    <t>正能量事件</t>
  </si>
  <si>
    <t>按参与次数计分</t>
  </si>
  <si>
    <t>每次</t>
  </si>
  <si>
    <t>献血、救死扶伤、拾金不昧等</t>
  </si>
  <si>
    <t>客服中心</t>
  </si>
  <si>
    <t>业务能力</t>
  </si>
  <si>
    <t>租赁</t>
  </si>
  <si>
    <t>成交量</t>
  </si>
  <si>
    <t>成交单数、金额</t>
  </si>
  <si>
    <t>业绩（以5000客单价进行折算，取整，不四舍五入）与单数；两者取就高</t>
  </si>
  <si>
    <t>成交量/成交金额</t>
  </si>
  <si>
    <t>计分周期为近6个月，每月滚动更新，每单计1分，封顶40分</t>
  </si>
  <si>
    <t>数据部</t>
  </si>
  <si>
    <t>一手合同</t>
  </si>
  <si>
    <t>一手合同成交处理单数</t>
  </si>
  <si>
    <t>计分周期为近六个月，每月滚动更新，每单计8分，封顶20分</t>
  </si>
  <si>
    <t>收出房量</t>
  </si>
  <si>
    <t>房管收房</t>
  </si>
  <si>
    <t>按套数累计计分</t>
  </si>
  <si>
    <t>收房量</t>
  </si>
  <si>
    <t>计分周期为近6个月，每月滚动更新，每单计1.5分，封顶30分</t>
  </si>
  <si>
    <t>房管出房</t>
  </si>
  <si>
    <t>按出房单数计计分</t>
  </si>
  <si>
    <t>出房量</t>
  </si>
  <si>
    <t>计分周期为近6个月，每月滚动更新，每单计1.5分，封顶10分</t>
  </si>
  <si>
    <t>折扣率</t>
  </si>
  <si>
    <t xml:space="preserve"> 公司KPI标准计分 达标有、未达则无</t>
  </si>
  <si>
    <t>达标</t>
  </si>
  <si>
    <t>计分周期为近6个月，每月滚动更新，每月计2分，封顶10分</t>
  </si>
  <si>
    <t>过程数据</t>
  </si>
  <si>
    <t>新增客户</t>
  </si>
  <si>
    <t>月新增有效客户数计分</t>
  </si>
  <si>
    <t>新增量</t>
  </si>
  <si>
    <t>计分周期为1个月，每月滚动更新，每个计1分，封顶30分</t>
  </si>
  <si>
    <t>房源新增</t>
  </si>
  <si>
    <t>月新增有效房源数计分</t>
  </si>
  <si>
    <t>计分周期为1个月，每月滚动更新，每个计1分，封顶10分</t>
  </si>
  <si>
    <t>普租实勘</t>
  </si>
  <si>
    <t>按房源有效实勘套数计分</t>
  </si>
  <si>
    <t>实勘量</t>
  </si>
  <si>
    <t>计分周期为1个月，每月滚动更新，每个计2分，封顶10分</t>
  </si>
  <si>
    <t>网客加官网占比</t>
  </si>
  <si>
    <t>以占比55%(基数可以根据行情进行调整)为基数，达成有，未达成就无</t>
  </si>
  <si>
    <t>房管维护管理</t>
  </si>
  <si>
    <t>在管量</t>
  </si>
  <si>
    <t>月度更新，每10套计2分，封顶20分</t>
  </si>
  <si>
    <t>续签率</t>
  </si>
  <si>
    <t>按每续签1套计1分</t>
  </si>
  <si>
    <t>续签量</t>
  </si>
  <si>
    <t>月度更新，按每续签1套计1分，封顶10分</t>
  </si>
  <si>
    <t>买卖</t>
  </si>
  <si>
    <t>成交单数</t>
  </si>
  <si>
    <t>二手合同</t>
  </si>
  <si>
    <t>佣金（折算5万/单，取整，不四舍五入）与单数可取就高</t>
  </si>
  <si>
    <t>计分周期为近六个月，每月滚动更新，每单计6分，封项60分</t>
  </si>
  <si>
    <t>计分周期为近六个月，每月滚动更新，每单计8分，封项20分</t>
  </si>
  <si>
    <t>速销</t>
  </si>
  <si>
    <t>收速销</t>
  </si>
  <si>
    <t>收速销成交处理单数</t>
  </si>
  <si>
    <t>计分周期为近六个月，每月滚动更新，每单计2分，封顶20分</t>
  </si>
  <si>
    <t>达绩效折扣达标计6分，不达0分</t>
  </si>
  <si>
    <t>计分周期为近六个月，每月滚动更新，每单计6分，封项30分</t>
  </si>
  <si>
    <t>首看客户</t>
  </si>
  <si>
    <t>月总新增7个：达标2分，不达0分</t>
  </si>
  <si>
    <t>6个月衰减，计分标准同官网</t>
  </si>
  <si>
    <t>看房数</t>
  </si>
  <si>
    <t>月总看房55次：达标2分，不达0分</t>
  </si>
  <si>
    <t>总带看客户组数</t>
  </si>
  <si>
    <t>月总带看客户组数14组：达标2分，不达0分</t>
  </si>
  <si>
    <t>月新增有效待售2套：达标2分，不达0分</t>
  </si>
  <si>
    <t>认证委托</t>
  </si>
  <si>
    <t>月认证委托数2个：达标2分，不达0分</t>
  </si>
  <si>
    <t>收钥匙</t>
  </si>
  <si>
    <t>月收钥匙2把：达标2分，不达0分</t>
  </si>
  <si>
    <t>所属人陪看</t>
  </si>
  <si>
    <t>月所属房源陪看5次：达标2分，不达0分</t>
  </si>
  <si>
    <t>信用积分体系维度指标分值 2021.4.12</t>
  </si>
  <si>
    <t>2021.4.14调整方案</t>
  </si>
  <si>
    <t>备注</t>
  </si>
  <si>
    <t>本科及以上非统招</t>
  </si>
  <si>
    <t>本科及以上统招</t>
  </si>
  <si>
    <t>有则加分</t>
  </si>
  <si>
    <t>足球、篮球、羽毛球等特长生</t>
  </si>
  <si>
    <t xml:space="preserve">杭州经纪人证 </t>
  </si>
  <si>
    <t xml:space="preserve">全国协理证  </t>
  </si>
  <si>
    <t xml:space="preserve">全国经纪人资格证 </t>
  </si>
  <si>
    <t>96~100分</t>
  </si>
  <si>
    <t>91~95分</t>
  </si>
  <si>
    <t>无</t>
  </si>
  <si>
    <t>原分数差距太大
新增一档</t>
  </si>
  <si>
    <t>20调为0</t>
  </si>
  <si>
    <t>按官网VR实勘率折算率记分，按月统计</t>
  </si>
  <si>
    <t>考核只到组、区 不涉及个人，删除</t>
  </si>
  <si>
    <t>官网VR房源数/官网房源数</t>
  </si>
  <si>
    <t>渗透达标数</t>
  </si>
  <si>
    <t>30调为0</t>
  </si>
  <si>
    <t xml:space="preserve">
按渗透达标率折算（初始排名统计近6个月数据），按月统计</t>
  </si>
  <si>
    <t>1个积分6分</t>
  </si>
  <si>
    <t>封顶30分</t>
  </si>
  <si>
    <t>渗透以个为单位</t>
  </si>
  <si>
    <t>400接通率</t>
  </si>
  <si>
    <t>20调为30</t>
  </si>
  <si>
    <t>按400接听率折算，按月统计</t>
  </si>
  <si>
    <t>90%以上</t>
  </si>
  <si>
    <t>设定区间</t>
  </si>
  <si>
    <t>由12个月调为6个月</t>
  </si>
  <si>
    <t>400接听量/400来电量</t>
  </si>
  <si>
    <t>80%——90%</t>
  </si>
  <si>
    <t>70——80</t>
  </si>
  <si>
    <t>70%以下不给分</t>
  </si>
  <si>
    <t>爱聊一分钟回复数/总</t>
  </si>
  <si>
    <t>60——80</t>
  </si>
  <si>
    <t>60%以下不给分</t>
  </si>
  <si>
    <t>10调为15</t>
  </si>
  <si>
    <t xml:space="preserve">
按400来电转首看率折算（初始排名统计近6个月数据），按月统计</t>
  </si>
  <si>
    <t>400来电转首看数/总400来电量</t>
  </si>
  <si>
    <t>取消</t>
  </si>
  <si>
    <t>10调为20</t>
  </si>
  <si>
    <t xml:space="preserve">
按爱聊三日复聊率折算（初始排名统计近6个月数据），按月统计</t>
  </si>
  <si>
    <t>三日复聊数/(爱聊线索量-录入量）</t>
  </si>
  <si>
    <t xml:space="preserve">
按爱聊线索转录入率折算（初始排名统计近6个月数据），按月统计</t>
  </si>
  <si>
    <t>衰减周期调为6个月</t>
  </si>
  <si>
    <t>爱聊线索转录入数/爱聊线索量</t>
  </si>
  <si>
    <t>25~30%以上满分</t>
  </si>
  <si>
    <t>20%~25%</t>
  </si>
  <si>
    <t>15%~20%</t>
  </si>
  <si>
    <t>10%~15%</t>
  </si>
  <si>
    <t>10%以下不给分</t>
  </si>
  <si>
    <t>15调为20</t>
  </si>
  <si>
    <t xml:space="preserve">
按爱聊线索转带看率折算（初始排名统计近6个月数据），按月统计</t>
  </si>
  <si>
    <t>10%以上</t>
  </si>
  <si>
    <t>5~10%</t>
  </si>
  <si>
    <t>0以上~5</t>
  </si>
  <si>
    <t>以表扬形式及经核实的评价程度计算，按月统计，每年封顶20</t>
  </si>
  <si>
    <t>通报表扬+奖励</t>
  </si>
  <si>
    <t>（以客服界定为准）</t>
  </si>
  <si>
    <t>表扬</t>
  </si>
  <si>
    <t>100%</t>
  </si>
  <si>
    <t>NPS分值=（推荐量-不推荐量）/调查总量/100%   参照品质服务评优规则</t>
  </si>
  <si>
    <t>100%~25.4%</t>
  </si>
  <si>
    <t>25.4%~0%</t>
  </si>
  <si>
    <t>重要信息维护</t>
  </si>
  <si>
    <t>（如学区、年代）</t>
  </si>
  <si>
    <t>徒弟在职3个月</t>
  </si>
  <si>
    <t>徒弟3个月转正</t>
  </si>
  <si>
    <t>业务能力(租赁)</t>
  </si>
  <si>
    <t>两项封顶值为60分</t>
  </si>
  <si>
    <t>计分周期为近6个月，每月滚动更新</t>
  </si>
  <si>
    <t>计分以新收量核算</t>
  </si>
  <si>
    <t>计分以新出量核算</t>
  </si>
  <si>
    <t>折扣只考核组、区 不涉及经纪人 暂时不考核</t>
  </si>
  <si>
    <t>分值怎么分配</t>
  </si>
  <si>
    <t>设定基数25个达标、衰减周期</t>
  </si>
  <si>
    <t>每月滚动更新调为6个月衰减</t>
  </si>
  <si>
    <t>设定基数4个达标、衰减周期</t>
  </si>
  <si>
    <t>以占比55%(基数可以根据行情进行调整)为基数，达成有，未达成就无 周期为近6个月，每月滚动更新</t>
  </si>
  <si>
    <t>计分周期调为月度更新 设衰减周期，基数下调</t>
  </si>
  <si>
    <t>计分周期为近6个月，每月滚动更新，每月计2分</t>
  </si>
  <si>
    <t>在管量人均41套 基数调为以5套为单位</t>
  </si>
  <si>
    <t>月度更新，每5套计2分</t>
  </si>
  <si>
    <t>月委托续签10套可达性低，分值调为2分或3分/套</t>
  </si>
  <si>
    <t>月度更新，按每续签1套计2分</t>
  </si>
  <si>
    <t>业务能力（买卖)</t>
  </si>
  <si>
    <t>两项封顶值为80分</t>
  </si>
  <si>
    <t>计分周期为近六个月，每月滚动更新</t>
  </si>
  <si>
    <t>收速销人员占比低分值调为3分或更高</t>
  </si>
  <si>
    <t>达标量</t>
  </si>
  <si>
    <t>计分周期为近六个月，每月滚动更新，</t>
  </si>
  <si>
    <t>分值调为3分</t>
  </si>
  <si>
    <t>月2个可达性较低，基数调为1个达标</t>
  </si>
  <si>
    <t>基数月2把，可达性低 基数调为1把达标</t>
  </si>
  <si>
    <t>个人情况/数量</t>
  </si>
  <si>
    <t>分数</t>
  </si>
  <si>
    <t>计分周期为近6个月，每月滚动更新，每单计8分，封顶20分</t>
  </si>
  <si>
    <t>分数</t>
    <phoneticPr fontId="23" type="noConversion"/>
  </si>
  <si>
    <r>
      <t>2021.4.</t>
    </r>
    <r>
      <rPr>
        <b/>
        <sz val="10"/>
        <color theme="1"/>
        <rFont val="微软雅黑"/>
        <family val="2"/>
        <charset val="134"/>
      </rPr>
      <t>20</t>
    </r>
    <r>
      <rPr>
        <b/>
        <sz val="10"/>
        <color theme="1"/>
        <rFont val="微软雅黑"/>
        <family val="2"/>
        <charset val="134"/>
      </rPr>
      <t>调整方案</t>
    </r>
    <phoneticPr fontId="23" type="noConversion"/>
  </si>
  <si>
    <r>
      <t>目前平均值2.5年
分值调为10分封顶分</t>
    </r>
    <r>
      <rPr>
        <sz val="10"/>
        <color rgb="FFFF0000"/>
        <rFont val="微软雅黑"/>
        <family val="2"/>
        <charset val="134"/>
      </rPr>
      <t>30分调为60分</t>
    </r>
    <phoneticPr fontId="23" type="noConversion"/>
  </si>
  <si>
    <t>400转首看率</t>
    <phoneticPr fontId="23" type="noConversion"/>
  </si>
  <si>
    <t>收速销人员占比低分值调为4分</t>
    <phoneticPr fontId="23" type="noConversion"/>
  </si>
  <si>
    <t>400接通率</t>
    <phoneticPr fontId="23" type="noConversion"/>
  </si>
  <si>
    <t>爱聊1分钟回复</t>
    <phoneticPr fontId="23" type="noConversion"/>
  </si>
  <si>
    <t>计分标准</t>
    <phoneticPr fontId="23" type="noConversion"/>
  </si>
  <si>
    <t>分值</t>
    <phoneticPr fontId="23" type="noConversion"/>
  </si>
  <si>
    <t>两项封顶值为60分</t>
    <phoneticPr fontId="23" type="noConversion"/>
  </si>
  <si>
    <t>基础素质</t>
    <phoneticPr fontId="23" type="noConversion"/>
  </si>
  <si>
    <t>政治背景</t>
    <phoneticPr fontId="23" type="noConversion"/>
  </si>
  <si>
    <t>从业时间分</t>
    <phoneticPr fontId="23" type="noConversion"/>
  </si>
  <si>
    <t>月认证委托数2个：达标2分，不达0分</t>
    <phoneticPr fontId="23" type="noConversion"/>
  </si>
  <si>
    <t>所属人陪看</t>
    <phoneticPr fontId="23" type="noConversion"/>
  </si>
  <si>
    <t>月所属房源陪看5次：达标2分，不达0分</t>
    <phoneticPr fontId="23" type="noConversion"/>
  </si>
  <si>
    <t>以占比55%(基数可以根据行情进行调整)为基数，达成有，未达成就无 周期为近6个月，每月滚动更新</t>
    <phoneticPr fontId="23" type="noConversion"/>
  </si>
  <si>
    <t>月度更新，每10套计2分，封顶20分</t>
    <phoneticPr fontId="23" type="noConversion"/>
  </si>
  <si>
    <t>续签率</t>
    <phoneticPr fontId="23" type="noConversion"/>
  </si>
  <si>
    <t>房管维护管理</t>
    <phoneticPr fontId="23" type="noConversion"/>
  </si>
  <si>
    <t>过程数据</t>
    <phoneticPr fontId="23" type="noConversion"/>
  </si>
  <si>
    <t>新增客户</t>
    <phoneticPr fontId="23" type="noConversion"/>
  </si>
  <si>
    <t>房源新增</t>
    <phoneticPr fontId="23" type="noConversion"/>
  </si>
  <si>
    <t>普租实勘</t>
    <phoneticPr fontId="23" type="noConversion"/>
  </si>
  <si>
    <t>折扣率</t>
    <phoneticPr fontId="23" type="noConversion"/>
  </si>
  <si>
    <t xml:space="preserve"> 公司KPI标准计分 达标有、未达则无</t>
    <phoneticPr fontId="23" type="noConversion"/>
  </si>
  <si>
    <t>目前平均值2.5年每月1分</t>
    <phoneticPr fontId="23" type="noConversion"/>
  </si>
  <si>
    <t>一级指标</t>
    <phoneticPr fontId="23" type="noConversion"/>
  </si>
  <si>
    <t>二级指标</t>
    <phoneticPr fontId="23" type="noConversion"/>
  </si>
  <si>
    <t>个人背景</t>
    <phoneticPr fontId="23" type="noConversion"/>
  </si>
  <si>
    <t>从业时间</t>
    <phoneticPr fontId="23" type="noConversion"/>
  </si>
  <si>
    <t>品质服务</t>
    <phoneticPr fontId="23" type="noConversion"/>
  </si>
  <si>
    <t>.</t>
    <phoneticPr fontId="23" type="noConversion"/>
  </si>
  <si>
    <t>业务能力</t>
    <phoneticPr fontId="23" type="noConversion"/>
  </si>
  <si>
    <t>官网VR实勘率</t>
    <phoneticPr fontId="23" type="noConversion"/>
  </si>
  <si>
    <t>折扣率</t>
    <phoneticPr fontId="23" type="noConversion"/>
  </si>
  <si>
    <t>渗透达标数</t>
    <phoneticPr fontId="23" type="noConversion"/>
  </si>
  <si>
    <t>以每月的渗透量计分，一个渗透6分 封顶30分</t>
    <phoneticPr fontId="23" type="noConversion"/>
  </si>
  <si>
    <t>渗透量</t>
    <phoneticPr fontId="23" type="noConversion"/>
  </si>
  <si>
    <t>400接通率</t>
    <phoneticPr fontId="23" type="noConversion"/>
  </si>
  <si>
    <t>其他事项</t>
    <phoneticPr fontId="23" type="noConversion"/>
  </si>
  <si>
    <t>楼盘信息维护</t>
    <phoneticPr fontId="23" type="noConversion"/>
  </si>
  <si>
    <t>91-100%</t>
    <phoneticPr fontId="23" type="noConversion"/>
  </si>
  <si>
    <r>
      <t>8</t>
    </r>
    <r>
      <rPr>
        <sz val="10"/>
        <color theme="1"/>
        <rFont val="微软雅黑"/>
        <family val="2"/>
        <charset val="134"/>
      </rPr>
      <t>1-90%</t>
    </r>
    <phoneticPr fontId="23" type="noConversion"/>
  </si>
  <si>
    <t>71-80%</t>
    <phoneticPr fontId="23" type="noConversion"/>
  </si>
  <si>
    <t>61-70%</t>
    <phoneticPr fontId="23" type="noConversion"/>
  </si>
  <si>
    <t>60下</t>
    <phoneticPr fontId="23" type="noConversion"/>
  </si>
  <si>
    <t>50%上</t>
    <phoneticPr fontId="23" type="noConversion"/>
  </si>
  <si>
    <t>31-50%</t>
    <phoneticPr fontId="23" type="noConversion"/>
  </si>
  <si>
    <t>11-30%</t>
    <phoneticPr fontId="23" type="noConversion"/>
  </si>
  <si>
    <t>10%下</t>
    <phoneticPr fontId="23" type="noConversion"/>
  </si>
  <si>
    <t>渗透量</t>
    <phoneticPr fontId="23" type="noConversion"/>
  </si>
  <si>
    <t>6个月</t>
    <phoneticPr fontId="23" type="noConversion"/>
  </si>
  <si>
    <t>50%上</t>
    <phoneticPr fontId="23" type="noConversion"/>
  </si>
  <si>
    <t>50%上   4.3</t>
    <phoneticPr fontId="23" type="noConversion"/>
  </si>
  <si>
    <t>31-50%  3.4</t>
    <phoneticPr fontId="23" type="noConversion"/>
  </si>
  <si>
    <t>11-30%  2.8</t>
    <phoneticPr fontId="23" type="noConversion"/>
  </si>
  <si>
    <t>10%下  2.3</t>
    <phoneticPr fontId="23" type="noConversion"/>
  </si>
  <si>
    <t>新增量</t>
    <phoneticPr fontId="23" type="noConversion"/>
  </si>
  <si>
    <t>渗透量</t>
    <phoneticPr fontId="23" type="noConversion"/>
  </si>
  <si>
    <t xml:space="preserve">31-50% </t>
    <phoneticPr fontId="23" type="noConversion"/>
  </si>
  <si>
    <t>11-30%</t>
    <phoneticPr fontId="23" type="noConversion"/>
  </si>
  <si>
    <t>10%下</t>
    <phoneticPr fontId="23" type="noConversion"/>
  </si>
  <si>
    <t>达标量</t>
    <phoneticPr fontId="23" type="noConversion"/>
  </si>
  <si>
    <t>其他事项（如违规举报）</t>
    <phoneticPr fontId="23" type="noConversion"/>
  </si>
  <si>
    <t>品质服务</t>
    <phoneticPr fontId="23" type="noConversion"/>
  </si>
  <si>
    <t>有责投诉定级</t>
    <phoneticPr fontId="23" type="noConversion"/>
  </si>
  <si>
    <t>按月更新</t>
    <phoneticPr fontId="23" type="noConversion"/>
  </si>
  <si>
    <t>按衰减周期</t>
    <phoneticPr fontId="23" type="noConversion"/>
  </si>
  <si>
    <r>
      <t>月认证委托数</t>
    </r>
    <r>
      <rPr>
        <sz val="10"/>
        <color rgb="FFFF0000"/>
        <rFont val="微软雅黑"/>
        <family val="2"/>
        <charset val="134"/>
      </rPr>
      <t>1个</t>
    </r>
    <r>
      <rPr>
        <sz val="10"/>
        <color theme="1"/>
        <rFont val="微软雅黑"/>
        <family val="2"/>
        <charset val="134"/>
      </rPr>
      <t>：达标2分，不达0分</t>
    </r>
    <phoneticPr fontId="23" type="noConversion"/>
  </si>
  <si>
    <r>
      <t>月收钥匙</t>
    </r>
    <r>
      <rPr>
        <sz val="10"/>
        <color rgb="FFFF0000"/>
        <rFont val="微软雅黑"/>
        <family val="2"/>
        <charset val="134"/>
      </rPr>
      <t>1把</t>
    </r>
    <r>
      <rPr>
        <sz val="10"/>
        <color theme="1"/>
        <rFont val="微软雅黑"/>
        <family val="2"/>
        <charset val="134"/>
      </rPr>
      <t>：达标2分，不达0分</t>
    </r>
    <phoneticPr fontId="23" type="noConversion"/>
  </si>
  <si>
    <t>逐年累加,封顶45分</t>
    <phoneticPr fontId="23" type="noConversion"/>
  </si>
  <si>
    <t>每月1分</t>
    <phoneticPr fontId="23" type="noConversion"/>
  </si>
  <si>
    <t>党员加5分、退伍军人加10分</t>
    <phoneticPr fontId="23" type="noConversion"/>
  </si>
  <si>
    <r>
      <t xml:space="preserve">推荐入职成功计分 </t>
    </r>
    <r>
      <rPr>
        <sz val="10"/>
        <color rgb="FFFF0000"/>
        <rFont val="微软雅黑"/>
        <family val="2"/>
        <charset val="134"/>
      </rPr>
      <t>不计封顶</t>
    </r>
    <phoneticPr fontId="23" type="noConversion"/>
  </si>
  <si>
    <r>
      <t>取分数高的1</t>
    </r>
    <r>
      <rPr>
        <sz val="10"/>
        <color theme="1"/>
        <rFont val="微软雅黑"/>
        <family val="2"/>
        <charset val="134"/>
      </rPr>
      <t>5天分数平均值</t>
    </r>
    <phoneticPr fontId="23" type="noConversion"/>
  </si>
  <si>
    <t xml:space="preserve">
按400来电转首看率折算（初始排名统计近6个月数据），按月统计</t>
    <phoneticPr fontId="23" type="noConversion"/>
  </si>
  <si>
    <t xml:space="preserve">
按爱聊三日复聊率折算（初始排名统计近6个月年数据），按月统计</t>
    <phoneticPr fontId="23" type="noConversion"/>
  </si>
  <si>
    <t xml:space="preserve">
按爱聊线索转录入率折算（初始排名统计近6个月数据），按月统计</t>
    <phoneticPr fontId="23" type="noConversion"/>
  </si>
  <si>
    <t xml:space="preserve">
按爱聊线索转带看率折算（初始排名统计近6个月数据），按月统计</t>
    <phoneticPr fontId="23" type="noConversion"/>
  </si>
  <si>
    <t>以占比52%(基数可以根据行情进行调整)为基数，达成有，未达成就无</t>
    <phoneticPr fontId="23" type="noConversion"/>
  </si>
  <si>
    <t xml:space="preserve">收速销成交处理单数 </t>
    <phoneticPr fontId="23" type="noConversion"/>
  </si>
  <si>
    <t>计分周期为近六个月，每月滚动更新，每单计4分，封顶30分</t>
    <phoneticPr fontId="23" type="noConversion"/>
  </si>
  <si>
    <r>
      <t>按每续签1套计</t>
    </r>
    <r>
      <rPr>
        <sz val="10"/>
        <color rgb="FFFF0000"/>
        <rFont val="微软雅黑"/>
        <family val="2"/>
        <charset val="134"/>
      </rPr>
      <t>2分</t>
    </r>
    <phoneticPr fontId="23" type="noConversion"/>
  </si>
  <si>
    <t>月度更新，每5套计2分，封顶40分</t>
    <phoneticPr fontId="23" type="noConversion"/>
  </si>
  <si>
    <t>月度更新，每5套计2分，封顶40分</t>
    <phoneticPr fontId="23" type="noConversion"/>
  </si>
  <si>
    <t>月度更新，按每续签1套计2分，封顶20分</t>
    <phoneticPr fontId="23" type="noConversion"/>
  </si>
  <si>
    <t>计分周期为近六个月，每月滚动更新，每单计8分</t>
    <phoneticPr fontId="23" type="noConversion"/>
  </si>
  <si>
    <t>计分周期为近六个月，每月滚动更新，二手每单计6分，一手每单计8分；成交总封顶80分</t>
    <phoneticPr fontId="23" type="noConversion"/>
  </si>
  <si>
    <t>50%上</t>
    <phoneticPr fontId="23" type="noConversion"/>
  </si>
  <si>
    <t xml:space="preserve">31-50% </t>
    <phoneticPr fontId="23" type="noConversion"/>
  </si>
  <si>
    <t xml:space="preserve">11-30% </t>
    <phoneticPr fontId="23" type="noConversion"/>
  </si>
  <si>
    <t xml:space="preserve">10%下 </t>
    <phoneticPr fontId="23" type="noConversion"/>
  </si>
  <si>
    <t>31-50%</t>
    <phoneticPr fontId="23" type="noConversion"/>
  </si>
  <si>
    <t>11-30%</t>
    <phoneticPr fontId="23" type="noConversion"/>
  </si>
  <si>
    <t xml:space="preserve">10%下 </t>
    <phoneticPr fontId="23" type="noConversion"/>
  </si>
  <si>
    <t xml:space="preserve">50%上 </t>
    <phoneticPr fontId="23" type="noConversion"/>
  </si>
  <si>
    <t>31-50%</t>
    <phoneticPr fontId="23" type="noConversion"/>
  </si>
  <si>
    <t>10%下</t>
    <phoneticPr fontId="23" type="noConversion"/>
  </si>
  <si>
    <t xml:space="preserve">50%上 </t>
    <phoneticPr fontId="23" type="noConversion"/>
  </si>
  <si>
    <t>11-30%</t>
    <phoneticPr fontId="23" type="noConversion"/>
  </si>
  <si>
    <r>
      <t xml:space="preserve">按带训徒弟人数计算  </t>
    </r>
    <r>
      <rPr>
        <sz val="10"/>
        <color rgb="FFFF0000"/>
        <rFont val="微软雅黑"/>
        <family val="2"/>
        <charset val="134"/>
      </rPr>
      <t>不设封顶</t>
    </r>
    <r>
      <rPr>
        <sz val="10"/>
        <color theme="1"/>
        <rFont val="微软雅黑"/>
        <family val="2"/>
        <charset val="134"/>
      </rPr>
      <t xml:space="preserve">
按在职时间及转正时间不同对应不同分值</t>
    </r>
    <phoneticPr fontId="23" type="noConversion"/>
  </si>
  <si>
    <t>按月度NPS值 。正分值加分，负分值扣分</t>
    <phoneticPr fontId="23" type="noConversion"/>
  </si>
  <si>
    <t>平均值下</t>
    <phoneticPr fontId="23" type="noConversion"/>
  </si>
  <si>
    <t>平均值上</t>
    <phoneticPr fontId="23" type="noConversion"/>
  </si>
  <si>
    <t>负分值</t>
    <phoneticPr fontId="23" type="noConversion"/>
  </si>
  <si>
    <t>按违规违纪次数累计扣分，按月统计。三级指标分为基础分，扣分无下限</t>
    <phoneticPr fontId="23" type="noConversion"/>
  </si>
  <si>
    <t>按宫格等级及数量扣分，按月统计，三级指标分为基础分
扣分无下限</t>
    <phoneticPr fontId="23" type="noConversion"/>
  </si>
  <si>
    <r>
      <t>以月计算 每月/1分 封顶4</t>
    </r>
    <r>
      <rPr>
        <sz val="10"/>
        <color theme="1"/>
        <rFont val="微软雅黑"/>
        <family val="2"/>
        <charset val="134"/>
      </rPr>
      <t>5</t>
    </r>
    <r>
      <rPr>
        <sz val="10"/>
        <color theme="1"/>
        <rFont val="微软雅黑"/>
        <family val="2"/>
        <charset val="134"/>
      </rPr>
      <t>分</t>
    </r>
    <phoneticPr fontId="23" type="noConversion"/>
  </si>
  <si>
    <t>按季度NPS值 。正分值加分，负分值扣分</t>
    <phoneticPr fontId="23" type="noConversion"/>
  </si>
  <si>
    <t>400转首看率</t>
    <phoneticPr fontId="23" type="noConversion"/>
  </si>
  <si>
    <t>网客加官网占比</t>
    <phoneticPr fontId="23" type="noConversion"/>
  </si>
  <si>
    <t>看房数</t>
    <phoneticPr fontId="23" type="noConversion"/>
  </si>
  <si>
    <t>信用积分体系维度指标分值  860</t>
    <phoneticPr fontId="23" type="noConversion"/>
  </si>
  <si>
    <t>司龄</t>
    <phoneticPr fontId="23" type="noConversion"/>
  </si>
  <si>
    <t>按违规违纪次数累计扣分，按月统计。三级指标分为基础分，扣分无下限</t>
    <phoneticPr fontId="23" type="noConversion"/>
  </si>
  <si>
    <t>正分值且在平均分下</t>
    <phoneticPr fontId="23" type="noConversion"/>
  </si>
  <si>
    <t>样本量少于5个</t>
    <phoneticPr fontId="23" type="noConversion"/>
  </si>
  <si>
    <t>经验值</t>
    <phoneticPr fontId="23" type="noConversion"/>
  </si>
  <si>
    <t>按成交量计分 买卖按一单（含一手单）0.5分 租赁每单0.1分（包括新收+新出+普租）租赁一手单每单0.5分</t>
    <phoneticPr fontId="23" type="noConversion"/>
  </si>
  <si>
    <t>楼盘信息维护</t>
    <phoneticPr fontId="23" type="noConversion"/>
  </si>
  <si>
    <r>
      <t xml:space="preserve">按带训徒弟人数计算  </t>
    </r>
    <r>
      <rPr>
        <sz val="10"/>
        <color rgb="FFFF0000"/>
        <rFont val="微软雅黑"/>
        <family val="2"/>
        <charset val="134"/>
      </rPr>
      <t>封顶分30分</t>
    </r>
    <r>
      <rPr>
        <sz val="10"/>
        <color theme="1"/>
        <rFont val="微软雅黑"/>
        <family val="2"/>
        <charset val="134"/>
      </rPr>
      <t xml:space="preserve">
按在职时间及转正时间不同对应不同分值</t>
    </r>
    <phoneticPr fontId="23" type="noConversion"/>
  </si>
  <si>
    <t>推荐入职成功计分</t>
    <phoneticPr fontId="23" type="noConversion"/>
  </si>
  <si>
    <r>
      <t>以每月的渗透量计分，一个渗透6分 封顶30分稽查到违规分值清</t>
    </r>
    <r>
      <rPr>
        <sz val="10"/>
        <color theme="1"/>
        <rFont val="微软雅黑"/>
        <family val="2"/>
        <charset val="134"/>
      </rPr>
      <t>0</t>
    </r>
    <phoneticPr fontId="23" type="noConversion"/>
  </si>
  <si>
    <t xml:space="preserve">
按爱聊线索转录入率折算（初始排名统计近6个月数据），按月统计</t>
    <phoneticPr fontId="23" type="noConversion"/>
  </si>
  <si>
    <t xml:space="preserve">
按爱聊线索转带看率折算（初始排名统计近6个月数据），按月统计</t>
    <phoneticPr fontId="23" type="noConversion"/>
  </si>
  <si>
    <t>成交量或成交金额</t>
    <phoneticPr fontId="23" type="noConversion"/>
  </si>
  <si>
    <t>委托续签量</t>
    <phoneticPr fontId="23" type="noConversion"/>
  </si>
  <si>
    <t>每个计1分，封顶30分 按6个月衰减</t>
    <phoneticPr fontId="23" type="noConversion"/>
  </si>
  <si>
    <t>6个月衰减</t>
    <phoneticPr fontId="23" type="noConversion"/>
  </si>
  <si>
    <t>买卖成交单数（二手+一手）</t>
    <phoneticPr fontId="23" type="noConversion"/>
  </si>
  <si>
    <t>租赁成交单</t>
    <phoneticPr fontId="23" type="noConversion"/>
  </si>
  <si>
    <t>租赁一手成交单</t>
    <phoneticPr fontId="23" type="noConversion"/>
  </si>
  <si>
    <t>其他事项（如违规举报）</t>
    <phoneticPr fontId="23" type="noConversion"/>
  </si>
  <si>
    <t>其他事项</t>
    <phoneticPr fontId="23" type="noConversion"/>
  </si>
  <si>
    <t>逐年累加,封顶50分</t>
    <phoneticPr fontId="23" type="noConversion"/>
  </si>
  <si>
    <t>91-100%  15分</t>
    <phoneticPr fontId="23" type="noConversion"/>
  </si>
  <si>
    <t>81-90%  10分</t>
    <phoneticPr fontId="23" type="noConversion"/>
  </si>
  <si>
    <t>71-80%  8分</t>
    <phoneticPr fontId="23" type="noConversion"/>
  </si>
  <si>
    <t>61-70%  5分</t>
    <phoneticPr fontId="23" type="noConversion"/>
  </si>
  <si>
    <t>91-100%  40分</t>
    <phoneticPr fontId="23" type="noConversion"/>
  </si>
  <si>
    <t>71-80%  20分</t>
    <phoneticPr fontId="23" type="noConversion"/>
  </si>
  <si>
    <t>61-70%  10分</t>
    <phoneticPr fontId="23" type="noConversion"/>
  </si>
  <si>
    <t>81-90%  30分</t>
    <phoneticPr fontId="23" type="noConversion"/>
  </si>
  <si>
    <t>41-50%  15分</t>
    <phoneticPr fontId="23" type="noConversion"/>
  </si>
  <si>
    <t>31-40%   10分</t>
    <phoneticPr fontId="23" type="noConversion"/>
  </si>
  <si>
    <t>11-30%  8分</t>
    <phoneticPr fontId="23" type="noConversion"/>
  </si>
  <si>
    <t>51%以上  20分</t>
    <phoneticPr fontId="23" type="noConversion"/>
  </si>
  <si>
    <t>31%以上  45分</t>
    <phoneticPr fontId="23" type="noConversion"/>
  </si>
  <si>
    <t>21-30%  35分</t>
    <phoneticPr fontId="23" type="noConversion"/>
  </si>
  <si>
    <t>11-20%  25分</t>
    <phoneticPr fontId="23" type="noConversion"/>
  </si>
  <si>
    <t>31%以上  15分</t>
    <phoneticPr fontId="23" type="noConversion"/>
  </si>
  <si>
    <t>21-30%  12分</t>
    <phoneticPr fontId="23" type="noConversion"/>
  </si>
  <si>
    <t>11-20%  10分</t>
    <phoneticPr fontId="23" type="noConversion"/>
  </si>
  <si>
    <t>10%下(含)  8分</t>
    <phoneticPr fontId="23" type="noConversion"/>
  </si>
  <si>
    <t>10%下(含)  10分</t>
    <phoneticPr fontId="23" type="noConversion"/>
  </si>
  <si>
    <t>10%下(含)   5分</t>
    <phoneticPr fontId="23" type="noConversion"/>
  </si>
  <si>
    <t>60下(含)    5分</t>
    <phoneticPr fontId="23" type="noConversion"/>
  </si>
  <si>
    <t>60下(含)  0分</t>
    <phoneticPr fontId="23" type="noConversion"/>
  </si>
  <si>
    <t>每个计1分，封顶10分 按6个月衰减</t>
    <phoneticPr fontId="23" type="noConversion"/>
  </si>
  <si>
    <t>每个计2分，封顶10分 按6个月衰减</t>
    <phoneticPr fontId="23" type="noConversion"/>
  </si>
  <si>
    <t xml:space="preserve">月新增有效客户数计分  每个计1分
</t>
    <phoneticPr fontId="23" type="noConversion"/>
  </si>
  <si>
    <t>月新增有效房源数计分  每个计1分</t>
    <phoneticPr fontId="23" type="noConversion"/>
  </si>
  <si>
    <t>按房源有效实勘套数计分  每个计2分</t>
    <phoneticPr fontId="23" type="noConversion"/>
  </si>
  <si>
    <t>取月分数高的15天分数平均值</t>
    <phoneticPr fontId="23" type="noConversion"/>
  </si>
  <si>
    <t>起点从2021.1月起</t>
    <phoneticPr fontId="23" type="noConversion"/>
  </si>
  <si>
    <t xml:space="preserve">
按爱聊三日复聊率折算（初始排名统计近6个月数据），按月统计</t>
    <phoneticPr fontId="23" type="noConversion"/>
  </si>
  <si>
    <t>按400接听率折算，（初始排名统计近6个月数据），按月统计</t>
    <phoneticPr fontId="23" type="noConversion"/>
  </si>
  <si>
    <t>按爱聊1分钟回复率折算，（初始排名统计近6个月数据），按月统计</t>
    <phoneticPr fontId="23" type="noConversion"/>
  </si>
  <si>
    <t>月总带看客户组数14组：达标加分，不达0分</t>
    <phoneticPr fontId="23" type="noConversion"/>
  </si>
  <si>
    <t>月总新增5个：达标加分，不达0分</t>
    <phoneticPr fontId="23" type="noConversion"/>
  </si>
  <si>
    <t>月新增有效待售2套：达标加分，不达0分</t>
    <phoneticPr fontId="23" type="noConversion"/>
  </si>
  <si>
    <r>
      <t>月认证委托数</t>
    </r>
    <r>
      <rPr>
        <sz val="10"/>
        <color rgb="FFFF0000"/>
        <rFont val="微软雅黑"/>
        <family val="2"/>
        <charset val="134"/>
      </rPr>
      <t>1个</t>
    </r>
    <r>
      <rPr>
        <sz val="10"/>
        <color theme="1"/>
        <rFont val="微软雅黑"/>
        <family val="2"/>
        <charset val="134"/>
      </rPr>
      <t>：达标加分，不达0分</t>
    </r>
    <phoneticPr fontId="23" type="noConversion"/>
  </si>
  <si>
    <r>
      <t>月收钥匙</t>
    </r>
    <r>
      <rPr>
        <sz val="10"/>
        <color rgb="FFFF0000"/>
        <rFont val="微软雅黑"/>
        <family val="2"/>
        <charset val="134"/>
      </rPr>
      <t>1把</t>
    </r>
    <r>
      <rPr>
        <sz val="10"/>
        <color theme="1"/>
        <rFont val="微软雅黑"/>
        <family val="2"/>
        <charset val="134"/>
      </rPr>
      <t>：达标加分，不达0分</t>
    </r>
    <phoneticPr fontId="23" type="noConversion"/>
  </si>
  <si>
    <t>12个月</t>
    <phoneticPr fontId="23" type="noConversion"/>
  </si>
  <si>
    <t>12个月</t>
    <phoneticPr fontId="23" type="noConversion"/>
  </si>
  <si>
    <t>以表扬形式及经核实的评价程度计算，按月统计，每年封顶20分</t>
    <phoneticPr fontId="23" type="noConversion"/>
  </si>
  <si>
    <t>执业认证</t>
    <phoneticPr fontId="23" type="noConversion"/>
  </si>
  <si>
    <t>行为规范</t>
    <phoneticPr fontId="23" type="noConversion"/>
  </si>
  <si>
    <t>员工手册</t>
    <phoneticPr fontId="23" type="noConversion"/>
  </si>
  <si>
    <t>其他违规违纪行为</t>
    <phoneticPr fontId="23" type="noConversion"/>
  </si>
  <si>
    <t>客户投诉</t>
    <phoneticPr fontId="23" type="noConversion"/>
  </si>
  <si>
    <t>NPS值</t>
    <phoneticPr fontId="23" type="noConversion"/>
  </si>
  <si>
    <t>推荐入职</t>
    <phoneticPr fontId="23" type="noConversion"/>
  </si>
  <si>
    <t>品质服务</t>
    <phoneticPr fontId="23" type="noConversion"/>
  </si>
  <si>
    <t>个人背景</t>
    <phoneticPr fontId="23" type="noConversion"/>
  </si>
  <si>
    <t>其他违规违纪行为</t>
    <phoneticPr fontId="23" type="noConversion"/>
  </si>
  <si>
    <t>足球、篮球、羽毛球等特长生</t>
    <phoneticPr fontId="23" type="noConversion"/>
  </si>
  <si>
    <t>按获得执业认证书级别得分，多本证书以最高级别记分，不予累加</t>
    <phoneticPr fontId="23" type="noConversion"/>
  </si>
  <si>
    <t xml:space="preserve">月新增有效客户数计分  每个计1分
</t>
    <phoneticPr fontId="23" type="noConversion"/>
  </si>
  <si>
    <t>月新增有效房源数计分  每个计5分 封顶10分</t>
    <phoneticPr fontId="23" type="noConversion"/>
  </si>
  <si>
    <t>月新增有效认证数计分  每个计5分 封顶20分</t>
    <phoneticPr fontId="23" type="noConversion"/>
  </si>
  <si>
    <t>行政处罚</t>
    <phoneticPr fontId="23" type="noConversion"/>
  </si>
  <si>
    <t>月新增收钥匙数计分  每个计5分 封顶10分</t>
    <phoneticPr fontId="23" type="noConversion"/>
  </si>
  <si>
    <t>违规违纪</t>
    <phoneticPr fontId="23" type="noConversion"/>
  </si>
  <si>
    <t>业务能力 （375分）</t>
    <phoneticPr fontId="23" type="noConversion"/>
  </si>
  <si>
    <t>行为规范(100分)</t>
    <phoneticPr fontId="23" type="noConversion"/>
  </si>
  <si>
    <t>品质服务(180分)</t>
    <phoneticPr fontId="23" type="noConversion"/>
  </si>
  <si>
    <t>信誉服务 280分</t>
    <phoneticPr fontId="23" type="noConversion"/>
  </si>
  <si>
    <t>基础素质 125分</t>
    <phoneticPr fontId="23" type="noConversion"/>
  </si>
  <si>
    <t>官网指标 165分</t>
    <phoneticPr fontId="23" type="noConversion"/>
  </si>
  <si>
    <t>数据来源</t>
    <phoneticPr fontId="23" type="noConversion"/>
  </si>
  <si>
    <t>人力资源部</t>
    <phoneticPr fontId="23" type="noConversion"/>
  </si>
  <si>
    <t>学习发展中心</t>
    <phoneticPr fontId="23" type="noConversion"/>
  </si>
  <si>
    <t>其他</t>
    <phoneticPr fontId="23" type="noConversion"/>
  </si>
  <si>
    <t>行政处罚</t>
    <phoneticPr fontId="23" type="noConversion"/>
  </si>
  <si>
    <t xml:space="preserve">客户服务中心
</t>
    <phoneticPr fontId="23" type="noConversion"/>
  </si>
  <si>
    <t>数据部</t>
    <phoneticPr fontId="23" type="noConversion"/>
  </si>
  <si>
    <t xml:space="preserve">互联网运营中心
</t>
    <phoneticPr fontId="23" type="noConversion"/>
  </si>
  <si>
    <t>房管部</t>
    <phoneticPr fontId="23" type="noConversion"/>
  </si>
  <si>
    <t>按套数累计计分 每单1.5分</t>
    <phoneticPr fontId="23" type="noConversion"/>
  </si>
  <si>
    <t>按出房单数计计分 每单0.5分</t>
    <phoneticPr fontId="23" type="noConversion"/>
  </si>
  <si>
    <t>月一手成交单计分 每单8分</t>
    <phoneticPr fontId="23" type="noConversion"/>
  </si>
  <si>
    <t>月成交量计分 每单一分（以5000客单价进行折算，取整，不四舍五入）与单数；两者取就高</t>
    <phoneticPr fontId="23" type="noConversion"/>
  </si>
  <si>
    <t>按参与次数计分 每次 10分</t>
    <phoneticPr fontId="23" type="noConversion"/>
  </si>
  <si>
    <t>推荐入职成功计分 每个10分</t>
    <phoneticPr fontId="23" type="noConversion"/>
  </si>
  <si>
    <t>纠错内容核实后计分，每条计2分</t>
    <phoneticPr fontId="23" type="noConversion"/>
  </si>
  <si>
    <t xml:space="preserve">按季度NPS值 </t>
    <phoneticPr fontId="23" type="noConversion"/>
  </si>
  <si>
    <t>以表扬形式及经核实的评价程度计算</t>
    <phoneticPr fontId="23" type="noConversion"/>
  </si>
  <si>
    <t>按宫格等级及数量扣分（三级指标分为基础分）
扣分无下限</t>
    <phoneticPr fontId="23" type="noConversion"/>
  </si>
  <si>
    <t>按违规违纪次数累计扣分（三级指标分为基础分）
扣分无下限</t>
    <phoneticPr fontId="23" type="noConversion"/>
  </si>
  <si>
    <t>按违规违纪次数累计扣分（三级指标分为基础分）扣分无下限</t>
    <phoneticPr fontId="23" type="noConversion"/>
  </si>
  <si>
    <t>党员加5分、退伍军人加5分</t>
    <phoneticPr fontId="23" type="noConversion"/>
  </si>
  <si>
    <t>获得的经纪人证和协理证，多本证书以最高级别记分，不予累加</t>
    <phoneticPr fontId="23" type="noConversion"/>
  </si>
  <si>
    <t>按学历级别计分 （以经教育行政部门批准、实施学历教育、有国家认可的文凭颁发权力的学校及其它教育机构所颁发的学历证书为凭证）</t>
    <phoneticPr fontId="23" type="noConversion"/>
  </si>
  <si>
    <t>有则加分（ 以加入我司运动协会或代表我司获奖为准）</t>
    <phoneticPr fontId="23" type="noConversion"/>
  </si>
  <si>
    <t xml:space="preserve">月新增有效客户数计分  每个计1分 </t>
    <phoneticPr fontId="23" type="noConversion"/>
  </si>
  <si>
    <t xml:space="preserve">月总新增5个：达标加分，不达0分 </t>
    <phoneticPr fontId="23" type="noConversion"/>
  </si>
  <si>
    <t>月总带看客户组数14组：达标加分，不达0分</t>
    <phoneticPr fontId="23" type="noConversion"/>
  </si>
  <si>
    <t xml:space="preserve">月新增有效房源数计分  每个计5分 </t>
    <phoneticPr fontId="23" type="noConversion"/>
  </si>
  <si>
    <t>月新增有效认证数计分  每个计5分</t>
    <phoneticPr fontId="23" type="noConversion"/>
  </si>
  <si>
    <t>月新增收钥匙数计分  每个计5分</t>
    <phoneticPr fontId="23" type="noConversion"/>
  </si>
  <si>
    <t>最高分值</t>
    <phoneticPr fontId="23" type="noConversion"/>
  </si>
  <si>
    <t>按每续签1套计2分</t>
    <phoneticPr fontId="23" type="noConversion"/>
  </si>
  <si>
    <t>取当月分数高的15天分数平均值</t>
    <phoneticPr fontId="23" type="noConversion"/>
  </si>
  <si>
    <t>计分标准</t>
    <phoneticPr fontId="23" type="noConversion"/>
  </si>
  <si>
    <t>91-100%</t>
    <phoneticPr fontId="23" type="noConversion"/>
  </si>
  <si>
    <t>81-90%</t>
    <phoneticPr fontId="23" type="noConversion"/>
  </si>
  <si>
    <t>71-80%</t>
    <phoneticPr fontId="23" type="noConversion"/>
  </si>
  <si>
    <t>61-70%</t>
    <phoneticPr fontId="23" type="noConversion"/>
  </si>
  <si>
    <t xml:space="preserve">60下(含) </t>
    <phoneticPr fontId="23" type="noConversion"/>
  </si>
  <si>
    <t xml:space="preserve">81-90% </t>
    <phoneticPr fontId="23" type="noConversion"/>
  </si>
  <si>
    <t xml:space="preserve">71-80% </t>
    <phoneticPr fontId="23" type="noConversion"/>
  </si>
  <si>
    <t>51%以上</t>
    <phoneticPr fontId="23" type="noConversion"/>
  </si>
  <si>
    <t xml:space="preserve">41-50% </t>
    <phoneticPr fontId="23" type="noConversion"/>
  </si>
  <si>
    <t xml:space="preserve">31-40% </t>
    <phoneticPr fontId="23" type="noConversion"/>
  </si>
  <si>
    <t>11-30%</t>
    <phoneticPr fontId="23" type="noConversion"/>
  </si>
  <si>
    <t>10%下(含)</t>
    <phoneticPr fontId="23" type="noConversion"/>
  </si>
  <si>
    <t>31%以上</t>
    <phoneticPr fontId="23" type="noConversion"/>
  </si>
  <si>
    <t>21-30%</t>
    <phoneticPr fontId="23" type="noConversion"/>
  </si>
  <si>
    <t>11-20%</t>
    <phoneticPr fontId="23" type="noConversion"/>
  </si>
  <si>
    <t xml:space="preserve">10%下(含) </t>
    <phoneticPr fontId="23" type="noConversion"/>
  </si>
  <si>
    <t>10%以上</t>
    <phoneticPr fontId="23" type="noConversion"/>
  </si>
  <si>
    <t>7-10%</t>
    <phoneticPr fontId="23" type="noConversion"/>
  </si>
  <si>
    <t>5-7%</t>
    <phoneticPr fontId="23" type="noConversion"/>
  </si>
  <si>
    <t>4%下(含)</t>
    <phoneticPr fontId="23" type="noConversion"/>
  </si>
  <si>
    <t>互联网运营中心</t>
    <phoneticPr fontId="23" type="noConversion"/>
  </si>
  <si>
    <t>按带训徒弟人数计算 
按徒弟在职及转正时间对应不同分值</t>
    <phoneticPr fontId="23" type="noConversion"/>
  </si>
  <si>
    <t>其他贡献</t>
    <phoneticPr fontId="23" type="noConversion"/>
  </si>
  <si>
    <t>按在管量每5套计2分</t>
    <phoneticPr fontId="23" type="noConversion"/>
  </si>
  <si>
    <t>分值</t>
    <phoneticPr fontId="23" type="noConversion"/>
  </si>
  <si>
    <t>参与贡献（80分）</t>
    <phoneticPr fontId="23" type="noConversion"/>
  </si>
  <si>
    <t>租赁（210）</t>
    <phoneticPr fontId="23" type="noConversion"/>
  </si>
  <si>
    <t>买卖（210）</t>
    <phoneticPr fontId="23" type="noConversion"/>
  </si>
  <si>
    <r>
      <rPr>
        <b/>
        <sz val="14"/>
        <color theme="1"/>
        <rFont val="等线"/>
        <family val="3"/>
        <charset val="134"/>
        <scheme val="minor"/>
      </rPr>
      <t>信用积分体系维度指标分值860分
-----</t>
    </r>
    <r>
      <rPr>
        <b/>
        <sz val="12"/>
        <color theme="1"/>
        <rFont val="等线"/>
        <family val="3"/>
        <charset val="134"/>
        <scheme val="minor"/>
      </rPr>
      <t>基础素质125分 占比15% 、信誉服务 280分占比32%、业务能力375分 占比44%、参与贡献 80分 占比9%</t>
    </r>
    <phoneticPr fontId="23" type="noConversion"/>
  </si>
  <si>
    <r>
      <t xml:space="preserve">衰减周期
</t>
    </r>
    <r>
      <rPr>
        <b/>
        <sz val="8"/>
        <color theme="1"/>
        <rFont val="微软雅黑"/>
        <family val="2"/>
        <charset val="134"/>
      </rPr>
      <t>6个月衰减权重50%、20%、10%、10%、5%、5%逐月衰减
12个月衰减权重50%、12%、10%、8%、6%、4%、2%、2%、2%、2%、1%、1%逐月衰减</t>
    </r>
    <phoneticPr fontId="23" type="noConversion"/>
  </si>
  <si>
    <r>
      <t>F=X</t>
    </r>
    <r>
      <rPr>
        <sz val="8"/>
        <color theme="1"/>
        <rFont val="微软雅黑"/>
        <family val="2"/>
        <charset val="134"/>
      </rPr>
      <t>1</t>
    </r>
    <r>
      <rPr>
        <sz val="10"/>
        <color theme="1"/>
        <rFont val="微软雅黑"/>
        <family val="2"/>
        <charset val="134"/>
      </rPr>
      <t>Y</t>
    </r>
    <r>
      <rPr>
        <sz val="8"/>
        <color theme="1"/>
        <rFont val="微软雅黑"/>
        <family val="2"/>
        <charset val="134"/>
      </rPr>
      <t>1</t>
    </r>
    <r>
      <rPr>
        <sz val="10"/>
        <color theme="1"/>
        <rFont val="微软雅黑"/>
        <family val="2"/>
        <charset val="134"/>
      </rPr>
      <t>+X</t>
    </r>
    <r>
      <rPr>
        <sz val="8"/>
        <color theme="1"/>
        <rFont val="微软雅黑"/>
        <family val="2"/>
        <charset val="134"/>
      </rPr>
      <t>2</t>
    </r>
    <r>
      <rPr>
        <sz val="10"/>
        <color theme="1"/>
        <rFont val="微软雅黑"/>
        <family val="2"/>
        <charset val="134"/>
      </rPr>
      <t>Y</t>
    </r>
    <r>
      <rPr>
        <sz val="8"/>
        <color theme="1"/>
        <rFont val="微软雅黑"/>
        <family val="2"/>
        <charset val="134"/>
      </rPr>
      <t>2</t>
    </r>
    <r>
      <rPr>
        <sz val="10"/>
        <color theme="1"/>
        <rFont val="微软雅黑"/>
        <family val="2"/>
        <charset val="134"/>
      </rPr>
      <t>+...+X</t>
    </r>
    <r>
      <rPr>
        <sz val="8"/>
        <color theme="1"/>
        <rFont val="微软雅黑"/>
        <family val="2"/>
        <charset val="134"/>
      </rPr>
      <t>6</t>
    </r>
    <r>
      <rPr>
        <sz val="10"/>
        <color theme="1"/>
        <rFont val="微软雅黑"/>
        <family val="2"/>
        <charset val="134"/>
      </rPr>
      <t>Y</t>
    </r>
    <r>
      <rPr>
        <sz val="8"/>
        <color theme="1"/>
        <rFont val="微软雅黑"/>
        <family val="2"/>
        <charset val="134"/>
      </rPr>
      <t>6</t>
    </r>
    <phoneticPr fontId="23" type="noConversion"/>
  </si>
  <si>
    <r>
      <t>F=X</t>
    </r>
    <r>
      <rPr>
        <sz val="8"/>
        <color theme="1"/>
        <rFont val="微软雅黑"/>
        <family val="2"/>
        <charset val="134"/>
      </rPr>
      <t>1</t>
    </r>
    <r>
      <rPr>
        <sz val="10"/>
        <color theme="1"/>
        <rFont val="微软雅黑"/>
        <family val="2"/>
        <charset val="134"/>
      </rPr>
      <t>Y</t>
    </r>
    <r>
      <rPr>
        <sz val="8"/>
        <color theme="1"/>
        <rFont val="微软雅黑"/>
        <family val="2"/>
        <charset val="134"/>
      </rPr>
      <t>1</t>
    </r>
    <r>
      <rPr>
        <sz val="10"/>
        <color theme="1"/>
        <rFont val="微软雅黑"/>
        <family val="2"/>
        <charset val="134"/>
      </rPr>
      <t>+X</t>
    </r>
    <r>
      <rPr>
        <sz val="8"/>
        <color theme="1"/>
        <rFont val="微软雅黑"/>
        <family val="2"/>
        <charset val="134"/>
      </rPr>
      <t>2</t>
    </r>
    <r>
      <rPr>
        <sz val="10"/>
        <color theme="1"/>
        <rFont val="微软雅黑"/>
        <family val="2"/>
        <charset val="134"/>
      </rPr>
      <t>Y</t>
    </r>
    <r>
      <rPr>
        <sz val="8"/>
        <color theme="1"/>
        <rFont val="微软雅黑"/>
        <family val="2"/>
        <charset val="134"/>
      </rPr>
      <t>2</t>
    </r>
    <r>
      <rPr>
        <sz val="10"/>
        <color theme="1"/>
        <rFont val="微软雅黑"/>
        <family val="2"/>
        <charset val="134"/>
      </rPr>
      <t>+...+X</t>
    </r>
    <r>
      <rPr>
        <sz val="8"/>
        <color theme="1"/>
        <rFont val="微软雅黑"/>
        <family val="2"/>
        <charset val="134"/>
      </rPr>
      <t>6</t>
    </r>
    <r>
      <rPr>
        <sz val="10"/>
        <color theme="1"/>
        <rFont val="微软雅黑"/>
        <family val="2"/>
        <charset val="134"/>
      </rPr>
      <t>Y</t>
    </r>
    <r>
      <rPr>
        <sz val="8"/>
        <color theme="1"/>
        <rFont val="微软雅黑"/>
        <family val="2"/>
        <charset val="134"/>
      </rPr>
      <t>6</t>
    </r>
    <phoneticPr fontId="23" type="noConversion"/>
  </si>
  <si>
    <t>每月回血2分</t>
    <phoneticPr fontId="23" type="noConversion"/>
  </si>
  <si>
    <t>每月回血2分</t>
    <phoneticPr fontId="23" type="noConversion"/>
  </si>
  <si>
    <t>衰减周期6个月，每月系数为                                                   1，0.8，0.5，0.3，0.2，0.2</t>
    <phoneticPr fontId="23" type="noConversion"/>
  </si>
  <si>
    <t>衰减周期6个月，每月系数1，1，1，0.8，0.4，0.2</t>
    <phoneticPr fontId="23" type="noConversion"/>
  </si>
  <si>
    <r>
      <t>S=X</t>
    </r>
    <r>
      <rPr>
        <sz val="8"/>
        <color theme="1"/>
        <rFont val="微软雅黑"/>
        <family val="2"/>
        <charset val="134"/>
      </rPr>
      <t>1</t>
    </r>
    <r>
      <rPr>
        <sz val="10"/>
        <color theme="1"/>
        <rFont val="微软雅黑"/>
        <family val="2"/>
        <charset val="134"/>
      </rPr>
      <t>w</t>
    </r>
    <r>
      <rPr>
        <sz val="8"/>
        <color theme="1"/>
        <rFont val="微软雅黑"/>
        <family val="2"/>
        <charset val="134"/>
      </rPr>
      <t>1</t>
    </r>
    <r>
      <rPr>
        <sz val="10"/>
        <color theme="1"/>
        <rFont val="微软雅黑"/>
        <family val="2"/>
        <charset val="134"/>
      </rPr>
      <t>+X</t>
    </r>
    <r>
      <rPr>
        <sz val="8"/>
        <color theme="1"/>
        <rFont val="微软雅黑"/>
        <family val="2"/>
        <charset val="134"/>
      </rPr>
      <t>2</t>
    </r>
    <r>
      <rPr>
        <sz val="10"/>
        <color theme="1"/>
        <rFont val="微软雅黑"/>
        <family val="2"/>
        <charset val="134"/>
      </rPr>
      <t>w</t>
    </r>
    <r>
      <rPr>
        <sz val="8"/>
        <color theme="1"/>
        <rFont val="微软雅黑"/>
        <family val="2"/>
        <charset val="134"/>
      </rPr>
      <t>2</t>
    </r>
    <r>
      <rPr>
        <sz val="10"/>
        <color theme="1"/>
        <rFont val="微软雅黑"/>
        <family val="2"/>
        <charset val="134"/>
      </rPr>
      <t>+...+X</t>
    </r>
    <r>
      <rPr>
        <sz val="8"/>
        <color theme="1"/>
        <rFont val="微软雅黑"/>
        <family val="2"/>
        <charset val="134"/>
      </rPr>
      <t>6</t>
    </r>
    <r>
      <rPr>
        <sz val="10"/>
        <color theme="1"/>
        <rFont val="微软雅黑"/>
        <family val="2"/>
        <charset val="134"/>
      </rPr>
      <t>w</t>
    </r>
    <r>
      <rPr>
        <sz val="8"/>
        <color theme="1"/>
        <rFont val="微软雅黑"/>
        <family val="2"/>
        <charset val="134"/>
      </rPr>
      <t>6</t>
    </r>
    <phoneticPr fontId="23" type="noConversion"/>
  </si>
  <si>
    <t>衰减周期6个月，每月系数1，0.8，0.5，0.2，0.1，0.1</t>
    <phoneticPr fontId="23" type="noConversion"/>
  </si>
  <si>
    <t>衰减周期6个月，每月系数1，0.8，0.5，0.2，0.1，0.1。最高得30分</t>
    <phoneticPr fontId="23" type="noConversion"/>
  </si>
  <si>
    <t>以每月渗透量计分，每个渗透计3分，每月最高9分
稽查到违规分值清0</t>
    <phoneticPr fontId="23" type="noConversion"/>
  </si>
  <si>
    <t>按400接听率分区间计分（400接听量/400来电量），
初始排名统计近6个月数据</t>
    <phoneticPr fontId="23" type="noConversion"/>
  </si>
  <si>
    <t>按爱聊1分钟回复率分区间计分（爱聊一分钟回复数/总量）
初始排名统计近6个月数据</t>
    <phoneticPr fontId="23" type="noConversion"/>
  </si>
  <si>
    <t xml:space="preserve">
</t>
    <phoneticPr fontId="23" type="noConversion"/>
  </si>
  <si>
    <t>按爱聊三日复聊率分区间计分（三日复聊数/(爱聊线索量-录入量）
初始排名统计近6个月数据）</t>
    <phoneticPr fontId="23" type="noConversion"/>
  </si>
  <si>
    <t>按爱聊线索转录入率分区间计分（爱聊线索转录入数/爱聊线索量）
初始排名统计近6个月数据</t>
    <phoneticPr fontId="23" type="noConversion"/>
  </si>
  <si>
    <t>衰减周期6个月，每月系数1，0.8，0.5，0.2，0.1，0.1</t>
    <phoneticPr fontId="23" type="noConversion"/>
  </si>
  <si>
    <t>近6个月滚动累计</t>
    <phoneticPr fontId="23" type="noConversion"/>
  </si>
  <si>
    <t>首看客户</t>
    <phoneticPr fontId="23" type="noConversion"/>
  </si>
  <si>
    <t>总带看客户组数</t>
    <phoneticPr fontId="23" type="noConversion"/>
  </si>
  <si>
    <t>房源新增</t>
    <phoneticPr fontId="23" type="noConversion"/>
  </si>
  <si>
    <t>认证委托</t>
    <phoneticPr fontId="23" type="noConversion"/>
  </si>
  <si>
    <t>收钥匙</t>
    <phoneticPr fontId="23" type="noConversion"/>
  </si>
  <si>
    <t>成交单数、金额</t>
    <phoneticPr fontId="23" type="noConversion"/>
  </si>
  <si>
    <t>成交量</t>
    <phoneticPr fontId="23" type="noConversion"/>
  </si>
  <si>
    <t>收出房量</t>
    <phoneticPr fontId="23" type="noConversion"/>
  </si>
  <si>
    <t>房管收房</t>
    <phoneticPr fontId="23" type="noConversion"/>
  </si>
  <si>
    <t>在管量</t>
    <phoneticPr fontId="23" type="noConversion"/>
  </si>
  <si>
    <t>委托续签量</t>
    <phoneticPr fontId="23" type="noConversion"/>
  </si>
  <si>
    <t>新增客户</t>
    <phoneticPr fontId="23" type="noConversion"/>
  </si>
  <si>
    <t>房源新增</t>
    <phoneticPr fontId="23" type="noConversion"/>
  </si>
  <si>
    <t>普租实勘</t>
    <phoneticPr fontId="23" type="noConversion"/>
  </si>
  <si>
    <t>按在岗时间</t>
    <phoneticPr fontId="23" type="noConversion"/>
  </si>
  <si>
    <t>在岗时间（月）</t>
    <phoneticPr fontId="23" type="noConversion"/>
  </si>
  <si>
    <t>近6个月滚动累计</t>
    <phoneticPr fontId="23" type="noConversion"/>
  </si>
  <si>
    <t>近6个月滚动累计</t>
    <phoneticPr fontId="23" type="noConversion"/>
  </si>
  <si>
    <t>月二手成交单计分  佣金（折算5万/单，取整，不四舍五入）与单数可取就高  每单计6分</t>
    <phoneticPr fontId="23" type="noConversion"/>
  </si>
  <si>
    <t>按月成交一手单数计分 每单8分</t>
    <phoneticPr fontId="23" type="noConversion"/>
  </si>
  <si>
    <t>按月新收速销单数计分 每单6分</t>
    <phoneticPr fontId="23" type="noConversion"/>
  </si>
  <si>
    <t>按达绩效折扣达标单数计分，达标 每单6分 不达标则不计分</t>
    <phoneticPr fontId="23" type="noConversion"/>
  </si>
  <si>
    <t>按成交量计分 买卖按一单（含一手单）0.5分 租赁每单0.1分（包括新出+续出+普租）租赁一手单每单0.5分</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</si>
</sst>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_);[Red]\(0\)"/>
    <numFmt numFmtId="177" formatCode="0.0"/>
    <numFmt numFmtId="178" formatCode="0.0_);[Red]\(0.0\)"/>
    <numFmt numFmtId="179" formatCode="0.0%"/>
    <numFmt numFmtId="180" formatCode="0.0_ "/>
  </numFmts>
  <fonts count="35" x14ac:knownFonts="1">
    <font>
      <sz val="11"/>
      <color theme="1"/>
      <name val="等线"/>
      <charset val="134"/>
      <scheme val="minor"/>
    </font>
    <font>
      <sz val="10"/>
      <color theme="1"/>
      <name val="等线"/>
      <family val="3"/>
      <charset val="134"/>
      <scheme val="minor"/>
    </font>
    <font>
      <b/>
      <sz val="12"/>
      <color theme="1"/>
      <name val="等线"/>
      <family val="3"/>
      <charset val="134"/>
      <scheme val="minor"/>
    </font>
    <font>
      <b/>
      <sz val="10"/>
      <color theme="1"/>
      <name val="等线"/>
      <family val="3"/>
      <charset val="134"/>
      <scheme val="minor"/>
    </font>
    <font>
      <sz val="10"/>
      <color rgb="FFFF0000"/>
      <name val="微软雅黑"/>
      <family val="2"/>
      <charset val="134"/>
    </font>
    <font>
      <sz val="10"/>
      <color theme="1"/>
      <name val="微软雅黑"/>
      <family val="2"/>
      <charset val="134"/>
    </font>
    <font>
      <sz val="10"/>
      <name val="微软雅黑"/>
      <family val="2"/>
      <charset val="134"/>
    </font>
    <font>
      <sz val="11"/>
      <color theme="1"/>
      <name val="宋体"/>
      <family val="3"/>
      <charset val="134"/>
    </font>
    <font>
      <b/>
      <sz val="10"/>
      <color theme="1"/>
      <name val="微软雅黑"/>
      <family val="2"/>
      <charset val="134"/>
    </font>
    <font>
      <sz val="11"/>
      <color theme="1"/>
      <name val="微软雅黑"/>
      <family val="2"/>
      <charset val="134"/>
    </font>
    <font>
      <sz val="11"/>
      <color rgb="FFFF0000"/>
      <name val="宋体"/>
      <family val="3"/>
      <charset val="134"/>
    </font>
    <font>
      <sz val="10"/>
      <color rgb="FFC00000"/>
      <name val="微软雅黑"/>
      <family val="2"/>
      <charset val="134"/>
    </font>
    <font>
      <sz val="11"/>
      <name val="宋体"/>
      <family val="3"/>
      <charset val="134"/>
    </font>
    <font>
      <sz val="11"/>
      <color rgb="FFFF0000"/>
      <name val="微软雅黑"/>
      <family val="2"/>
      <charset val="134"/>
    </font>
    <font>
      <sz val="10"/>
      <color rgb="FFFF0000"/>
      <name val="等线"/>
      <family val="3"/>
      <charset val="134"/>
      <scheme val="minor"/>
    </font>
    <font>
      <b/>
      <sz val="11"/>
      <color theme="1"/>
      <name val="等线"/>
      <family val="3"/>
      <charset val="134"/>
      <scheme val="minor"/>
    </font>
    <font>
      <b/>
      <sz val="11"/>
      <color theme="1" tint="0.1498764000366222"/>
      <name val="Arial"/>
      <family val="2"/>
    </font>
    <font>
      <b/>
      <sz val="11"/>
      <color theme="1" tint="0.1498764000366222"/>
      <name val="宋体"/>
      <family val="3"/>
      <charset val="134"/>
    </font>
    <font>
      <sz val="11"/>
      <color theme="1" tint="0.1498764000366222"/>
      <name val="宋体"/>
      <family val="3"/>
      <charset val="134"/>
    </font>
    <font>
      <sz val="11"/>
      <color theme="1" tint="0.1498764000366222"/>
      <name val="Arial"/>
      <family val="2"/>
    </font>
    <font>
      <sz val="11"/>
      <color theme="1" tint="0.1498764000366222"/>
      <name val="Verdana"/>
      <family val="2"/>
    </font>
    <font>
      <sz val="11"/>
      <color rgb="FF000000"/>
      <name val="宋体"/>
      <family val="3"/>
      <charset val="134"/>
    </font>
    <font>
      <sz val="10"/>
      <color theme="1"/>
      <name val="宋体"/>
      <family val="3"/>
      <charset val="134"/>
    </font>
    <font>
      <sz val="9"/>
      <name val="等线"/>
      <family val="3"/>
      <charset val="134"/>
      <scheme val="minor"/>
    </font>
    <font>
      <sz val="10"/>
      <color rgb="FFFF0000"/>
      <name val="微软雅黑"/>
      <family val="2"/>
      <charset val="134"/>
    </font>
    <font>
      <sz val="10"/>
      <color theme="1"/>
      <name val="微软雅黑"/>
      <family val="2"/>
      <charset val="134"/>
    </font>
    <font>
      <sz val="10"/>
      <color theme="1"/>
      <name val="等线"/>
      <family val="3"/>
      <charset val="134"/>
      <scheme val="minor"/>
    </font>
    <font>
      <b/>
      <sz val="10"/>
      <color theme="1"/>
      <name val="微软雅黑"/>
      <family val="2"/>
      <charset val="134"/>
    </font>
    <font>
      <sz val="10"/>
      <name val="微软雅黑"/>
      <family val="2"/>
      <charset val="134"/>
    </font>
    <font>
      <sz val="10"/>
      <color theme="1" tint="0.14990691854609822"/>
      <name val="微软雅黑"/>
      <family val="2"/>
      <charset val="134"/>
    </font>
    <font>
      <sz val="11"/>
      <color theme="1" tint="0.1498764000366222"/>
      <name val="宋体"/>
      <family val="3"/>
      <charset val="134"/>
    </font>
    <font>
      <sz val="11"/>
      <color theme="1"/>
      <name val="等线"/>
      <family val="3"/>
      <charset val="134"/>
      <scheme val="minor"/>
    </font>
    <font>
      <b/>
      <sz val="14"/>
      <color theme="1"/>
      <name val="等线"/>
      <family val="3"/>
      <charset val="134"/>
      <scheme val="minor"/>
    </font>
    <font>
      <b/>
      <sz val="8"/>
      <color theme="1"/>
      <name val="微软雅黑"/>
      <family val="2"/>
      <charset val="134"/>
    </font>
    <font>
      <sz val="8"/>
      <color theme="1"/>
      <name val="微软雅黑"/>
      <family val="2"/>
      <charset val="134"/>
    </font>
  </fonts>
  <fills count="2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79992065187536243"/>
        <bgColor indexed="64"/>
      </patternFill>
    </fill>
    <fill>
      <patternFill patternType="solid">
        <fgColor rgb="FFFFC000"/>
        <bgColor indexed="64"/>
      </patternFill>
    </fill>
    <fill>
      <patternFill patternType="solid">
        <fgColor theme="7" tint="-0.249977111117893"/>
        <bgColor indexed="64"/>
      </patternFill>
    </fill>
    <fill>
      <patternFill patternType="solid">
        <fgColor theme="5" tint="0.39994506668294322"/>
        <bgColor indexed="64"/>
      </patternFill>
    </fill>
    <fill>
      <patternFill patternType="solid">
        <fgColor theme="8" tint="0.59999389629810485"/>
        <bgColor indexed="64"/>
      </patternFill>
    </fill>
    <fill>
      <patternFill patternType="solid">
        <fgColor theme="6"/>
        <bgColor indexed="64"/>
      </patternFill>
    </fill>
    <fill>
      <patternFill patternType="solid">
        <fgColor theme="4"/>
        <bgColor indexed="64"/>
      </patternFill>
    </fill>
    <fill>
      <patternFill patternType="solid">
        <fgColor rgb="FFFFFF00"/>
        <bgColor indexed="64"/>
      </patternFill>
    </fill>
    <fill>
      <patternFill patternType="solid">
        <fgColor theme="0" tint="-0.14996795556505021"/>
        <bgColor indexed="64"/>
      </patternFill>
    </fill>
    <fill>
      <patternFill patternType="solid">
        <fgColor theme="4" tint="0.39994506668294322"/>
        <bgColor indexed="64"/>
      </patternFill>
    </fill>
    <fill>
      <patternFill patternType="solid">
        <fgColor theme="5" tint="0.59999389629810485"/>
        <bgColor indexed="64"/>
      </patternFill>
    </fill>
    <fill>
      <patternFill patternType="solid">
        <fgColor rgb="FFFF0000"/>
        <bgColor indexed="64"/>
      </patternFill>
    </fill>
    <fill>
      <patternFill patternType="solid">
        <fgColor theme="6"/>
        <bgColor indexed="64"/>
      </patternFill>
    </fill>
    <fill>
      <patternFill patternType="solid">
        <fgColor theme="4"/>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8" tint="0.39997558519241921"/>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right style="thin">
        <color auto="1"/>
      </right>
      <top style="thin">
        <color auto="1"/>
      </top>
      <bottom style="thin">
        <color auto="1"/>
      </bottom>
      <diagonal/>
    </border>
  </borders>
  <cellStyleXfs count="1">
    <xf numFmtId="0" fontId="0" fillId="0" borderId="0"/>
  </cellStyleXfs>
  <cellXfs count="651">
    <xf numFmtId="0" fontId="0" fillId="0" borderId="0" xfId="0"/>
    <xf numFmtId="0" fontId="1" fillId="0" borderId="0" xfId="0" applyFont="1"/>
    <xf numFmtId="0" fontId="1" fillId="0" borderId="0" xfId="0" applyFont="1" applyAlignment="1">
      <alignment horizontal="center" vertical="center"/>
    </xf>
    <xf numFmtId="0" fontId="1" fillId="2" borderId="0" xfId="0" applyFont="1" applyFill="1"/>
    <xf numFmtId="0" fontId="1" fillId="0" borderId="0" xfId="0" applyFont="1" applyAlignment="1">
      <alignment horizontal="center" vertical="center" wrapText="1"/>
    </xf>
    <xf numFmtId="0" fontId="1" fillId="0" borderId="0" xfId="0" applyFont="1" applyFill="1" applyAlignment="1">
      <alignment horizontal="center" vertical="center" wrapText="1"/>
    </xf>
    <xf numFmtId="0" fontId="3" fillId="0" borderId="0" xfId="0" applyFont="1" applyFill="1" applyBorder="1" applyAlignment="1">
      <alignment horizontal="center" vertical="center"/>
    </xf>
    <xf numFmtId="0" fontId="4" fillId="0" borderId="1" xfId="0" applyFont="1" applyBorder="1" applyAlignment="1">
      <alignment horizontal="center" vertical="center" wrapText="1" readingOrder="1"/>
    </xf>
    <xf numFmtId="0" fontId="4" fillId="0" borderId="1" xfId="0" applyFont="1" applyBorder="1" applyAlignment="1">
      <alignment horizontal="center" vertical="center" wrapText="1"/>
    </xf>
    <xf numFmtId="0" fontId="4" fillId="0" borderId="1" xfId="0" applyNumberFormat="1" applyFont="1" applyBorder="1" applyAlignment="1">
      <alignment horizontal="center" vertical="center" wrapText="1"/>
    </xf>
    <xf numFmtId="0" fontId="5" fillId="0" borderId="4" xfId="0" applyFont="1" applyBorder="1" applyAlignment="1">
      <alignment horizontal="center" vertical="center"/>
    </xf>
    <xf numFmtId="0" fontId="4" fillId="3" borderId="1" xfId="0" applyFont="1" applyFill="1" applyBorder="1" applyAlignment="1">
      <alignment horizontal="center" vertical="center" wrapText="1" readingOrder="1"/>
    </xf>
    <xf numFmtId="0" fontId="5" fillId="0" borderId="6" xfId="0" applyFont="1" applyBorder="1" applyAlignment="1">
      <alignment horizontal="center" vertical="center"/>
    </xf>
    <xf numFmtId="0" fontId="5" fillId="3" borderId="1" xfId="0" applyFont="1" applyFill="1" applyBorder="1" applyAlignment="1">
      <alignment horizontal="center" vertical="center"/>
    </xf>
    <xf numFmtId="0" fontId="5" fillId="0" borderId="1" xfId="0" applyFont="1" applyBorder="1" applyAlignment="1">
      <alignment horizontal="center" vertical="center"/>
    </xf>
    <xf numFmtId="0" fontId="7" fillId="0" borderId="9" xfId="0"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8" fillId="0" borderId="4"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1" fillId="7" borderId="0" xfId="0" applyFont="1" applyFill="1" applyAlignment="1">
      <alignment horizontal="center" vertical="center"/>
    </xf>
    <xf numFmtId="0" fontId="5" fillId="3" borderId="4" xfId="0" applyFont="1" applyFill="1" applyBorder="1" applyAlignment="1">
      <alignment horizontal="center" vertical="center" wrapText="1"/>
    </xf>
    <xf numFmtId="176" fontId="1" fillId="7" borderId="0" xfId="0" applyNumberFormat="1" applyFont="1" applyFill="1" applyAlignment="1">
      <alignment horizontal="center" vertical="center"/>
    </xf>
    <xf numFmtId="0" fontId="5" fillId="4" borderId="4" xfId="0" applyFont="1" applyFill="1" applyBorder="1" applyAlignment="1">
      <alignment horizontal="center" vertical="center" wrapText="1"/>
    </xf>
    <xf numFmtId="0" fontId="5" fillId="0" borderId="9" xfId="0" applyFont="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9" fillId="0" borderId="9" xfId="0" applyFont="1" applyBorder="1" applyAlignment="1">
      <alignment horizontal="center" vertical="center"/>
    </xf>
    <xf numFmtId="0" fontId="4" fillId="0" borderId="1" xfId="0" applyFont="1" applyBorder="1" applyAlignment="1">
      <alignment horizontal="center" vertical="center"/>
    </xf>
    <xf numFmtId="0" fontId="10" fillId="0" borderId="9" xfId="0" applyFont="1" applyBorder="1" applyAlignment="1">
      <alignment horizontal="center" vertical="center"/>
    </xf>
    <xf numFmtId="0" fontId="5" fillId="0"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4" fillId="0" borderId="9" xfId="0" applyFont="1" applyBorder="1" applyAlignment="1">
      <alignment horizontal="center" vertical="center"/>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1" fontId="1" fillId="0" borderId="0" xfId="0" applyNumberFormat="1" applyFont="1" applyFill="1" applyAlignment="1">
      <alignment horizontal="center" vertical="center" wrapText="1"/>
    </xf>
    <xf numFmtId="0" fontId="8" fillId="0" borderId="1" xfId="0" applyFont="1" applyBorder="1" applyAlignment="1">
      <alignment horizontal="center" vertical="center" wrapText="1" readingOrder="1"/>
    </xf>
    <xf numFmtId="0" fontId="8" fillId="0" borderId="1" xfId="0" applyFont="1" applyBorder="1" applyAlignment="1">
      <alignment horizontal="center" vertical="center" wrapText="1"/>
    </xf>
    <xf numFmtId="0" fontId="5" fillId="0" borderId="1" xfId="0" applyFont="1" applyBorder="1" applyAlignment="1">
      <alignment horizontal="center" vertical="center" wrapText="1" readingOrder="1"/>
    </xf>
    <xf numFmtId="0" fontId="5" fillId="0" borderId="1" xfId="0" applyNumberFormat="1" applyFont="1" applyBorder="1" applyAlignment="1">
      <alignment horizontal="center" vertical="center" wrapText="1"/>
    </xf>
    <xf numFmtId="0" fontId="11" fillId="0" borderId="1" xfId="0" applyNumberFormat="1" applyFont="1" applyBorder="1" applyAlignment="1">
      <alignment horizontal="center" vertical="center" wrapText="1"/>
    </xf>
    <xf numFmtId="0" fontId="5" fillId="0" borderId="4" xfId="0" applyFont="1" applyBorder="1" applyAlignment="1">
      <alignment horizontal="center" vertical="center" wrapText="1" readingOrder="1"/>
    </xf>
    <xf numFmtId="0" fontId="5" fillId="3" borderId="1" xfId="0" applyFont="1" applyFill="1" applyBorder="1" applyAlignment="1">
      <alignment horizontal="center" vertical="center" wrapText="1" readingOrder="1"/>
    </xf>
    <xf numFmtId="0" fontId="5" fillId="3" borderId="1" xfId="0" applyNumberFormat="1" applyFont="1" applyFill="1" applyBorder="1" applyAlignment="1">
      <alignment horizontal="center" vertical="center" wrapText="1"/>
    </xf>
    <xf numFmtId="0" fontId="5" fillId="0" borderId="6" xfId="0" applyFont="1" applyBorder="1" applyAlignment="1">
      <alignment horizontal="center" vertical="center" wrapText="1" readingOrder="1"/>
    </xf>
    <xf numFmtId="0" fontId="5" fillId="3" borderId="7" xfId="0" applyFont="1" applyFill="1" applyBorder="1" applyAlignment="1">
      <alignment horizontal="center" vertical="center" wrapText="1" readingOrder="1"/>
    </xf>
    <xf numFmtId="0" fontId="5" fillId="6" borderId="4" xfId="0" applyFont="1" applyFill="1" applyBorder="1" applyAlignment="1">
      <alignment horizontal="center" vertical="center" wrapText="1"/>
    </xf>
    <xf numFmtId="0" fontId="5" fillId="0" borderId="1" xfId="0" applyFont="1" applyFill="1" applyBorder="1" applyAlignment="1">
      <alignment horizontal="center" vertical="center" wrapText="1" readingOrder="1"/>
    </xf>
    <xf numFmtId="49" fontId="5" fillId="0" borderId="1" xfId="0" applyNumberFormat="1" applyFont="1" applyBorder="1" applyAlignment="1">
      <alignment horizontal="center" vertical="center" wrapText="1" readingOrder="1"/>
    </xf>
    <xf numFmtId="0" fontId="5" fillId="0" borderId="1" xfId="0" applyFont="1" applyFill="1" applyBorder="1" applyAlignment="1">
      <alignment horizontal="center" vertical="center" wrapText="1"/>
    </xf>
    <xf numFmtId="176" fontId="5" fillId="0" borderId="1" xfId="0" applyNumberFormat="1" applyFont="1" applyBorder="1" applyAlignment="1">
      <alignment horizontal="center" vertical="center" wrapText="1"/>
    </xf>
    <xf numFmtId="0" fontId="5" fillId="0" borderId="1" xfId="0" applyFont="1" applyBorder="1" applyAlignment="1">
      <alignment vertical="center" wrapText="1" readingOrder="1"/>
    </xf>
    <xf numFmtId="0" fontId="5" fillId="3" borderId="4" xfId="0" applyFont="1" applyFill="1" applyBorder="1" applyAlignment="1">
      <alignment horizontal="center" vertical="center" wrapText="1" readingOrder="1"/>
    </xf>
    <xf numFmtId="0" fontId="5" fillId="3" borderId="1" xfId="0" applyFont="1" applyFill="1" applyBorder="1" applyAlignment="1">
      <alignment horizontal="center" vertical="center" wrapText="1"/>
    </xf>
    <xf numFmtId="0" fontId="5" fillId="12" borderId="1" xfId="0" applyFont="1" applyFill="1" applyBorder="1" applyAlignment="1">
      <alignment horizontal="center" vertical="center" wrapText="1" readingOrder="1"/>
    </xf>
    <xf numFmtId="0" fontId="5" fillId="3" borderId="1" xfId="0" applyFont="1" applyFill="1" applyBorder="1" applyAlignment="1">
      <alignment vertical="center" wrapText="1" readingOrder="1"/>
    </xf>
    <xf numFmtId="0" fontId="5" fillId="3" borderId="4" xfId="0" applyFont="1" applyFill="1" applyBorder="1" applyAlignment="1">
      <alignment vertical="center" wrapText="1" readingOrder="1"/>
    </xf>
    <xf numFmtId="0" fontId="4" fillId="3" borderId="1" xfId="0" applyFont="1" applyFill="1" applyBorder="1" applyAlignment="1">
      <alignment horizontal="center" vertical="center" wrapText="1"/>
    </xf>
    <xf numFmtId="177" fontId="1" fillId="7" borderId="0" xfId="0" applyNumberFormat="1" applyFont="1" applyFill="1"/>
    <xf numFmtId="0" fontId="1" fillId="0" borderId="0" xfId="0" applyFont="1" applyFill="1" applyAlignment="1">
      <alignment horizontal="center" vertical="center"/>
    </xf>
    <xf numFmtId="0" fontId="4" fillId="0" borderId="1" xfId="0"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readingOrder="1"/>
    </xf>
    <xf numFmtId="0" fontId="13" fillId="0" borderId="9" xfId="0" applyFont="1" applyBorder="1" applyAlignment="1">
      <alignment horizontal="center" vertical="center"/>
    </xf>
    <xf numFmtId="0" fontId="10" fillId="11" borderId="9" xfId="0" applyFont="1" applyFill="1" applyBorder="1" applyAlignment="1">
      <alignment horizontal="center" vertical="center"/>
    </xf>
    <xf numFmtId="0" fontId="13" fillId="11" borderId="9" xfId="0" applyFont="1" applyFill="1" applyBorder="1" applyAlignment="1">
      <alignment horizontal="center" vertical="center"/>
    </xf>
    <xf numFmtId="0" fontId="8" fillId="0" borderId="4" xfId="0" applyFont="1" applyBorder="1" applyAlignment="1">
      <alignment horizontal="center" vertical="center" wrapText="1" readingOrder="1"/>
    </xf>
    <xf numFmtId="0" fontId="8" fillId="0" borderId="7" xfId="0" applyFont="1" applyBorder="1" applyAlignment="1">
      <alignment horizontal="center" vertical="center" wrapText="1" readingOrder="1"/>
    </xf>
    <xf numFmtId="0" fontId="5" fillId="0" borderId="0" xfId="0" applyFont="1" applyAlignment="1">
      <alignment horizontal="center" vertical="center"/>
    </xf>
    <xf numFmtId="0" fontId="5" fillId="0" borderId="10" xfId="0" applyFont="1" applyBorder="1" applyAlignment="1">
      <alignment vertical="center"/>
    </xf>
    <xf numFmtId="0" fontId="5" fillId="0" borderId="4" xfId="0" applyFont="1" applyBorder="1" applyAlignment="1">
      <alignment vertical="center" wrapText="1"/>
    </xf>
    <xf numFmtId="0" fontId="5" fillId="0" borderId="7" xfId="0" applyFont="1" applyBorder="1" applyAlignment="1">
      <alignment vertical="center"/>
    </xf>
    <xf numFmtId="176" fontId="1" fillId="0" borderId="0" xfId="0" applyNumberFormat="1" applyFont="1" applyFill="1" applyAlignment="1">
      <alignment horizontal="center" vertical="center"/>
    </xf>
    <xf numFmtId="0" fontId="4" fillId="0" borderId="4" xfId="0" applyFont="1" applyBorder="1" applyAlignment="1">
      <alignment horizontal="center" vertical="center"/>
    </xf>
    <xf numFmtId="178" fontId="1" fillId="0" borderId="0" xfId="0" applyNumberFormat="1" applyFont="1" applyFill="1" applyAlignment="1">
      <alignment horizontal="center" vertical="center"/>
    </xf>
    <xf numFmtId="0" fontId="4" fillId="11" borderId="9" xfId="0" applyFont="1" applyFill="1" applyBorder="1" applyAlignment="1">
      <alignment horizontal="center" vertical="center"/>
    </xf>
    <xf numFmtId="9" fontId="1" fillId="11" borderId="0" xfId="0" applyNumberFormat="1" applyFont="1" applyFill="1" applyAlignment="1">
      <alignment horizontal="center" vertical="center"/>
    </xf>
    <xf numFmtId="176" fontId="4" fillId="0" borderId="1" xfId="0" applyNumberFormat="1" applyFont="1" applyBorder="1" applyAlignment="1">
      <alignment horizontal="center" vertical="center" wrapText="1"/>
    </xf>
    <xf numFmtId="176" fontId="5" fillId="3" borderId="1" xfId="0" applyNumberFormat="1" applyFont="1" applyFill="1" applyBorder="1" applyAlignment="1">
      <alignment horizontal="center" vertical="center" wrapText="1"/>
    </xf>
    <xf numFmtId="0" fontId="4" fillId="0" borderId="1" xfId="0" applyFont="1" applyBorder="1" applyAlignment="1">
      <alignment horizontal="left" vertical="center" wrapText="1"/>
    </xf>
    <xf numFmtId="176" fontId="4" fillId="3" borderId="1" xfId="0" applyNumberFormat="1" applyFont="1" applyFill="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readingOrder="1"/>
    </xf>
    <xf numFmtId="0" fontId="1" fillId="11" borderId="0" xfId="0" applyFont="1" applyFill="1" applyAlignment="1">
      <alignment horizontal="center" vertical="center"/>
    </xf>
    <xf numFmtId="0" fontId="1" fillId="15" borderId="0" xfId="0" applyFont="1" applyFill="1" applyAlignment="1">
      <alignment horizontal="center" vertical="center"/>
    </xf>
    <xf numFmtId="9" fontId="1" fillId="15" borderId="0" xfId="0" applyNumberFormat="1" applyFont="1" applyFill="1" applyAlignment="1">
      <alignment horizontal="center" vertical="center"/>
    </xf>
    <xf numFmtId="178" fontId="1" fillId="15" borderId="0" xfId="0" applyNumberFormat="1" applyFont="1" applyFill="1" applyAlignment="1">
      <alignment horizontal="center" vertical="center"/>
    </xf>
    <xf numFmtId="0" fontId="1" fillId="3" borderId="0" xfId="0" applyFont="1" applyFill="1" applyAlignment="1">
      <alignment horizontal="center" vertical="center"/>
    </xf>
    <xf numFmtId="9" fontId="1" fillId="3" borderId="0" xfId="0" applyNumberFormat="1" applyFont="1" applyFill="1" applyAlignment="1">
      <alignment horizontal="center" vertical="center"/>
    </xf>
    <xf numFmtId="0" fontId="5" fillId="0" borderId="6" xfId="0" applyFont="1" applyBorder="1" applyAlignment="1">
      <alignment vertical="center" wrapText="1"/>
    </xf>
    <xf numFmtId="0" fontId="5" fillId="0" borderId="7" xfId="0" applyFont="1" applyBorder="1" applyAlignment="1">
      <alignment vertical="center" wrapText="1"/>
    </xf>
    <xf numFmtId="0" fontId="5" fillId="2" borderId="6" xfId="0" applyFont="1" applyFill="1" applyBorder="1" applyAlignment="1">
      <alignment vertical="center" wrapText="1"/>
    </xf>
    <xf numFmtId="0" fontId="5" fillId="0" borderId="1" xfId="0" applyFont="1" applyBorder="1"/>
    <xf numFmtId="0" fontId="1" fillId="0" borderId="0" xfId="0" applyFont="1" applyFill="1"/>
    <xf numFmtId="0" fontId="5" fillId="3" borderId="1" xfId="0" applyFont="1" applyFill="1" applyBorder="1" applyAlignment="1">
      <alignment horizontal="left" vertical="center" wrapText="1"/>
    </xf>
    <xf numFmtId="0" fontId="5" fillId="2" borderId="1" xfId="0" applyFont="1" applyFill="1" applyBorder="1"/>
    <xf numFmtId="0" fontId="1" fillId="0" borderId="0" xfId="0" applyFont="1" applyFill="1" applyAlignment="1">
      <alignment vertical="center"/>
    </xf>
    <xf numFmtId="0" fontId="4" fillId="0" borderId="4" xfId="0" applyFont="1" applyBorder="1" applyAlignment="1">
      <alignment vertical="center" wrapText="1"/>
    </xf>
    <xf numFmtId="0" fontId="4" fillId="0" borderId="7" xfId="0" applyFont="1" applyBorder="1" applyAlignment="1">
      <alignment vertical="center" wrapText="1"/>
    </xf>
    <xf numFmtId="177" fontId="1" fillId="0" borderId="0" xfId="0" applyNumberFormat="1" applyFont="1" applyFill="1"/>
    <xf numFmtId="0" fontId="0" fillId="0" borderId="0" xfId="0" applyFont="1"/>
    <xf numFmtId="0" fontId="0" fillId="2" borderId="0" xfId="0" applyFont="1" applyFill="1"/>
    <xf numFmtId="0" fontId="0" fillId="0" borderId="0" xfId="0" applyFont="1" applyAlignment="1">
      <alignment horizontal="center" vertical="center"/>
    </xf>
    <xf numFmtId="0" fontId="0" fillId="0" borderId="0" xfId="0" applyFont="1" applyAlignment="1">
      <alignment horizontal="center" vertical="center" wrapText="1"/>
    </xf>
    <xf numFmtId="0" fontId="15" fillId="0" borderId="0" xfId="0" applyFont="1" applyFill="1" applyBorder="1" applyAlignment="1">
      <alignment horizontal="center" vertical="center"/>
    </xf>
    <xf numFmtId="0" fontId="17" fillId="0" borderId="1" xfId="0" applyFont="1" applyBorder="1" applyAlignment="1">
      <alignment horizontal="center" vertical="center" wrapText="1"/>
    </xf>
    <xf numFmtId="0" fontId="17" fillId="0" borderId="1" xfId="0" applyFont="1" applyBorder="1" applyAlignment="1">
      <alignment horizontal="center" vertical="center" wrapText="1" readingOrder="1"/>
    </xf>
    <xf numFmtId="0" fontId="18" fillId="0" borderId="1" xfId="0" applyFont="1" applyBorder="1" applyAlignment="1">
      <alignment horizontal="center" vertical="center" wrapText="1" readingOrder="1"/>
    </xf>
    <xf numFmtId="0" fontId="18" fillId="0" borderId="1" xfId="0" applyFont="1" applyBorder="1" applyAlignment="1">
      <alignment horizontal="center" vertical="center"/>
    </xf>
    <xf numFmtId="0" fontId="18" fillId="0" borderId="6" xfId="0" applyFont="1" applyBorder="1" applyAlignment="1">
      <alignment horizontal="center" vertical="center" wrapText="1" readingOrder="1"/>
    </xf>
    <xf numFmtId="0" fontId="10" fillId="0" borderId="1" xfId="0" applyFont="1" applyBorder="1" applyAlignment="1">
      <alignment horizontal="center" vertical="center" wrapText="1" readingOrder="1"/>
    </xf>
    <xf numFmtId="0" fontId="10" fillId="0" borderId="1" xfId="0" applyFont="1" applyBorder="1" applyAlignment="1">
      <alignment horizontal="center" vertical="center" wrapText="1"/>
    </xf>
    <xf numFmtId="0" fontId="10" fillId="0" borderId="0" xfId="0" applyFont="1" applyAlignment="1">
      <alignment horizontal="center" vertical="center" wrapText="1"/>
    </xf>
    <xf numFmtId="0" fontId="18" fillId="0" borderId="1" xfId="0" applyFont="1" applyBorder="1" applyAlignment="1">
      <alignment horizontal="center" vertical="center" wrapText="1"/>
    </xf>
    <xf numFmtId="0" fontId="7" fillId="0" borderId="4" xfId="0" applyFont="1" applyBorder="1" applyAlignment="1">
      <alignment horizontal="center" vertical="center"/>
    </xf>
    <xf numFmtId="0" fontId="10" fillId="3" borderId="1" xfId="0" applyFont="1" applyFill="1" applyBorder="1" applyAlignment="1">
      <alignment horizontal="center" vertical="center" wrapText="1" readingOrder="1"/>
    </xf>
    <xf numFmtId="0" fontId="7" fillId="3" borderId="1" xfId="0" applyFont="1" applyFill="1" applyBorder="1" applyAlignment="1">
      <alignment horizontal="center" vertical="center"/>
    </xf>
    <xf numFmtId="0" fontId="18" fillId="3" borderId="1" xfId="0" applyFont="1" applyFill="1" applyBorder="1" applyAlignment="1">
      <alignment horizontal="center" vertical="center" wrapText="1" readingOrder="1"/>
    </xf>
    <xf numFmtId="0" fontId="10" fillId="3" borderId="1" xfId="0" applyFont="1" applyFill="1" applyBorder="1" applyAlignment="1">
      <alignment horizontal="center" vertical="center"/>
    </xf>
    <xf numFmtId="0" fontId="18" fillId="3" borderId="7" xfId="0" applyFont="1" applyFill="1" applyBorder="1" applyAlignment="1">
      <alignment horizontal="center" vertical="center" wrapText="1" readingOrder="1"/>
    </xf>
    <xf numFmtId="0" fontId="7" fillId="0" borderId="1" xfId="0" applyFont="1" applyBorder="1" applyAlignment="1">
      <alignment horizontal="center" vertical="center"/>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49" fontId="18" fillId="0" borderId="1" xfId="0" applyNumberFormat="1" applyFont="1" applyBorder="1" applyAlignment="1">
      <alignment horizontal="center" vertical="center" wrapText="1"/>
    </xf>
    <xf numFmtId="0" fontId="7" fillId="0" borderId="10" xfId="0" applyFont="1" applyBorder="1" applyAlignment="1">
      <alignment vertical="center"/>
    </xf>
    <xf numFmtId="0" fontId="7" fillId="0" borderId="6" xfId="0" applyFont="1" applyBorder="1" applyAlignment="1">
      <alignment vertical="center" wrapText="1"/>
    </xf>
    <xf numFmtId="0" fontId="7" fillId="0" borderId="4" xfId="0" applyFont="1" applyBorder="1" applyAlignment="1">
      <alignment vertical="center" wrapText="1"/>
    </xf>
    <xf numFmtId="0" fontId="7" fillId="0" borderId="7" xfId="0" applyFont="1" applyBorder="1" applyAlignment="1">
      <alignment vertical="center" wrapText="1"/>
    </xf>
    <xf numFmtId="0" fontId="7" fillId="0" borderId="7" xfId="0" applyFont="1" applyBorder="1" applyAlignment="1">
      <alignment vertical="center"/>
    </xf>
    <xf numFmtId="49" fontId="10"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12" fillId="0" borderId="1" xfId="0" applyFont="1" applyBorder="1" applyAlignment="1">
      <alignment horizontal="center" vertical="center" wrapText="1" readingOrder="1"/>
    </xf>
    <xf numFmtId="49" fontId="10" fillId="3" borderId="1" xfId="0" applyNumberFormat="1" applyFont="1" applyFill="1" applyBorder="1" applyAlignment="1">
      <alignment horizontal="center" vertical="center" wrapText="1"/>
    </xf>
    <xf numFmtId="49" fontId="12" fillId="3"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0" fillId="0" borderId="1" xfId="0" applyFont="1" applyBorder="1" applyAlignment="1">
      <alignment horizontal="center" vertical="center"/>
    </xf>
    <xf numFmtId="49" fontId="21" fillId="0" borderId="1" xfId="0" applyNumberFormat="1" applyFont="1" applyBorder="1" applyAlignment="1">
      <alignment horizontal="center" vertical="center" wrapText="1" readingOrder="1"/>
    </xf>
    <xf numFmtId="0" fontId="7" fillId="0" borderId="1" xfId="0" applyFont="1" applyFill="1" applyBorder="1" applyAlignment="1">
      <alignment horizontal="center" vertical="center"/>
    </xf>
    <xf numFmtId="0" fontId="18" fillId="0" borderId="1" xfId="0" applyFont="1" applyBorder="1" applyAlignment="1">
      <alignment vertical="center" wrapText="1" readingOrder="1"/>
    </xf>
    <xf numFmtId="0" fontId="18" fillId="0" borderId="4" xfId="0" applyFont="1" applyBorder="1" applyAlignment="1">
      <alignment vertical="center" wrapText="1" readingOrder="1"/>
    </xf>
    <xf numFmtId="176" fontId="19" fillId="0" borderId="1" xfId="0" applyNumberFormat="1" applyFont="1" applyBorder="1" applyAlignment="1">
      <alignment horizontal="center" vertical="center" wrapText="1"/>
    </xf>
    <xf numFmtId="0" fontId="18" fillId="3" borderId="4" xfId="0" applyFont="1" applyFill="1" applyBorder="1" applyAlignment="1">
      <alignment horizontal="center" vertical="center" wrapText="1" readingOrder="1"/>
    </xf>
    <xf numFmtId="0" fontId="18" fillId="2" borderId="1" xfId="0" applyFont="1" applyFill="1" applyBorder="1" applyAlignment="1">
      <alignment horizontal="center" vertical="center" wrapText="1" readingOrder="1"/>
    </xf>
    <xf numFmtId="176" fontId="19" fillId="2" borderId="1" xfId="0" applyNumberFormat="1" applyFont="1" applyFill="1" applyBorder="1" applyAlignment="1">
      <alignment horizontal="center" vertical="center" wrapText="1"/>
    </xf>
    <xf numFmtId="0" fontId="18" fillId="2" borderId="1" xfId="0" applyFont="1" applyFill="1" applyBorder="1" applyAlignment="1">
      <alignment horizontal="center" vertical="center" wrapText="1"/>
    </xf>
    <xf numFmtId="176" fontId="18" fillId="11" borderId="1" xfId="0" applyNumberFormat="1" applyFont="1" applyFill="1" applyBorder="1" applyAlignment="1">
      <alignment horizontal="center" vertical="center" wrapText="1"/>
    </xf>
    <xf numFmtId="176" fontId="18" fillId="0" borderId="1" xfId="0" applyNumberFormat="1" applyFont="1" applyBorder="1" applyAlignment="1">
      <alignment horizontal="center" vertical="center" wrapText="1"/>
    </xf>
    <xf numFmtId="0" fontId="22" fillId="0" borderId="1" xfId="0" applyFont="1" applyBorder="1" applyAlignment="1">
      <alignment horizontal="left" vertical="center" wrapText="1"/>
    </xf>
    <xf numFmtId="0" fontId="7" fillId="0" borderId="1" xfId="0" applyFont="1" applyBorder="1" applyAlignment="1">
      <alignment vertical="center" wrapText="1"/>
    </xf>
    <xf numFmtId="0" fontId="18" fillId="3" borderId="1" xfId="0" applyFont="1" applyFill="1" applyBorder="1" applyAlignment="1">
      <alignment vertical="center" wrapText="1" readingOrder="1"/>
    </xf>
    <xf numFmtId="0" fontId="18" fillId="3" borderId="4" xfId="0" applyFont="1" applyFill="1" applyBorder="1" applyAlignment="1">
      <alignment vertical="center" wrapText="1" readingOrder="1"/>
    </xf>
    <xf numFmtId="0" fontId="12"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0" fillId="0" borderId="6" xfId="0" applyFont="1" applyBorder="1" applyAlignment="1">
      <alignment vertical="center" wrapText="1"/>
    </xf>
    <xf numFmtId="0" fontId="21" fillId="0" borderId="1" xfId="0" applyFont="1" applyFill="1" applyBorder="1" applyAlignment="1">
      <alignment horizontal="center" vertical="center" wrapText="1"/>
    </xf>
    <xf numFmtId="0" fontId="0" fillId="0" borderId="7" xfId="0" applyFont="1" applyBorder="1" applyAlignment="1">
      <alignment vertical="center" wrapText="1"/>
    </xf>
    <xf numFmtId="0" fontId="7" fillId="2" borderId="6" xfId="0" applyFont="1" applyFill="1" applyBorder="1" applyAlignment="1">
      <alignment vertical="center" wrapText="1"/>
    </xf>
    <xf numFmtId="0" fontId="10" fillId="0" borderId="0" xfId="0" applyFont="1" applyAlignment="1">
      <alignment horizontal="left" vertical="center"/>
    </xf>
    <xf numFmtId="0" fontId="0" fillId="0" borderId="1" xfId="0" applyFont="1" applyBorder="1"/>
    <xf numFmtId="0" fontId="18" fillId="3"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22" fillId="2" borderId="1" xfId="0" applyFont="1" applyFill="1" applyBorder="1" applyAlignment="1">
      <alignment horizontal="left" vertical="center" wrapText="1"/>
    </xf>
    <xf numFmtId="0" fontId="0" fillId="2" borderId="1" xfId="0" applyFont="1" applyFill="1" applyBorder="1"/>
    <xf numFmtId="0" fontId="7" fillId="2" borderId="1" xfId="0" applyFont="1" applyFill="1" applyBorder="1" applyAlignment="1">
      <alignment horizontal="center" vertical="center" wrapText="1"/>
    </xf>
    <xf numFmtId="0" fontId="7" fillId="0" borderId="1" xfId="0" applyFont="1" applyBorder="1"/>
    <xf numFmtId="0" fontId="7" fillId="0" borderId="1" xfId="0" applyFont="1" applyBorder="1" applyAlignment="1">
      <alignment horizontal="left" vertical="center" wrapText="1"/>
    </xf>
    <xf numFmtId="0" fontId="18" fillId="3" borderId="4" xfId="0" applyFont="1" applyFill="1" applyBorder="1" applyAlignment="1">
      <alignment horizontal="center" vertical="center" wrapText="1"/>
    </xf>
    <xf numFmtId="0" fontId="24" fillId="0" borderId="1" xfId="0" applyNumberFormat="1" applyFont="1" applyFill="1" applyBorder="1" applyAlignment="1">
      <alignment horizontal="center" vertical="center" wrapText="1"/>
    </xf>
    <xf numFmtId="0" fontId="10" fillId="0" borderId="5" xfId="0" applyFont="1" applyBorder="1" applyAlignment="1">
      <alignment horizontal="center" vertical="center"/>
    </xf>
    <xf numFmtId="0" fontId="13" fillId="0" borderId="5" xfId="0" applyFont="1" applyBorder="1" applyAlignment="1">
      <alignment horizontal="center" vertical="center"/>
    </xf>
    <xf numFmtId="0" fontId="4" fillId="11" borderId="2" xfId="0" applyFont="1" applyFill="1" applyBorder="1" applyAlignment="1">
      <alignment horizontal="center" vertical="center"/>
    </xf>
    <xf numFmtId="0" fontId="4" fillId="11" borderId="5" xfId="0" applyFont="1" applyFill="1" applyBorder="1" applyAlignment="1">
      <alignment horizontal="center" vertical="center"/>
    </xf>
    <xf numFmtId="0" fontId="4" fillId="0" borderId="5" xfId="0" applyFont="1" applyBorder="1" applyAlignment="1">
      <alignment horizontal="center" vertical="center"/>
    </xf>
    <xf numFmtId="0" fontId="13" fillId="11" borderId="3" xfId="0" applyFont="1" applyFill="1" applyBorder="1" applyAlignment="1">
      <alignment horizontal="center" vertical="center"/>
    </xf>
    <xf numFmtId="0" fontId="4" fillId="0" borderId="2" xfId="0" applyFont="1" applyBorder="1" applyAlignment="1">
      <alignment horizontal="center" vertical="center"/>
    </xf>
    <xf numFmtId="0" fontId="13" fillId="11" borderId="2" xfId="0" applyFont="1" applyFill="1" applyBorder="1" applyAlignment="1">
      <alignment horizontal="center" vertical="center"/>
    </xf>
    <xf numFmtId="0" fontId="13" fillId="11" borderId="5" xfId="0" applyFont="1" applyFill="1" applyBorder="1" applyAlignment="1">
      <alignment horizontal="center" vertical="center"/>
    </xf>
    <xf numFmtId="0" fontId="26" fillId="0" borderId="0" xfId="0" applyFont="1" applyFill="1" applyAlignment="1">
      <alignment horizontal="center" vertical="center" wrapText="1"/>
    </xf>
    <xf numFmtId="0" fontId="25" fillId="5" borderId="1" xfId="0" applyFont="1" applyFill="1" applyBorder="1" applyAlignment="1">
      <alignment horizontal="center" vertical="center" wrapText="1"/>
    </xf>
    <xf numFmtId="0" fontId="29" fillId="6" borderId="4" xfId="0" applyFont="1" applyFill="1" applyBorder="1" applyAlignment="1">
      <alignment horizontal="center" vertical="center" wrapText="1"/>
    </xf>
    <xf numFmtId="0" fontId="29" fillId="18" borderId="4" xfId="0" applyFont="1" applyFill="1" applyBorder="1" applyAlignment="1">
      <alignment horizontal="center" vertical="center" wrapText="1"/>
    </xf>
    <xf numFmtId="0" fontId="29" fillId="20" borderId="4" xfId="0" applyFont="1" applyFill="1" applyBorder="1" applyAlignment="1">
      <alignment horizontal="center" vertical="center" wrapText="1"/>
    </xf>
    <xf numFmtId="177" fontId="29" fillId="20" borderId="4" xfId="0" applyNumberFormat="1" applyFont="1" applyFill="1" applyBorder="1" applyAlignment="1">
      <alignment horizontal="center" vertical="center" wrapText="1"/>
    </xf>
    <xf numFmtId="0" fontId="5" fillId="3" borderId="4" xfId="0" applyNumberFormat="1" applyFont="1" applyFill="1" applyBorder="1" applyAlignment="1">
      <alignment horizontal="center" vertical="center" wrapText="1"/>
    </xf>
    <xf numFmtId="0" fontId="5" fillId="3" borderId="6" xfId="0" applyNumberFormat="1" applyFont="1" applyFill="1" applyBorder="1" applyAlignment="1">
      <alignment horizontal="center" vertical="center" wrapText="1"/>
    </xf>
    <xf numFmtId="0" fontId="5" fillId="3" borderId="7" xfId="0" applyNumberFormat="1" applyFont="1" applyFill="1" applyBorder="1" applyAlignment="1">
      <alignment horizontal="center" vertical="center" wrapText="1"/>
    </xf>
    <xf numFmtId="0" fontId="10" fillId="0" borderId="2" xfId="0" applyFont="1" applyBorder="1" applyAlignment="1">
      <alignment horizontal="center" vertical="center"/>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5" fillId="0" borderId="7" xfId="0" applyNumberFormat="1" applyFont="1" applyBorder="1" applyAlignment="1">
      <alignment horizontal="center" vertical="center" wrapText="1"/>
    </xf>
    <xf numFmtId="0" fontId="4" fillId="3" borderId="4" xfId="0" applyFont="1" applyFill="1" applyBorder="1" applyAlignment="1">
      <alignment horizontal="center" vertical="center" wrapText="1"/>
    </xf>
    <xf numFmtId="0" fontId="5" fillId="0" borderId="2" xfId="0" applyFont="1" applyBorder="1" applyAlignment="1">
      <alignment vertical="center" wrapText="1" readingOrder="1"/>
    </xf>
    <xf numFmtId="0" fontId="5" fillId="0" borderId="5" xfId="0" applyFont="1" applyBorder="1" applyAlignment="1">
      <alignment vertical="center" wrapText="1" readingOrder="1"/>
    </xf>
    <xf numFmtId="0" fontId="24" fillId="3"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25" fillId="0" borderId="1" xfId="0" applyFont="1" applyFill="1" applyBorder="1" applyAlignment="1">
      <alignment horizontal="center" vertical="center" wrapText="1" readingOrder="1"/>
    </xf>
    <xf numFmtId="0" fontId="25" fillId="0" borderId="1" xfId="0" applyFont="1" applyBorder="1" applyAlignment="1">
      <alignment horizontal="center" vertical="center" wrapText="1" readingOrder="1"/>
    </xf>
    <xf numFmtId="0" fontId="25" fillId="3" borderId="1" xfId="0" applyFont="1" applyFill="1" applyBorder="1" applyAlignment="1">
      <alignment horizontal="center" vertical="center" wrapText="1" readingOrder="1"/>
    </xf>
    <xf numFmtId="0" fontId="24" fillId="0" borderId="1" xfId="0" applyFont="1" applyBorder="1" applyAlignment="1">
      <alignment horizontal="left" vertical="center" wrapText="1"/>
    </xf>
    <xf numFmtId="0" fontId="24" fillId="0" borderId="1" xfId="0" applyFont="1" applyBorder="1" applyAlignment="1">
      <alignment vertical="center" wrapText="1"/>
    </xf>
    <xf numFmtId="0" fontId="25" fillId="12" borderId="1" xfId="0" applyFont="1" applyFill="1" applyBorder="1" applyAlignment="1">
      <alignment horizontal="center" vertical="center" wrapText="1" readingOrder="1"/>
    </xf>
    <xf numFmtId="0" fontId="26" fillId="0" borderId="0" xfId="0" applyFont="1" applyAlignment="1">
      <alignment horizontal="center" vertical="center"/>
    </xf>
    <xf numFmtId="0" fontId="30" fillId="2" borderId="1" xfId="0" applyFont="1" applyFill="1" applyBorder="1" applyAlignment="1">
      <alignment horizontal="center" vertical="center" wrapText="1" readingOrder="1"/>
    </xf>
    <xf numFmtId="0" fontId="30" fillId="3" borderId="1" xfId="0" applyFont="1" applyFill="1" applyBorder="1" applyAlignment="1">
      <alignment horizontal="center" vertical="center" wrapText="1" readingOrder="1"/>
    </xf>
    <xf numFmtId="0" fontId="25" fillId="0" borderId="1" xfId="0" applyFont="1" applyFill="1" applyBorder="1" applyAlignment="1">
      <alignment horizontal="center" vertical="center"/>
    </xf>
    <xf numFmtId="0" fontId="5" fillId="0" borderId="6" xfId="0" applyFont="1" applyFill="1" applyBorder="1" applyAlignment="1">
      <alignment horizontal="center" vertical="center" wrapText="1"/>
    </xf>
    <xf numFmtId="0" fontId="10" fillId="0" borderId="3" xfId="0" applyFont="1" applyBorder="1" applyAlignment="1">
      <alignment horizontal="center" vertical="center"/>
    </xf>
    <xf numFmtId="0" fontId="4" fillId="11" borderId="3" xfId="0" applyFont="1" applyFill="1" applyBorder="1" applyAlignment="1">
      <alignment horizontal="center" vertical="center"/>
    </xf>
    <xf numFmtId="0" fontId="4" fillId="0" borderId="3" xfId="0" applyFont="1" applyBorder="1" applyAlignment="1">
      <alignment horizontal="center" vertical="center"/>
    </xf>
    <xf numFmtId="0" fontId="13" fillId="0" borderId="2" xfId="0" applyFont="1" applyBorder="1" applyAlignment="1">
      <alignment horizontal="center" vertical="center"/>
    </xf>
    <xf numFmtId="0" fontId="5" fillId="3" borderId="7" xfId="0" applyFont="1" applyFill="1" applyBorder="1" applyAlignment="1">
      <alignment horizontal="center" vertical="center"/>
    </xf>
    <xf numFmtId="0" fontId="25" fillId="0" borderId="1" xfId="0" applyFont="1" applyBorder="1" applyAlignment="1">
      <alignment horizontal="center" vertical="center"/>
    </xf>
    <xf numFmtId="0" fontId="24" fillId="0" borderId="1" xfId="0" applyFont="1" applyBorder="1" applyAlignment="1">
      <alignment horizontal="center" vertical="center"/>
    </xf>
    <xf numFmtId="178" fontId="1" fillId="21" borderId="0" xfId="0" applyNumberFormat="1" applyFont="1" applyFill="1" applyAlignment="1">
      <alignment horizontal="center" vertical="center"/>
    </xf>
    <xf numFmtId="0" fontId="1" fillId="21" borderId="0" xfId="0" applyFont="1" applyFill="1" applyAlignment="1">
      <alignment horizontal="center" vertical="center"/>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4" xfId="0" applyFont="1" applyBorder="1" applyAlignment="1">
      <alignment horizontal="center" vertical="center" wrapText="1" readingOrder="1"/>
    </xf>
    <xf numFmtId="0" fontId="5" fillId="0" borderId="1" xfId="0" applyFont="1" applyBorder="1" applyAlignment="1">
      <alignment horizontal="center" vertical="center" wrapText="1" readingOrder="1"/>
    </xf>
    <xf numFmtId="0" fontId="5" fillId="3" borderId="4" xfId="0" applyFont="1" applyFill="1" applyBorder="1" applyAlignment="1">
      <alignment horizontal="center" vertical="center" wrapText="1"/>
    </xf>
    <xf numFmtId="0" fontId="5" fillId="0" borderId="1" xfId="0" applyFont="1" applyBorder="1" applyAlignment="1">
      <alignment horizontal="center" vertical="center"/>
    </xf>
    <xf numFmtId="0" fontId="8" fillId="0" borderId="1" xfId="0" applyFont="1" applyBorder="1" applyAlignment="1">
      <alignment horizontal="center" vertical="center" wrapText="1"/>
    </xf>
    <xf numFmtId="0" fontId="5" fillId="5" borderId="1"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1" fillId="0" borderId="1" xfId="0" applyFont="1" applyBorder="1" applyAlignment="1">
      <alignment horizontal="center" vertical="center"/>
    </xf>
    <xf numFmtId="0" fontId="5" fillId="0" borderId="1" xfId="0" applyFont="1" applyBorder="1" applyAlignment="1">
      <alignment horizontal="center" vertical="center" wrapText="1" readingOrder="1"/>
    </xf>
    <xf numFmtId="0" fontId="5" fillId="0" borderId="6" xfId="0" applyFont="1" applyBorder="1" applyAlignment="1">
      <alignment horizontal="center" vertical="center" wrapText="1"/>
    </xf>
    <xf numFmtId="0" fontId="5" fillId="0" borderId="1" xfId="0" applyFont="1" applyBorder="1" applyAlignment="1">
      <alignment horizontal="center" vertical="center"/>
    </xf>
    <xf numFmtId="0" fontId="5" fillId="3" borderId="1" xfId="0" applyFont="1" applyFill="1" applyBorder="1" applyAlignment="1">
      <alignment horizontal="center" vertical="center" wrapText="1" readingOrder="1"/>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31" fillId="0" borderId="1" xfId="0" applyFont="1" applyBorder="1" applyAlignment="1">
      <alignment horizontal="center"/>
    </xf>
    <xf numFmtId="0" fontId="31" fillId="0" borderId="1" xfId="0" applyFont="1" applyFill="1" applyBorder="1" applyAlignment="1">
      <alignment horizontal="center"/>
    </xf>
    <xf numFmtId="9" fontId="5" fillId="0" borderId="1" xfId="0" applyNumberFormat="1" applyFont="1" applyBorder="1" applyAlignment="1">
      <alignment horizontal="center" vertical="center"/>
    </xf>
    <xf numFmtId="0" fontId="1" fillId="23" borderId="0" xfId="0" applyFont="1" applyFill="1" applyAlignment="1">
      <alignment horizontal="center" vertical="center"/>
    </xf>
    <xf numFmtId="176" fontId="1" fillId="23" borderId="0" xfId="0" applyNumberFormat="1" applyFont="1" applyFill="1" applyAlignment="1">
      <alignment horizontal="center" vertical="center"/>
    </xf>
    <xf numFmtId="0" fontId="1" fillId="24" borderId="0" xfId="0" applyFont="1" applyFill="1" applyAlignment="1">
      <alignment horizontal="center" vertical="center"/>
    </xf>
    <xf numFmtId="178" fontId="1" fillId="24" borderId="0" xfId="0" applyNumberFormat="1" applyFont="1" applyFill="1" applyAlignment="1">
      <alignment horizontal="center" vertical="center"/>
    </xf>
    <xf numFmtId="180" fontId="1" fillId="0" borderId="0" xfId="0" applyNumberFormat="1" applyFont="1" applyAlignment="1">
      <alignment horizontal="center" vertical="center"/>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Fill="1" applyBorder="1" applyAlignment="1">
      <alignment horizontal="center" vertical="center" wrapText="1" readingOrder="1"/>
    </xf>
    <xf numFmtId="0" fontId="1" fillId="0" borderId="0" xfId="0" applyFont="1" applyBorder="1" applyAlignment="1">
      <alignment horizontal="center" vertical="center"/>
    </xf>
    <xf numFmtId="0" fontId="5" fillId="0" borderId="0" xfId="0" applyFont="1" applyBorder="1" applyAlignment="1">
      <alignment horizontal="center" vertical="center"/>
    </xf>
    <xf numFmtId="1" fontId="5" fillId="5" borderId="1" xfId="0" applyNumberFormat="1" applyFont="1" applyFill="1" applyBorder="1" applyAlignment="1">
      <alignment horizontal="center" vertical="center" wrapText="1"/>
    </xf>
    <xf numFmtId="1" fontId="5" fillId="6" borderId="4" xfId="0" applyNumberFormat="1" applyFont="1" applyFill="1" applyBorder="1" applyAlignment="1">
      <alignment horizontal="center" vertical="center" wrapText="1"/>
    </xf>
    <xf numFmtId="1" fontId="5" fillId="8" borderId="4" xfId="0" applyNumberFormat="1" applyFont="1" applyFill="1" applyBorder="1" applyAlignment="1">
      <alignment horizontal="center" vertical="center" wrapText="1"/>
    </xf>
    <xf numFmtId="1" fontId="5" fillId="25" borderId="4" xfId="0" applyNumberFormat="1" applyFont="1" applyFill="1" applyBorder="1" applyAlignment="1">
      <alignment horizontal="center" vertical="center" wrapText="1"/>
    </xf>
    <xf numFmtId="180" fontId="1" fillId="21" borderId="0" xfId="0" applyNumberFormat="1" applyFont="1" applyFill="1" applyAlignment="1">
      <alignment horizontal="center" vertical="center"/>
    </xf>
    <xf numFmtId="0" fontId="5" fillId="14" borderId="1" xfId="0" applyFont="1" applyFill="1" applyBorder="1" applyAlignment="1">
      <alignment horizontal="center" vertical="center" wrapText="1"/>
    </xf>
    <xf numFmtId="0" fontId="5" fillId="14" borderId="4" xfId="0" applyFont="1" applyFill="1" applyBorder="1" applyAlignment="1">
      <alignment horizontal="center" vertical="center" wrapText="1"/>
    </xf>
    <xf numFmtId="0" fontId="5" fillId="14" borderId="6" xfId="0" applyFont="1" applyFill="1" applyBorder="1" applyAlignment="1">
      <alignment horizontal="center" vertical="center" wrapText="1"/>
    </xf>
    <xf numFmtId="0" fontId="5" fillId="14" borderId="7" xfId="0" applyFont="1" applyFill="1" applyBorder="1" applyAlignment="1">
      <alignment horizontal="center" vertical="center" wrapText="1"/>
    </xf>
    <xf numFmtId="9" fontId="5" fillId="14" borderId="1" xfId="0" applyNumberFormat="1" applyFont="1" applyFill="1" applyBorder="1" applyAlignment="1">
      <alignment horizontal="center" vertical="center" wrapText="1"/>
    </xf>
    <xf numFmtId="178" fontId="5" fillId="14" borderId="4" xfId="0" applyNumberFormat="1" applyFont="1" applyFill="1" applyBorder="1" applyAlignment="1">
      <alignment horizontal="center" vertical="center" wrapText="1"/>
    </xf>
    <xf numFmtId="10" fontId="5" fillId="14" borderId="1" xfId="0" applyNumberFormat="1" applyFont="1" applyFill="1" applyBorder="1" applyAlignment="1">
      <alignment horizontal="center" vertical="center" wrapText="1"/>
    </xf>
    <xf numFmtId="0" fontId="4" fillId="14" borderId="1" xfId="0"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178" fontId="5" fillId="0" borderId="1" xfId="0" applyNumberFormat="1" applyFont="1" applyFill="1" applyBorder="1" applyAlignment="1">
      <alignment horizontal="center" vertical="center" wrapText="1"/>
    </xf>
    <xf numFmtId="178" fontId="5" fillId="0" borderId="4" xfId="0" applyNumberFormat="1"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1" xfId="0" applyFont="1" applyFill="1" applyBorder="1" applyAlignment="1">
      <alignment horizontal="center" vertical="center"/>
    </xf>
    <xf numFmtId="0" fontId="5" fillId="18" borderId="4" xfId="0" applyFont="1" applyFill="1" applyBorder="1" applyAlignment="1">
      <alignment horizontal="center" vertical="center" wrapText="1"/>
    </xf>
    <xf numFmtId="1" fontId="1" fillId="7" borderId="0" xfId="0" applyNumberFormat="1" applyFont="1" applyFill="1" applyAlignment="1">
      <alignment horizontal="center" vertical="center"/>
    </xf>
    <xf numFmtId="1" fontId="1" fillId="21" borderId="0" xfId="0" applyNumberFormat="1" applyFont="1" applyFill="1" applyAlignment="1">
      <alignment horizontal="center" vertical="center"/>
    </xf>
    <xf numFmtId="1" fontId="5" fillId="0" borderId="1" xfId="0" applyNumberFormat="1" applyFont="1" applyFill="1" applyBorder="1" applyAlignment="1">
      <alignment horizontal="center" vertical="center" wrapText="1"/>
    </xf>
    <xf numFmtId="176" fontId="5" fillId="14" borderId="4"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0" fillId="0" borderId="1" xfId="0" applyBorder="1" applyAlignment="1">
      <alignment horizontal="center"/>
    </xf>
    <xf numFmtId="0" fontId="9" fillId="0" borderId="1" xfId="0" applyFont="1" applyFill="1" applyBorder="1" applyAlignment="1">
      <alignment horizontal="center" vertical="center"/>
    </xf>
    <xf numFmtId="0" fontId="31" fillId="0" borderId="1" xfId="0" applyFont="1" applyBorder="1"/>
    <xf numFmtId="0" fontId="3" fillId="0" borderId="12" xfId="0" applyFont="1" applyFill="1" applyBorder="1" applyAlignment="1">
      <alignment vertical="center"/>
    </xf>
    <xf numFmtId="176" fontId="5"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7"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4" fillId="0" borderId="1" xfId="0" applyFont="1" applyBorder="1" applyAlignment="1">
      <alignment horizontal="center" vertical="center"/>
    </xf>
    <xf numFmtId="178" fontId="5" fillId="14" borderId="1" xfId="0" applyNumberFormat="1" applyFont="1" applyFill="1" applyBorder="1" applyAlignment="1">
      <alignment horizontal="center" vertical="center" wrapText="1"/>
    </xf>
    <xf numFmtId="0" fontId="5" fillId="25" borderId="4" xfId="0" applyFont="1" applyFill="1" applyBorder="1" applyAlignment="1">
      <alignment horizontal="center" vertical="center" wrapText="1"/>
    </xf>
    <xf numFmtId="0" fontId="8" fillId="0" borderId="1" xfId="0" applyFont="1" applyBorder="1" applyAlignment="1">
      <alignment horizontal="center" vertical="center" wrapText="1" readingOrder="1"/>
    </xf>
    <xf numFmtId="0" fontId="5" fillId="0" borderId="1" xfId="0" applyFont="1" applyBorder="1" applyAlignment="1">
      <alignment horizontal="center" vertical="center" wrapText="1" readingOrder="1"/>
    </xf>
    <xf numFmtId="0" fontId="5" fillId="0" borderId="4" xfId="0" applyFont="1" applyBorder="1" applyAlignment="1">
      <alignment horizontal="center" vertical="center" wrapText="1" readingOrder="1"/>
    </xf>
    <xf numFmtId="0" fontId="5" fillId="0" borderId="1" xfId="0" applyFont="1" applyBorder="1" applyAlignment="1">
      <alignment horizontal="center" vertical="center"/>
    </xf>
    <xf numFmtId="0" fontId="5" fillId="3" borderId="1" xfId="0" applyFont="1" applyFill="1" applyBorder="1" applyAlignment="1">
      <alignment horizontal="center" vertical="center" wrapText="1" readingOrder="1"/>
    </xf>
    <xf numFmtId="0" fontId="5" fillId="0" borderId="1" xfId="0" applyFont="1" applyFill="1" applyBorder="1" applyAlignment="1">
      <alignment horizontal="center" vertical="center" wrapText="1" readingOrder="1"/>
    </xf>
    <xf numFmtId="0" fontId="5" fillId="0" borderId="1" xfId="0" applyFont="1"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5" fillId="3" borderId="4" xfId="0" applyFont="1" applyFill="1" applyBorder="1" applyAlignment="1">
      <alignment horizontal="center" vertical="center" wrapText="1" readingOrder="1"/>
    </xf>
    <xf numFmtId="0" fontId="5" fillId="3" borderId="7" xfId="0" applyFont="1" applyFill="1" applyBorder="1" applyAlignment="1">
      <alignment horizontal="center" vertical="center" wrapText="1" readingOrder="1"/>
    </xf>
    <xf numFmtId="176" fontId="5" fillId="0" borderId="4" xfId="0" applyNumberFormat="1" applyFont="1" applyFill="1" applyBorder="1" applyAlignment="1">
      <alignment horizontal="center" vertical="center" wrapText="1"/>
    </xf>
    <xf numFmtId="0" fontId="5" fillId="14" borderId="1" xfId="0" applyFont="1" applyFill="1" applyBorder="1" applyAlignment="1">
      <alignment horizontal="center" vertical="center" wrapText="1"/>
    </xf>
    <xf numFmtId="1" fontId="5" fillId="5" borderId="1" xfId="0" applyNumberFormat="1" applyFont="1" applyFill="1" applyBorder="1" applyAlignment="1">
      <alignment horizontal="center" vertical="center" wrapText="1"/>
    </xf>
    <xf numFmtId="1" fontId="5" fillId="6" borderId="4" xfId="0" applyNumberFormat="1" applyFont="1" applyFill="1" applyBorder="1" applyAlignment="1">
      <alignment horizontal="center" vertical="center" wrapText="1"/>
    </xf>
    <xf numFmtId="0" fontId="4" fillId="0" borderId="1" xfId="0" applyFont="1" applyBorder="1" applyAlignment="1">
      <alignment horizontal="center" vertical="center"/>
    </xf>
    <xf numFmtId="176" fontId="5" fillId="14"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176" fontId="5" fillId="14" borderId="1" xfId="0" applyNumberFormat="1" applyFont="1" applyFill="1" applyBorder="1" applyAlignment="1">
      <alignment horizontal="center" vertical="center" wrapText="1"/>
    </xf>
    <xf numFmtId="1" fontId="5" fillId="18" borderId="4" xfId="0" applyNumberFormat="1" applyFont="1" applyFill="1" applyBorder="1" applyAlignment="1">
      <alignment horizontal="center" vertical="center" wrapText="1"/>
    </xf>
    <xf numFmtId="1" fontId="5" fillId="26" borderId="4" xfId="0" applyNumberFormat="1" applyFont="1" applyFill="1" applyBorder="1" applyAlignment="1">
      <alignment horizontal="center" vertical="center" wrapText="1"/>
    </xf>
    <xf numFmtId="176" fontId="1" fillId="21" borderId="0" xfId="0" applyNumberFormat="1" applyFont="1" applyFill="1" applyAlignment="1">
      <alignment horizontal="center" vertical="center"/>
    </xf>
    <xf numFmtId="177" fontId="1" fillId="21" borderId="0" xfId="0" applyNumberFormat="1" applyFont="1" applyFill="1" applyAlignment="1">
      <alignment horizontal="center" vertical="center"/>
    </xf>
    <xf numFmtId="0" fontId="8" fillId="0" borderId="1" xfId="0" applyFont="1" applyBorder="1" applyAlignment="1">
      <alignment horizontal="center" vertical="center" wrapText="1" readingOrder="1"/>
    </xf>
    <xf numFmtId="0" fontId="5" fillId="0" borderId="1" xfId="0" applyFont="1" applyBorder="1" applyAlignment="1">
      <alignment horizontal="center" vertical="center" wrapText="1" readingOrder="1"/>
    </xf>
    <xf numFmtId="0" fontId="5" fillId="0" borderId="4" xfId="0" applyFont="1" applyBorder="1" applyAlignment="1">
      <alignment horizontal="center" vertical="center" wrapText="1" readingOrder="1"/>
    </xf>
    <xf numFmtId="0" fontId="5" fillId="0" borderId="1" xfId="0" applyFont="1" applyBorder="1" applyAlignment="1">
      <alignment horizontal="center" vertical="center"/>
    </xf>
    <xf numFmtId="0" fontId="5" fillId="3" borderId="1" xfId="0" applyFont="1" applyFill="1" applyBorder="1" applyAlignment="1">
      <alignment horizontal="center" vertical="center" wrapText="1" readingOrder="1"/>
    </xf>
    <xf numFmtId="0" fontId="5" fillId="0" borderId="1" xfId="0" applyFont="1" applyFill="1" applyBorder="1" applyAlignment="1">
      <alignment horizontal="center" vertical="center" wrapText="1" readingOrder="1"/>
    </xf>
    <xf numFmtId="0" fontId="5" fillId="0" borderId="1" xfId="0" applyFont="1"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5" fillId="3" borderId="4" xfId="0" applyFont="1" applyFill="1" applyBorder="1" applyAlignment="1">
      <alignment horizontal="center" vertical="center" wrapText="1" readingOrder="1"/>
    </xf>
    <xf numFmtId="0" fontId="5" fillId="3" borderId="7" xfId="0" applyFont="1" applyFill="1" applyBorder="1" applyAlignment="1">
      <alignment horizontal="center" vertical="center" wrapText="1" readingOrder="1"/>
    </xf>
    <xf numFmtId="176" fontId="5" fillId="0" borderId="4" xfId="0" applyNumberFormat="1" applyFont="1" applyFill="1" applyBorder="1" applyAlignment="1">
      <alignment horizontal="center" vertical="center" wrapText="1"/>
    </xf>
    <xf numFmtId="0" fontId="5" fillId="14" borderId="1" xfId="0" applyFont="1" applyFill="1" applyBorder="1" applyAlignment="1">
      <alignment horizontal="center" vertical="center" wrapText="1"/>
    </xf>
    <xf numFmtId="1" fontId="5" fillId="5" borderId="1" xfId="0" applyNumberFormat="1" applyFont="1" applyFill="1" applyBorder="1" applyAlignment="1">
      <alignment horizontal="center" vertical="center" wrapText="1"/>
    </xf>
    <xf numFmtId="1" fontId="5" fillId="6" borderId="4" xfId="0" applyNumberFormat="1" applyFont="1" applyFill="1" applyBorder="1" applyAlignment="1">
      <alignment horizontal="center" vertical="center" wrapText="1"/>
    </xf>
    <xf numFmtId="0" fontId="4" fillId="0" borderId="1" xfId="0" applyFont="1" applyBorder="1" applyAlignment="1">
      <alignment horizontal="center" vertical="center"/>
    </xf>
    <xf numFmtId="1" fontId="5" fillId="26" borderId="4" xfId="0" applyNumberFormat="1" applyFont="1" applyFill="1" applyBorder="1" applyAlignment="1">
      <alignment horizontal="center" vertical="center" wrapText="1"/>
    </xf>
    <xf numFmtId="1" fontId="5" fillId="18" borderId="4" xfId="0" applyNumberFormat="1" applyFont="1" applyFill="1" applyBorder="1" applyAlignment="1">
      <alignment horizontal="center" vertical="center" wrapText="1"/>
    </xf>
    <xf numFmtId="1" fontId="5" fillId="25" borderId="4" xfId="0" applyNumberFormat="1" applyFont="1" applyFill="1" applyBorder="1" applyAlignment="1">
      <alignment horizontal="center" vertical="center" wrapText="1"/>
    </xf>
    <xf numFmtId="0" fontId="5" fillId="0" borderId="1" xfId="0" applyFont="1" applyBorder="1" applyAlignment="1">
      <alignment horizontal="center" vertical="center" wrapText="1" readingOrder="1"/>
    </xf>
    <xf numFmtId="0" fontId="5" fillId="0" borderId="4" xfId="0" applyFont="1" applyBorder="1" applyAlignment="1">
      <alignment horizontal="center" vertical="center" wrapText="1"/>
    </xf>
    <xf numFmtId="0" fontId="5" fillId="0" borderId="4" xfId="0" applyFont="1" applyBorder="1" applyAlignment="1">
      <alignment horizontal="center" vertical="center" wrapText="1" readingOrder="1"/>
    </xf>
    <xf numFmtId="0" fontId="5" fillId="0" borderId="6" xfId="0" applyFont="1" applyBorder="1" applyAlignment="1">
      <alignment horizontal="center" vertical="center" wrapText="1" readingOrder="1"/>
    </xf>
    <xf numFmtId="0" fontId="5" fillId="0" borderId="1" xfId="0" applyFont="1" applyBorder="1" applyAlignment="1">
      <alignment horizontal="center" vertical="center"/>
    </xf>
    <xf numFmtId="0" fontId="5" fillId="3" borderId="1" xfId="0" applyFont="1" applyFill="1" applyBorder="1" applyAlignment="1">
      <alignment horizontal="center" vertical="center" wrapText="1" readingOrder="1"/>
    </xf>
    <xf numFmtId="0" fontId="5" fillId="0" borderId="4" xfId="0" applyFont="1" applyBorder="1" applyAlignment="1">
      <alignment horizontal="center" vertical="center"/>
    </xf>
    <xf numFmtId="0" fontId="5" fillId="0" borderId="1" xfId="0" applyFont="1" applyFill="1" applyBorder="1" applyAlignment="1">
      <alignment horizontal="center" vertical="center" wrapText="1" readingOrder="1"/>
    </xf>
    <xf numFmtId="0" fontId="5" fillId="0" borderId="1" xfId="0" applyFont="1" applyBorder="1" applyAlignment="1">
      <alignment horizontal="center" vertical="center" wrapText="1"/>
    </xf>
    <xf numFmtId="0" fontId="5" fillId="3" borderId="4" xfId="0" applyFont="1" applyFill="1" applyBorder="1" applyAlignment="1">
      <alignment horizontal="center" vertical="center" wrapText="1" readingOrder="1"/>
    </xf>
    <xf numFmtId="0" fontId="5" fillId="0" borderId="4" xfId="0" applyFont="1" applyFill="1" applyBorder="1" applyAlignment="1">
      <alignment horizontal="center" vertical="center" wrapText="1" readingOrder="1"/>
    </xf>
    <xf numFmtId="0" fontId="5" fillId="0" borderId="1" xfId="0" applyFont="1" applyFill="1" applyBorder="1" applyAlignment="1">
      <alignment vertical="center" wrapText="1"/>
    </xf>
    <xf numFmtId="0" fontId="8" fillId="26" borderId="1" xfId="0" applyFont="1" applyFill="1" applyBorder="1" applyAlignment="1">
      <alignment horizontal="center" vertical="center" wrapText="1" readingOrder="1"/>
    </xf>
    <xf numFmtId="0" fontId="8" fillId="26"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2" borderId="4"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3" borderId="4" xfId="0" applyFont="1" applyFill="1" applyBorder="1" applyAlignment="1">
      <alignment horizontal="center" vertical="center" wrapText="1" readingOrder="1"/>
    </xf>
    <xf numFmtId="176" fontId="5" fillId="0" borderId="4" xfId="0" applyNumberFormat="1"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 xfId="0"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0" fontId="5" fillId="0" borderId="7"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 fontId="5" fillId="5" borderId="1" xfId="0" applyNumberFormat="1" applyFont="1" applyFill="1" applyBorder="1" applyAlignment="1">
      <alignment horizontal="center" vertical="center" wrapText="1"/>
    </xf>
    <xf numFmtId="0" fontId="5" fillId="5" borderId="1" xfId="0" applyFont="1" applyFill="1" applyBorder="1" applyAlignment="1">
      <alignment horizontal="center" vertical="center" wrapText="1"/>
    </xf>
    <xf numFmtId="1" fontId="5" fillId="5" borderId="4" xfId="0" applyNumberFormat="1" applyFont="1" applyFill="1" applyBorder="1" applyAlignment="1">
      <alignment horizontal="center" vertical="center" wrapText="1"/>
    </xf>
    <xf numFmtId="176" fontId="5" fillId="5" borderId="1" xfId="0" applyNumberFormat="1" applyFont="1" applyFill="1" applyBorder="1" applyAlignment="1">
      <alignment horizontal="center" vertical="center" wrapText="1"/>
    </xf>
    <xf numFmtId="176" fontId="5" fillId="5" borderId="4" xfId="0" applyNumberFormat="1" applyFont="1" applyFill="1" applyBorder="1" applyAlignment="1">
      <alignment horizontal="center" vertical="center" wrapText="1"/>
    </xf>
    <xf numFmtId="0" fontId="18" fillId="0" borderId="8" xfId="0" applyFont="1" applyBorder="1" applyAlignment="1">
      <alignment horizontal="center" vertical="center" wrapText="1" readingOrder="1"/>
    </xf>
    <xf numFmtId="0" fontId="18" fillId="0" borderId="10" xfId="0" applyFont="1" applyBorder="1" applyAlignment="1">
      <alignment horizontal="center" vertical="center" wrapText="1" readingOrder="1"/>
    </xf>
    <xf numFmtId="0" fontId="18" fillId="0" borderId="11" xfId="0" applyFont="1" applyBorder="1" applyAlignment="1">
      <alignment horizontal="center" vertical="center" wrapText="1" readingOrder="1"/>
    </xf>
    <xf numFmtId="0" fontId="18" fillId="0" borderId="1" xfId="0" applyFont="1" applyBorder="1" applyAlignment="1">
      <alignment horizontal="center" vertical="center" wrapText="1" readingOrder="1"/>
    </xf>
    <xf numFmtId="0" fontId="18" fillId="0" borderId="4" xfId="0" applyFont="1" applyBorder="1" applyAlignment="1">
      <alignment horizontal="center" vertical="center" wrapText="1" readingOrder="1"/>
    </xf>
    <xf numFmtId="0" fontId="18" fillId="0" borderId="6" xfId="0" applyFont="1" applyBorder="1" applyAlignment="1">
      <alignment horizontal="center" vertical="center" wrapText="1" readingOrder="1"/>
    </xf>
    <xf numFmtId="0" fontId="19" fillId="0" borderId="1" xfId="0" applyFont="1" applyBorder="1" applyAlignment="1">
      <alignment horizontal="center" vertical="center" wrapText="1" readingOrder="1"/>
    </xf>
    <xf numFmtId="0" fontId="18" fillId="3" borderId="1" xfId="0" applyFont="1" applyFill="1" applyBorder="1" applyAlignment="1">
      <alignment horizontal="center" vertical="center" wrapText="1" readingOrder="1"/>
    </xf>
    <xf numFmtId="0" fontId="15" fillId="0" borderId="0" xfId="0" applyFont="1" applyFill="1" applyBorder="1" applyAlignment="1">
      <alignment horizontal="center" vertical="center"/>
    </xf>
    <xf numFmtId="0" fontId="17" fillId="0" borderId="1" xfId="0" applyFont="1" applyBorder="1" applyAlignment="1">
      <alignment horizontal="center" vertical="center" wrapText="1" readingOrder="1"/>
    </xf>
    <xf numFmtId="0" fontId="7" fillId="0" borderId="1" xfId="0" applyFont="1" applyBorder="1" applyAlignment="1">
      <alignment horizontal="center" vertical="center"/>
    </xf>
    <xf numFmtId="0" fontId="7" fillId="11" borderId="1" xfId="0" applyFont="1" applyFill="1" applyBorder="1" applyAlignment="1">
      <alignment horizontal="center" vertical="center"/>
    </xf>
    <xf numFmtId="0" fontId="18" fillId="0" borderId="1" xfId="0" applyFont="1" applyBorder="1" applyAlignment="1">
      <alignment horizontal="center" vertical="center"/>
    </xf>
    <xf numFmtId="0" fontId="16" fillId="0" borderId="1" xfId="0" applyFont="1" applyBorder="1" applyAlignment="1">
      <alignment horizontal="center" vertical="center" wrapText="1" readingOrder="1"/>
    </xf>
    <xf numFmtId="0" fontId="20" fillId="0" borderId="1" xfId="0" applyFont="1" applyBorder="1" applyAlignment="1">
      <alignment horizontal="center" vertical="center" wrapText="1" readingOrder="1"/>
    </xf>
    <xf numFmtId="0" fontId="20" fillId="0" borderId="4" xfId="0" applyFont="1" applyBorder="1" applyAlignment="1">
      <alignment horizontal="center" vertical="center" wrapText="1" readingOrder="1"/>
    </xf>
    <xf numFmtId="0" fontId="20" fillId="0" borderId="6" xfId="0" applyFont="1" applyBorder="1" applyAlignment="1">
      <alignment horizontal="center" vertical="center" wrapText="1" readingOrder="1"/>
    </xf>
    <xf numFmtId="0" fontId="20" fillId="0" borderId="7" xfId="0" applyFont="1" applyBorder="1" applyAlignment="1">
      <alignment horizontal="center" vertical="center" wrapText="1" readingOrder="1"/>
    </xf>
    <xf numFmtId="0" fontId="18" fillId="11" borderId="1" xfId="0" applyFont="1" applyFill="1" applyBorder="1" applyAlignment="1">
      <alignment horizontal="center" vertical="center" wrapText="1" readingOrder="1"/>
    </xf>
    <xf numFmtId="0" fontId="18" fillId="0" borderId="7" xfId="0" applyFont="1" applyBorder="1" applyAlignment="1">
      <alignment horizontal="center" vertical="center" wrapText="1" readingOrder="1"/>
    </xf>
    <xf numFmtId="0" fontId="7" fillId="0" borderId="4" xfId="0" applyFont="1" applyBorder="1" applyAlignment="1">
      <alignment horizontal="center" vertical="center"/>
    </xf>
    <xf numFmtId="0" fontId="7" fillId="0" borderId="6" xfId="0" applyFont="1" applyBorder="1" applyAlignment="1">
      <alignment horizontal="center" vertical="center"/>
    </xf>
    <xf numFmtId="0" fontId="30" fillId="0" borderId="4" xfId="0" applyFont="1" applyBorder="1" applyAlignment="1">
      <alignment horizontal="center" vertical="center" wrapText="1" readingOrder="1"/>
    </xf>
    <xf numFmtId="0" fontId="18" fillId="0" borderId="1" xfId="0" applyFont="1" applyFill="1" applyBorder="1" applyAlignment="1">
      <alignment horizontal="center" vertical="center" wrapText="1" readingOrder="1"/>
    </xf>
    <xf numFmtId="0" fontId="18" fillId="0" borderId="4"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7" fillId="3" borderId="4"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7" xfId="0" applyFont="1" applyBorder="1" applyAlignment="1">
      <alignment horizontal="center" vertical="center"/>
    </xf>
    <xf numFmtId="0" fontId="12" fillId="0" borderId="1" xfId="0" applyFont="1" applyBorder="1" applyAlignment="1">
      <alignment horizontal="center" vertical="center" wrapText="1"/>
    </xf>
    <xf numFmtId="0" fontId="12" fillId="0" borderId="4" xfId="0" applyFont="1" applyBorder="1" applyAlignment="1">
      <alignment horizontal="center" vertical="center" wrapText="1" readingOrder="1"/>
    </xf>
    <xf numFmtId="0" fontId="12" fillId="0" borderId="6" xfId="0" applyFont="1" applyBorder="1" applyAlignment="1">
      <alignment horizontal="center" vertical="center" wrapText="1" readingOrder="1"/>
    </xf>
    <xf numFmtId="0" fontId="7" fillId="11" borderId="1" xfId="0" applyFont="1" applyFill="1" applyBorder="1" applyAlignment="1">
      <alignment horizontal="center" vertical="center" wrapText="1"/>
    </xf>
    <xf numFmtId="0" fontId="19" fillId="0" borderId="2" xfId="0" applyFont="1" applyBorder="1" applyAlignment="1">
      <alignment horizontal="center" vertical="center" wrapText="1" readingOrder="1"/>
    </xf>
    <xf numFmtId="0" fontId="19" fillId="0" borderId="8" xfId="0" applyFont="1" applyBorder="1" applyAlignment="1">
      <alignment horizontal="center" vertical="center" wrapText="1" readingOrder="1"/>
    </xf>
    <xf numFmtId="0" fontId="19" fillId="0" borderId="5" xfId="0" applyFont="1" applyBorder="1" applyAlignment="1">
      <alignment horizontal="center" vertical="center" wrapText="1" readingOrder="1"/>
    </xf>
    <xf numFmtId="0" fontId="19" fillId="0" borderId="10" xfId="0" applyFont="1" applyBorder="1" applyAlignment="1">
      <alignment horizontal="center" vertical="center" wrapText="1" readingOrder="1"/>
    </xf>
    <xf numFmtId="0" fontId="18" fillId="0" borderId="2" xfId="0" applyFont="1" applyBorder="1" applyAlignment="1">
      <alignment horizontal="center" vertical="center" wrapText="1" readingOrder="1"/>
    </xf>
    <xf numFmtId="0" fontId="18" fillId="0" borderId="5" xfId="0" applyFont="1" applyBorder="1" applyAlignment="1">
      <alignment horizontal="center" vertical="center" wrapText="1" readingOrder="1"/>
    </xf>
    <xf numFmtId="0" fontId="18" fillId="0" borderId="3" xfId="0" applyFont="1" applyBorder="1" applyAlignment="1">
      <alignment horizontal="center" vertical="center" wrapText="1" readingOrder="1"/>
    </xf>
    <xf numFmtId="0" fontId="19" fillId="0" borderId="3" xfId="0" applyFont="1" applyBorder="1" applyAlignment="1">
      <alignment horizontal="center" vertical="center" wrapText="1" readingOrder="1"/>
    </xf>
    <xf numFmtId="0" fontId="19" fillId="0" borderId="11" xfId="0" applyFont="1" applyBorder="1" applyAlignment="1">
      <alignment horizontal="center" vertical="center" wrapText="1" readingOrder="1"/>
    </xf>
    <xf numFmtId="0" fontId="16" fillId="0" borderId="2" xfId="0" applyFont="1" applyBorder="1" applyAlignment="1">
      <alignment horizontal="center" vertical="center" wrapText="1" readingOrder="1"/>
    </xf>
    <xf numFmtId="0" fontId="16" fillId="0" borderId="8" xfId="0" applyFont="1" applyBorder="1" applyAlignment="1">
      <alignment horizontal="center" vertical="center" wrapText="1" readingOrder="1"/>
    </xf>
    <xf numFmtId="0" fontId="16" fillId="0" borderId="3" xfId="0" applyFont="1" applyBorder="1" applyAlignment="1">
      <alignment horizontal="center" vertical="center" wrapText="1" readingOrder="1"/>
    </xf>
    <xf numFmtId="0" fontId="16" fillId="0" borderId="11" xfId="0" applyFont="1" applyBorder="1" applyAlignment="1">
      <alignment horizontal="center" vertical="center" wrapText="1" readingOrder="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 xfId="0" applyFont="1" applyBorder="1" applyAlignment="1">
      <alignment horizontal="center" vertical="center"/>
    </xf>
    <xf numFmtId="0" fontId="2" fillId="0" borderId="0" xfId="0" applyFont="1" applyFill="1" applyBorder="1" applyAlignment="1">
      <alignment horizontal="center" vertical="center"/>
    </xf>
    <xf numFmtId="0" fontId="8" fillId="0" borderId="1" xfId="0" applyFont="1" applyBorder="1" applyAlignment="1">
      <alignment horizontal="center" vertical="center" wrapText="1" readingOrder="1"/>
    </xf>
    <xf numFmtId="0" fontId="8" fillId="0" borderId="2" xfId="0" applyFont="1" applyBorder="1" applyAlignment="1">
      <alignment horizontal="center" vertical="center" wrapText="1" readingOrder="1"/>
    </xf>
    <xf numFmtId="0" fontId="8" fillId="0" borderId="3" xfId="0" applyFont="1" applyBorder="1" applyAlignment="1">
      <alignment horizontal="center" vertical="center" wrapText="1" readingOrder="1"/>
    </xf>
    <xf numFmtId="0" fontId="5" fillId="0" borderId="1" xfId="0" applyFont="1" applyBorder="1" applyAlignment="1">
      <alignment horizontal="center" vertical="center" wrapText="1" readingOrder="1"/>
    </xf>
    <xf numFmtId="0" fontId="5" fillId="0" borderId="2" xfId="0" applyFont="1" applyBorder="1" applyAlignment="1">
      <alignment horizontal="center" vertical="center" wrapText="1" readingOrder="1"/>
    </xf>
    <xf numFmtId="0" fontId="5" fillId="0" borderId="5" xfId="0" applyFont="1" applyBorder="1" applyAlignment="1">
      <alignment horizontal="center" vertical="center" wrapText="1" readingOrder="1"/>
    </xf>
    <xf numFmtId="0" fontId="5" fillId="0" borderId="3" xfId="0" applyFont="1" applyBorder="1" applyAlignment="1">
      <alignment horizontal="center" vertical="center" wrapText="1" readingOrder="1"/>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4" xfId="0" applyFont="1" applyBorder="1" applyAlignment="1">
      <alignment horizontal="center" vertical="center" wrapText="1" readingOrder="1"/>
    </xf>
    <xf numFmtId="0" fontId="5" fillId="0" borderId="6" xfId="0" applyFont="1" applyBorder="1" applyAlignment="1">
      <alignment horizontal="center" vertical="center" wrapText="1" readingOrder="1"/>
    </xf>
    <xf numFmtId="0" fontId="5" fillId="0" borderId="7" xfId="0" applyFont="1" applyBorder="1" applyAlignment="1">
      <alignment horizontal="center" vertical="center" wrapText="1" readingOrder="1"/>
    </xf>
    <xf numFmtId="0" fontId="5" fillId="11" borderId="1" xfId="0" applyFont="1" applyFill="1" applyBorder="1" applyAlignment="1">
      <alignment horizontal="center" vertical="center" wrapText="1" readingOrder="1"/>
    </xf>
    <xf numFmtId="0" fontId="5" fillId="0" borderId="1" xfId="0" applyFont="1" applyBorder="1" applyAlignment="1">
      <alignment horizontal="center" vertical="center"/>
    </xf>
    <xf numFmtId="0" fontId="5" fillId="3" borderId="1" xfId="0" applyFont="1" applyFill="1" applyBorder="1" applyAlignment="1">
      <alignment horizontal="center" vertical="center" wrapText="1" readingOrder="1"/>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11" borderId="4" xfId="0" applyFont="1" applyFill="1" applyBorder="1" applyAlignment="1">
      <alignment horizontal="center" vertical="center" wrapText="1" readingOrder="1"/>
    </xf>
    <xf numFmtId="0" fontId="5" fillId="11" borderId="6" xfId="0" applyFont="1" applyFill="1" applyBorder="1" applyAlignment="1">
      <alignment horizontal="center" vertical="center" wrapText="1" readingOrder="1"/>
    </xf>
    <xf numFmtId="0" fontId="5" fillId="11" borderId="7" xfId="0" applyFont="1" applyFill="1" applyBorder="1" applyAlignment="1">
      <alignment horizontal="center" vertical="center" wrapText="1" readingOrder="1"/>
    </xf>
    <xf numFmtId="0" fontId="5" fillId="0" borderId="1" xfId="0" applyFont="1" applyFill="1" applyBorder="1" applyAlignment="1">
      <alignment horizontal="center" vertical="center" wrapText="1" readingOrder="1"/>
    </xf>
    <xf numFmtId="0" fontId="5" fillId="11" borderId="4" xfId="0" applyFont="1" applyFill="1" applyBorder="1" applyAlignment="1">
      <alignment horizontal="center" vertical="center" wrapText="1"/>
    </xf>
    <xf numFmtId="0" fontId="5" fillId="11" borderId="6" xfId="0" applyFont="1" applyFill="1" applyBorder="1" applyAlignment="1">
      <alignment horizontal="center" vertical="center" wrapText="1"/>
    </xf>
    <xf numFmtId="0" fontId="5" fillId="11" borderId="7" xfId="0" applyFont="1" applyFill="1" applyBorder="1" applyAlignment="1">
      <alignment horizontal="center" vertical="center" wrapText="1"/>
    </xf>
    <xf numFmtId="0" fontId="5" fillId="0" borderId="1" xfId="0" applyFont="1"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176" fontId="5" fillId="0" borderId="4" xfId="0" applyNumberFormat="1" applyFont="1" applyBorder="1" applyAlignment="1">
      <alignment horizontal="center" vertical="center" wrapText="1"/>
    </xf>
    <xf numFmtId="176" fontId="5" fillId="0" borderId="6" xfId="0" applyNumberFormat="1" applyFont="1" applyBorder="1" applyAlignment="1">
      <alignment horizontal="center" vertical="center" wrapText="1"/>
    </xf>
    <xf numFmtId="176" fontId="5" fillId="0" borderId="7" xfId="0" applyNumberFormat="1" applyFont="1" applyBorder="1" applyAlignment="1">
      <alignment horizontal="center" vertical="center" wrapText="1"/>
    </xf>
    <xf numFmtId="0" fontId="5" fillId="0" borderId="8" xfId="0" applyFont="1" applyBorder="1" applyAlignment="1">
      <alignment horizontal="center" vertical="center" wrapText="1" readingOrder="1"/>
    </xf>
    <xf numFmtId="0" fontId="5" fillId="0" borderId="10" xfId="0" applyFont="1" applyBorder="1" applyAlignment="1">
      <alignment horizontal="center" vertical="center" wrapText="1" readingOrder="1"/>
    </xf>
    <xf numFmtId="0" fontId="8" fillId="0" borderId="4" xfId="0" applyFont="1" applyBorder="1" applyAlignment="1">
      <alignment horizontal="center" vertical="center" wrapText="1" readingOrder="1"/>
    </xf>
    <xf numFmtId="0" fontId="8" fillId="0" borderId="7" xfId="0" applyFont="1" applyBorder="1" applyAlignment="1">
      <alignment horizontal="center" vertical="center" wrapText="1" readingOrder="1"/>
    </xf>
    <xf numFmtId="0" fontId="4" fillId="0" borderId="4"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1" fillId="0" borderId="1" xfId="0" applyFont="1" applyBorder="1" applyAlignment="1">
      <alignment horizontal="center" vertical="center" wrapText="1"/>
    </xf>
    <xf numFmtId="0" fontId="14" fillId="0" borderId="5" xfId="0" applyFont="1" applyBorder="1" applyAlignment="1">
      <alignment horizontal="center" vertical="center" wrapText="1"/>
    </xf>
    <xf numFmtId="0" fontId="4" fillId="11" borderId="4" xfId="0" applyFont="1" applyFill="1" applyBorder="1" applyAlignment="1">
      <alignment horizontal="center" vertical="center"/>
    </xf>
    <xf numFmtId="0" fontId="4" fillId="11" borderId="6" xfId="0" applyFont="1" applyFill="1" applyBorder="1" applyAlignment="1">
      <alignment horizontal="center" vertical="center"/>
    </xf>
    <xf numFmtId="0" fontId="4" fillId="11" borderId="7" xfId="0" applyFont="1" applyFill="1" applyBorder="1" applyAlignment="1">
      <alignment horizontal="center" vertical="center"/>
    </xf>
    <xf numFmtId="0" fontId="27" fillId="0" borderId="4" xfId="0" applyFont="1" applyBorder="1" applyAlignment="1">
      <alignment horizontal="center" vertical="center" wrapText="1" readingOrder="1"/>
    </xf>
    <xf numFmtId="0" fontId="27" fillId="0" borderId="4" xfId="0" applyFont="1" applyFill="1" applyBorder="1" applyAlignment="1">
      <alignment horizontal="center" vertical="center" wrapText="1"/>
    </xf>
    <xf numFmtId="0" fontId="27" fillId="0" borderId="7" xfId="0" applyFont="1" applyFill="1" applyBorder="1" applyAlignment="1">
      <alignment horizontal="center" vertical="center" wrapText="1"/>
    </xf>
    <xf numFmtId="0" fontId="25" fillId="5" borderId="1" xfId="0" applyFont="1" applyFill="1" applyBorder="1" applyAlignment="1">
      <alignment horizontal="center" vertical="center" wrapText="1"/>
    </xf>
    <xf numFmtId="176" fontId="25" fillId="16" borderId="4" xfId="0" applyNumberFormat="1" applyFont="1" applyFill="1" applyBorder="1" applyAlignment="1">
      <alignment horizontal="center" vertical="center" wrapText="1"/>
    </xf>
    <xf numFmtId="176" fontId="25" fillId="16" borderId="6" xfId="0" applyNumberFormat="1" applyFont="1" applyFill="1" applyBorder="1" applyAlignment="1">
      <alignment horizontal="center" vertical="center" wrapText="1"/>
    </xf>
    <xf numFmtId="176" fontId="25" fillId="16" borderId="7" xfId="0" applyNumberFormat="1" applyFont="1" applyFill="1" applyBorder="1" applyAlignment="1">
      <alignment horizontal="center" vertical="center" wrapText="1"/>
    </xf>
    <xf numFmtId="0" fontId="25" fillId="16" borderId="4" xfId="0" applyFont="1" applyFill="1" applyBorder="1" applyAlignment="1">
      <alignment horizontal="center" vertical="center" wrapText="1"/>
    </xf>
    <xf numFmtId="0" fontId="25" fillId="16" borderId="6" xfId="0" applyFont="1" applyFill="1" applyBorder="1" applyAlignment="1">
      <alignment horizontal="center" vertical="center" wrapText="1"/>
    </xf>
    <xf numFmtId="0" fontId="25" fillId="16" borderId="7" xfId="0" applyFont="1" applyFill="1" applyBorder="1" applyAlignment="1">
      <alignment horizontal="center" vertical="center" wrapText="1"/>
    </xf>
    <xf numFmtId="178" fontId="25" fillId="17" borderId="4" xfId="0" applyNumberFormat="1" applyFont="1" applyFill="1" applyBorder="1" applyAlignment="1">
      <alignment horizontal="center" vertical="center" wrapText="1"/>
    </xf>
    <xf numFmtId="178" fontId="25" fillId="17" borderId="6" xfId="0" applyNumberFormat="1" applyFont="1" applyFill="1" applyBorder="1" applyAlignment="1">
      <alignment horizontal="center" vertical="center" wrapText="1"/>
    </xf>
    <xf numFmtId="178" fontId="25" fillId="17" borderId="7" xfId="0" applyNumberFormat="1"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5" fillId="3" borderId="4"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8" fillId="0" borderId="1" xfId="0" applyFont="1" applyBorder="1" applyAlignment="1">
      <alignment horizontal="center" vertical="center"/>
    </xf>
    <xf numFmtId="0" fontId="5" fillId="0" borderId="7" xfId="0" applyFont="1" applyBorder="1" applyAlignment="1">
      <alignment horizontal="center" vertical="center"/>
    </xf>
    <xf numFmtId="0" fontId="29" fillId="6" borderId="4" xfId="0" applyFont="1" applyFill="1" applyBorder="1" applyAlignment="1">
      <alignment horizontal="center" vertical="center" wrapText="1"/>
    </xf>
    <xf numFmtId="0" fontId="29" fillId="6" borderId="6" xfId="0" applyFont="1" applyFill="1" applyBorder="1" applyAlignment="1">
      <alignment horizontal="center" vertical="center" wrapText="1"/>
    </xf>
    <xf numFmtId="0" fontId="29" fillId="6" borderId="7" xfId="0" applyFont="1" applyFill="1" applyBorder="1" applyAlignment="1">
      <alignment horizontal="center" vertical="center" wrapText="1"/>
    </xf>
    <xf numFmtId="176" fontId="28" fillId="19" borderId="4" xfId="0" applyNumberFormat="1" applyFont="1" applyFill="1" applyBorder="1" applyAlignment="1">
      <alignment horizontal="center" vertical="center" wrapText="1"/>
    </xf>
    <xf numFmtId="176" fontId="28" fillId="19" borderId="6" xfId="0" applyNumberFormat="1" applyFont="1" applyFill="1" applyBorder="1" applyAlignment="1">
      <alignment horizontal="center" vertical="center" wrapText="1"/>
    </xf>
    <xf numFmtId="176" fontId="28" fillId="19" borderId="7" xfId="0" applyNumberFormat="1" applyFont="1" applyFill="1" applyBorder="1" applyAlignment="1">
      <alignment horizontal="center" vertical="center" wrapText="1"/>
    </xf>
    <xf numFmtId="176" fontId="25" fillId="19" borderId="4" xfId="0" applyNumberFormat="1" applyFont="1" applyFill="1" applyBorder="1" applyAlignment="1">
      <alignment horizontal="center" vertical="center" wrapText="1"/>
    </xf>
    <xf numFmtId="176" fontId="25" fillId="19" borderId="7" xfId="0" applyNumberFormat="1" applyFont="1" applyFill="1" applyBorder="1" applyAlignment="1">
      <alignment horizontal="center" vertical="center" wrapText="1"/>
    </xf>
    <xf numFmtId="0" fontId="25" fillId="19" borderId="4" xfId="0" applyFont="1" applyFill="1" applyBorder="1" applyAlignment="1">
      <alignment horizontal="center" vertical="center" wrapText="1"/>
    </xf>
    <xf numFmtId="0" fontId="25" fillId="19" borderId="6" xfId="0" applyFont="1" applyFill="1" applyBorder="1" applyAlignment="1">
      <alignment horizontal="center" vertical="center" wrapText="1"/>
    </xf>
    <xf numFmtId="0" fontId="25" fillId="19" borderId="7" xfId="0" applyFont="1" applyFill="1" applyBorder="1" applyAlignment="1">
      <alignment horizontal="center" vertical="center" wrapText="1"/>
    </xf>
    <xf numFmtId="0" fontId="27" fillId="0" borderId="2" xfId="0" applyFont="1" applyBorder="1" applyAlignment="1">
      <alignment horizontal="center" vertical="center" wrapText="1" readingOrder="1"/>
    </xf>
    <xf numFmtId="0" fontId="27" fillId="0" borderId="1" xfId="0" applyFont="1" applyBorder="1" applyAlignment="1">
      <alignment horizontal="center" vertical="center" wrapText="1" readingOrder="1"/>
    </xf>
    <xf numFmtId="0" fontId="27" fillId="0" borderId="9" xfId="0" applyFont="1" applyBorder="1" applyAlignment="1">
      <alignment horizontal="center" vertical="center" wrapText="1" readingOrder="1"/>
    </xf>
    <xf numFmtId="0" fontId="8" fillId="0" borderId="13" xfId="0" applyFont="1" applyBorder="1" applyAlignment="1">
      <alignment horizontal="center" vertical="center" wrapText="1" readingOrder="1"/>
    </xf>
    <xf numFmtId="0" fontId="25" fillId="0" borderId="1" xfId="0" applyFont="1" applyBorder="1" applyAlignment="1">
      <alignment horizontal="center" vertical="center" wrapText="1" readingOrder="1"/>
    </xf>
    <xf numFmtId="0" fontId="25" fillId="0" borderId="4" xfId="0" applyFont="1" applyBorder="1" applyAlignment="1">
      <alignment horizontal="center" vertical="center" wrapText="1" readingOrder="1"/>
    </xf>
    <xf numFmtId="0" fontId="25" fillId="11" borderId="4" xfId="0" applyFont="1" applyFill="1" applyBorder="1" applyAlignment="1">
      <alignment horizontal="center" vertical="center" wrapText="1" readingOrder="1"/>
    </xf>
    <xf numFmtId="0" fontId="24" fillId="0" borderId="4" xfId="0" applyFont="1" applyBorder="1" applyAlignment="1">
      <alignment horizontal="center" vertical="center" wrapText="1"/>
    </xf>
    <xf numFmtId="0" fontId="5" fillId="3" borderId="4" xfId="0" applyFont="1" applyFill="1" applyBorder="1" applyAlignment="1">
      <alignment horizontal="center" vertical="center" wrapText="1" readingOrder="1"/>
    </xf>
    <xf numFmtId="0" fontId="5" fillId="3" borderId="6" xfId="0" applyFont="1" applyFill="1" applyBorder="1" applyAlignment="1">
      <alignment horizontal="center" vertical="center" wrapText="1" readingOrder="1"/>
    </xf>
    <xf numFmtId="0" fontId="5" fillId="3" borderId="7" xfId="0" applyFont="1" applyFill="1" applyBorder="1" applyAlignment="1">
      <alignment horizontal="center" vertical="center" wrapText="1" readingOrder="1"/>
    </xf>
    <xf numFmtId="176" fontId="5" fillId="22" borderId="4" xfId="0" applyNumberFormat="1" applyFont="1" applyFill="1" applyBorder="1" applyAlignment="1">
      <alignment horizontal="center" vertical="center" wrapText="1"/>
    </xf>
    <xf numFmtId="176" fontId="5" fillId="22" borderId="6" xfId="0" applyNumberFormat="1" applyFont="1" applyFill="1" applyBorder="1" applyAlignment="1">
      <alignment horizontal="center" vertical="center" wrapText="1"/>
    </xf>
    <xf numFmtId="176" fontId="5" fillId="22" borderId="7" xfId="0" applyNumberFormat="1" applyFont="1" applyFill="1" applyBorder="1" applyAlignment="1">
      <alignment horizontal="center" vertical="center" wrapText="1"/>
    </xf>
    <xf numFmtId="0" fontId="5" fillId="0" borderId="4" xfId="0" applyFont="1" applyFill="1" applyBorder="1" applyAlignment="1">
      <alignment horizontal="center" vertical="center" wrapText="1" readingOrder="1"/>
    </xf>
    <xf numFmtId="0" fontId="5" fillId="0" borderId="6" xfId="0" applyFont="1" applyFill="1" applyBorder="1" applyAlignment="1">
      <alignment horizontal="center" vertical="center" wrapText="1" readingOrder="1"/>
    </xf>
    <xf numFmtId="0" fontId="5" fillId="0" borderId="7" xfId="0" applyFont="1" applyFill="1" applyBorder="1" applyAlignment="1">
      <alignment horizontal="center" vertical="center" wrapText="1" readingOrder="1"/>
    </xf>
    <xf numFmtId="1" fontId="1" fillId="26" borderId="6" xfId="0" applyNumberFormat="1" applyFont="1" applyFill="1" applyBorder="1" applyAlignment="1">
      <alignment horizontal="center" vertical="center" wrapText="1"/>
    </xf>
    <xf numFmtId="1" fontId="1" fillId="26" borderId="7" xfId="0" applyNumberFormat="1" applyFont="1" applyFill="1" applyBorder="1" applyAlignment="1">
      <alignment horizontal="center" vertical="center" wrapText="1"/>
    </xf>
    <xf numFmtId="0" fontId="25" fillId="0" borderId="4"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7" xfId="0" applyFont="1" applyBorder="1" applyAlignment="1">
      <alignment horizontal="center" vertical="center" wrapText="1"/>
    </xf>
    <xf numFmtId="1" fontId="1" fillId="17" borderId="6" xfId="0" applyNumberFormat="1" applyFont="1" applyFill="1" applyBorder="1" applyAlignment="1">
      <alignment horizontal="center" vertical="center" wrapText="1"/>
    </xf>
    <xf numFmtId="1" fontId="1" fillId="17" borderId="7" xfId="0" applyNumberFormat="1" applyFont="1" applyFill="1" applyBorder="1" applyAlignment="1">
      <alignment horizontal="center" vertical="center" wrapText="1"/>
    </xf>
    <xf numFmtId="1" fontId="1" fillId="20" borderId="1" xfId="0" applyNumberFormat="1" applyFont="1" applyFill="1" applyBorder="1" applyAlignment="1">
      <alignment horizontal="center" vertical="center" wrapText="1"/>
    </xf>
    <xf numFmtId="176" fontId="5" fillId="0" borderId="4" xfId="0" applyNumberFormat="1" applyFont="1" applyFill="1" applyBorder="1" applyAlignment="1">
      <alignment horizontal="center" vertical="center" wrapText="1"/>
    </xf>
    <xf numFmtId="176" fontId="5" fillId="0" borderId="6" xfId="0" applyNumberFormat="1" applyFont="1" applyFill="1" applyBorder="1" applyAlignment="1">
      <alignment horizontal="center" vertical="center" wrapText="1"/>
    </xf>
    <xf numFmtId="176" fontId="5" fillId="0" borderId="7" xfId="0" applyNumberFormat="1" applyFont="1" applyFill="1" applyBorder="1" applyAlignment="1">
      <alignment horizontal="center" vertical="center" wrapText="1"/>
    </xf>
    <xf numFmtId="177" fontId="1" fillId="26" borderId="6" xfId="0" applyNumberFormat="1" applyFont="1" applyFill="1" applyBorder="1" applyAlignment="1">
      <alignment horizontal="center" vertical="center" wrapText="1"/>
    </xf>
    <xf numFmtId="177" fontId="1" fillId="26" borderId="7" xfId="0" applyNumberFormat="1" applyFont="1" applyFill="1" applyBorder="1" applyAlignment="1">
      <alignment horizontal="center" vertical="center" wrapText="1"/>
    </xf>
    <xf numFmtId="0" fontId="24" fillId="3" borderId="4" xfId="0" applyFont="1" applyFill="1" applyBorder="1" applyAlignment="1">
      <alignment horizontal="center" vertical="center" wrapText="1" readingOrder="1"/>
    </xf>
    <xf numFmtId="0" fontId="24" fillId="3" borderId="6" xfId="0" applyFont="1" applyFill="1" applyBorder="1" applyAlignment="1">
      <alignment horizontal="center" vertical="center" wrapText="1" readingOrder="1"/>
    </xf>
    <xf numFmtId="0" fontId="24" fillId="3" borderId="7" xfId="0" applyFont="1" applyFill="1" applyBorder="1" applyAlignment="1">
      <alignment horizontal="center" vertical="center" wrapText="1" readingOrder="1"/>
    </xf>
    <xf numFmtId="0" fontId="4" fillId="3" borderId="1" xfId="0" applyFont="1" applyFill="1" applyBorder="1" applyAlignment="1">
      <alignment horizontal="center" vertical="center" wrapText="1" readingOrder="1"/>
    </xf>
    <xf numFmtId="1" fontId="8" fillId="0" borderId="4" xfId="0" applyNumberFormat="1" applyFont="1" applyFill="1" applyBorder="1" applyAlignment="1">
      <alignment horizontal="center" vertical="center" wrapText="1"/>
    </xf>
    <xf numFmtId="1" fontId="8" fillId="0" borderId="7" xfId="0" applyNumberFormat="1"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24" fillId="0" borderId="1" xfId="0" applyFont="1" applyBorder="1" applyAlignment="1">
      <alignment horizontal="center" vertical="center" wrapText="1"/>
    </xf>
    <xf numFmtId="0" fontId="5" fillId="14" borderId="1" xfId="0" applyFont="1" applyFill="1" applyBorder="1" applyAlignment="1">
      <alignment horizontal="center" vertical="center" wrapText="1"/>
    </xf>
    <xf numFmtId="1" fontId="5" fillId="5"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25" fillId="4" borderId="1" xfId="0" applyFont="1" applyFill="1" applyBorder="1" applyAlignment="1">
      <alignment horizontal="center" vertical="center" wrapText="1"/>
    </xf>
    <xf numFmtId="178" fontId="5" fillId="10" borderId="4" xfId="0" applyNumberFormat="1" applyFont="1" applyFill="1" applyBorder="1" applyAlignment="1">
      <alignment horizontal="center" vertical="center" wrapText="1"/>
    </xf>
    <xf numFmtId="178" fontId="5" fillId="10" borderId="6" xfId="0" applyNumberFormat="1" applyFont="1" applyFill="1" applyBorder="1" applyAlignment="1">
      <alignment horizontal="center" vertical="center" wrapText="1"/>
    </xf>
    <xf numFmtId="178" fontId="5" fillId="10" borderId="7" xfId="0" applyNumberFormat="1" applyFont="1" applyFill="1" applyBorder="1" applyAlignment="1">
      <alignment horizontal="center" vertical="center" wrapText="1"/>
    </xf>
    <xf numFmtId="0" fontId="25" fillId="0" borderId="4" xfId="0" applyFont="1" applyBorder="1" applyAlignment="1">
      <alignment horizontal="center" vertical="center"/>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5" fillId="4" borderId="4"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1" fillId="0" borderId="12" xfId="0" applyFont="1" applyBorder="1" applyAlignment="1">
      <alignment horizontal="center" vertical="center" wrapText="1"/>
    </xf>
    <xf numFmtId="9" fontId="5" fillId="4" borderId="4" xfId="0" applyNumberFormat="1" applyFont="1" applyFill="1" applyBorder="1" applyAlignment="1">
      <alignment horizontal="center" vertical="center" wrapText="1"/>
    </xf>
    <xf numFmtId="9" fontId="5" fillId="4" borderId="6" xfId="0" applyNumberFormat="1" applyFont="1" applyFill="1" applyBorder="1" applyAlignment="1">
      <alignment horizontal="center" vertical="center" wrapText="1"/>
    </xf>
    <xf numFmtId="9" fontId="5" fillId="4" borderId="7" xfId="0" applyNumberFormat="1" applyFont="1" applyFill="1" applyBorder="1" applyAlignment="1">
      <alignment horizontal="center" vertical="center" wrapText="1"/>
    </xf>
    <xf numFmtId="1" fontId="5" fillId="9" borderId="4" xfId="0" applyNumberFormat="1" applyFont="1" applyFill="1" applyBorder="1" applyAlignment="1">
      <alignment horizontal="center" vertical="center" wrapText="1"/>
    </xf>
    <xf numFmtId="1" fontId="5" fillId="9" borderId="6" xfId="0" applyNumberFormat="1" applyFont="1" applyFill="1" applyBorder="1" applyAlignment="1">
      <alignment horizontal="center" vertical="center" wrapText="1"/>
    </xf>
    <xf numFmtId="1" fontId="5" fillId="9" borderId="7" xfId="0" applyNumberFormat="1" applyFont="1" applyFill="1" applyBorder="1" applyAlignment="1">
      <alignment horizontal="center" vertical="center" wrapText="1"/>
    </xf>
    <xf numFmtId="0" fontId="5" fillId="9" borderId="4" xfId="0" applyFont="1" applyFill="1" applyBorder="1" applyAlignment="1">
      <alignment horizontal="center" vertical="center" wrapText="1"/>
    </xf>
    <xf numFmtId="0" fontId="5" fillId="9" borderId="6" xfId="0" applyFont="1" applyFill="1" applyBorder="1" applyAlignment="1">
      <alignment horizontal="center" vertical="center" wrapText="1"/>
    </xf>
    <xf numFmtId="0" fontId="5" fillId="9" borderId="7" xfId="0" applyFont="1" applyFill="1" applyBorder="1" applyAlignment="1">
      <alignment horizontal="center" vertical="center" wrapText="1"/>
    </xf>
    <xf numFmtId="1" fontId="5" fillId="13" borderId="4" xfId="0" applyNumberFormat="1" applyFont="1" applyFill="1" applyBorder="1" applyAlignment="1">
      <alignment horizontal="center" vertical="center" wrapText="1"/>
    </xf>
    <xf numFmtId="1" fontId="5" fillId="13" borderId="6" xfId="0" applyNumberFormat="1" applyFont="1" applyFill="1" applyBorder="1" applyAlignment="1">
      <alignment horizontal="center" vertical="center" wrapText="1"/>
    </xf>
    <xf numFmtId="1" fontId="5" fillId="13" borderId="7" xfId="0" applyNumberFormat="1" applyFont="1" applyFill="1" applyBorder="1" applyAlignment="1">
      <alignment horizontal="center" vertical="center" wrapText="1"/>
    </xf>
    <xf numFmtId="176" fontId="5" fillId="13" borderId="4" xfId="0" applyNumberFormat="1" applyFont="1" applyFill="1" applyBorder="1" applyAlignment="1">
      <alignment horizontal="center" vertical="center" wrapText="1"/>
    </xf>
    <xf numFmtId="176" fontId="5" fillId="13" borderId="6" xfId="0" applyNumberFormat="1" applyFont="1" applyFill="1" applyBorder="1" applyAlignment="1">
      <alignment horizontal="center" vertical="center" wrapText="1"/>
    </xf>
    <xf numFmtId="176" fontId="5" fillId="13" borderId="7" xfId="0" applyNumberFormat="1" applyFont="1" applyFill="1" applyBorder="1" applyAlignment="1">
      <alignment horizontal="center" vertical="center" wrapText="1"/>
    </xf>
    <xf numFmtId="0" fontId="5" fillId="13" borderId="4" xfId="0" applyFont="1" applyFill="1" applyBorder="1" applyAlignment="1">
      <alignment horizontal="center" vertical="center" wrapText="1"/>
    </xf>
    <xf numFmtId="0" fontId="5" fillId="13" borderId="6" xfId="0" applyFont="1" applyFill="1" applyBorder="1" applyAlignment="1">
      <alignment horizontal="center" vertical="center" wrapText="1"/>
    </xf>
    <xf numFmtId="0" fontId="5" fillId="13" borderId="7" xfId="0" applyFont="1" applyFill="1" applyBorder="1" applyAlignment="1">
      <alignment horizontal="center" vertical="center" wrapText="1"/>
    </xf>
    <xf numFmtId="1" fontId="5" fillId="6" borderId="4" xfId="0" applyNumberFormat="1" applyFont="1" applyFill="1" applyBorder="1" applyAlignment="1">
      <alignment horizontal="center" vertical="center" wrapText="1"/>
    </xf>
    <xf numFmtId="1" fontId="5" fillId="6" borderId="6" xfId="0" applyNumberFormat="1" applyFont="1" applyFill="1" applyBorder="1" applyAlignment="1">
      <alignment horizontal="center" vertical="center" wrapText="1"/>
    </xf>
    <xf numFmtId="1" fontId="5" fillId="6" borderId="7" xfId="0" applyNumberFormat="1"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179" fontId="5" fillId="4" borderId="4" xfId="0" applyNumberFormat="1" applyFont="1" applyFill="1" applyBorder="1" applyAlignment="1">
      <alignment horizontal="center" vertical="center" wrapText="1"/>
    </xf>
    <xf numFmtId="179" fontId="5" fillId="4" borderId="6" xfId="0" applyNumberFormat="1" applyFont="1" applyFill="1" applyBorder="1" applyAlignment="1">
      <alignment horizontal="center" vertical="center" wrapText="1"/>
    </xf>
    <xf numFmtId="9" fontId="5" fillId="14" borderId="4" xfId="0" applyNumberFormat="1" applyFont="1" applyFill="1" applyBorder="1" applyAlignment="1">
      <alignment horizontal="center" vertical="center" wrapText="1"/>
    </xf>
    <xf numFmtId="0" fontId="5" fillId="14" borderId="6" xfId="0" applyFont="1" applyFill="1" applyBorder="1" applyAlignment="1">
      <alignment horizontal="center" vertical="center" wrapText="1"/>
    </xf>
    <xf numFmtId="0" fontId="5" fillId="14" borderId="7" xfId="0" applyFont="1" applyFill="1" applyBorder="1" applyAlignment="1">
      <alignment horizontal="center" vertical="center" wrapText="1"/>
    </xf>
    <xf numFmtId="176" fontId="5" fillId="9" borderId="4" xfId="0" applyNumberFormat="1" applyFont="1" applyFill="1" applyBorder="1" applyAlignment="1">
      <alignment horizontal="center" vertical="center" wrapText="1"/>
    </xf>
    <xf numFmtId="176" fontId="5" fillId="9" borderId="6" xfId="0" applyNumberFormat="1" applyFont="1" applyFill="1" applyBorder="1" applyAlignment="1">
      <alignment horizontal="center" vertical="center" wrapText="1"/>
    </xf>
    <xf numFmtId="176" fontId="5" fillId="9" borderId="7"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readingOrder="1"/>
    </xf>
    <xf numFmtId="0" fontId="8" fillId="14" borderId="4" xfId="0" applyFont="1" applyFill="1" applyBorder="1" applyAlignment="1">
      <alignment horizontal="center" vertical="center" wrapText="1"/>
    </xf>
    <xf numFmtId="0" fontId="8" fillId="14" borderId="7" xfId="0" applyFont="1" applyFill="1" applyBorder="1" applyAlignment="1">
      <alignment horizontal="center" vertical="center" wrapText="1"/>
    </xf>
    <xf numFmtId="0" fontId="4" fillId="25" borderId="4" xfId="0" applyFont="1" applyFill="1" applyBorder="1" applyAlignment="1">
      <alignment horizontal="center" vertical="center" wrapText="1"/>
    </xf>
    <xf numFmtId="0" fontId="4" fillId="25" borderId="7" xfId="0" applyFont="1" applyFill="1" applyBorder="1" applyAlignment="1">
      <alignment horizontal="center" vertical="center" wrapText="1"/>
    </xf>
    <xf numFmtId="0" fontId="25" fillId="0" borderId="6" xfId="0" applyFont="1" applyBorder="1" applyAlignment="1">
      <alignment horizontal="center" vertical="center" wrapText="1" readingOrder="1"/>
    </xf>
    <xf numFmtId="0" fontId="25" fillId="0" borderId="7" xfId="0" applyFont="1" applyBorder="1" applyAlignment="1">
      <alignment horizontal="center" vertical="center" wrapText="1" readingOrder="1"/>
    </xf>
    <xf numFmtId="0" fontId="5" fillId="18" borderId="4" xfId="0" applyFont="1" applyFill="1" applyBorder="1" applyAlignment="1">
      <alignment horizontal="center" vertical="center" wrapText="1"/>
    </xf>
    <xf numFmtId="0" fontId="5" fillId="18" borderId="7" xfId="0" applyFont="1" applyFill="1" applyBorder="1" applyAlignment="1">
      <alignment horizontal="center" vertical="center" wrapText="1"/>
    </xf>
    <xf numFmtId="0" fontId="4" fillId="0" borderId="1" xfId="0" applyFont="1" applyBorder="1" applyAlignment="1">
      <alignment horizontal="center" vertical="center" readingOrder="1"/>
    </xf>
    <xf numFmtId="1" fontId="5" fillId="8" borderId="4" xfId="0" applyNumberFormat="1" applyFont="1" applyFill="1" applyBorder="1" applyAlignment="1">
      <alignment horizontal="center" vertical="center" wrapText="1"/>
    </xf>
    <xf numFmtId="1" fontId="5" fillId="8" borderId="7" xfId="0" applyNumberFormat="1" applyFont="1" applyFill="1" applyBorder="1" applyAlignment="1">
      <alignment horizontal="center" vertical="center" wrapText="1"/>
    </xf>
    <xf numFmtId="1" fontId="4" fillId="25" borderId="4" xfId="0" applyNumberFormat="1" applyFont="1" applyFill="1" applyBorder="1" applyAlignment="1">
      <alignment horizontal="center" vertical="center" wrapText="1"/>
    </xf>
    <xf numFmtId="1" fontId="4" fillId="25" borderId="7" xfId="0" applyNumberFormat="1" applyFont="1" applyFill="1" applyBorder="1" applyAlignment="1">
      <alignment horizontal="center" vertical="center" wrapText="1"/>
    </xf>
    <xf numFmtId="0" fontId="4" fillId="0" borderId="1" xfId="0" applyFont="1" applyBorder="1" applyAlignment="1">
      <alignment horizontal="center" vertical="center"/>
    </xf>
    <xf numFmtId="0" fontId="5" fillId="26" borderId="4" xfId="0" applyFont="1" applyFill="1" applyBorder="1" applyAlignment="1">
      <alignment horizontal="center" vertical="center" wrapText="1"/>
    </xf>
    <xf numFmtId="0" fontId="5" fillId="26" borderId="6" xfId="0" applyFont="1" applyFill="1" applyBorder="1" applyAlignment="1">
      <alignment horizontal="center" vertical="center" wrapText="1"/>
    </xf>
    <xf numFmtId="0" fontId="5" fillId="26" borderId="7" xfId="0" applyFont="1" applyFill="1" applyBorder="1" applyAlignment="1">
      <alignment horizontal="center" vertical="center" wrapText="1"/>
    </xf>
    <xf numFmtId="0" fontId="1" fillId="0" borderId="12" xfId="0" applyFont="1" applyBorder="1" applyAlignment="1">
      <alignment horizontal="center" vertical="center"/>
    </xf>
    <xf numFmtId="177" fontId="1" fillId="17" borderId="6" xfId="0" applyNumberFormat="1" applyFont="1" applyFill="1" applyBorder="1" applyAlignment="1">
      <alignment horizontal="center" vertical="center" wrapText="1"/>
    </xf>
    <xf numFmtId="177" fontId="1" fillId="17" borderId="7" xfId="0" applyNumberFormat="1" applyFont="1" applyFill="1" applyBorder="1" applyAlignment="1">
      <alignment horizontal="center" vertical="center" wrapText="1"/>
    </xf>
    <xf numFmtId="0" fontId="4" fillId="3" borderId="4" xfId="0" applyFont="1" applyFill="1" applyBorder="1" applyAlignment="1">
      <alignment horizontal="center" vertical="center" wrapText="1" readingOrder="1"/>
    </xf>
    <xf numFmtId="0" fontId="4" fillId="3" borderId="6" xfId="0" applyFont="1" applyFill="1" applyBorder="1" applyAlignment="1">
      <alignment horizontal="center" vertical="center" wrapText="1" readingOrder="1"/>
    </xf>
    <xf numFmtId="0" fontId="4" fillId="3" borderId="7" xfId="0" applyFont="1" applyFill="1" applyBorder="1" applyAlignment="1">
      <alignment horizontal="center" vertical="center" wrapText="1" readingOrder="1"/>
    </xf>
    <xf numFmtId="0" fontId="4" fillId="0" borderId="6" xfId="0" applyFont="1" applyBorder="1" applyAlignment="1">
      <alignment horizontal="center" vertical="center" wrapText="1"/>
    </xf>
    <xf numFmtId="1" fontId="5" fillId="16" borderId="4" xfId="0" applyNumberFormat="1" applyFont="1" applyFill="1" applyBorder="1" applyAlignment="1">
      <alignment horizontal="center" vertical="center" wrapText="1"/>
    </xf>
    <xf numFmtId="1" fontId="5" fillId="16" borderId="6" xfId="0" applyNumberFormat="1" applyFont="1" applyFill="1" applyBorder="1" applyAlignment="1">
      <alignment horizontal="center" vertical="center" wrapText="1"/>
    </xf>
    <xf numFmtId="1" fontId="5" fillId="16" borderId="7" xfId="0" applyNumberFormat="1" applyFont="1" applyFill="1" applyBorder="1" applyAlignment="1">
      <alignment horizontal="center" vertical="center" wrapText="1"/>
    </xf>
    <xf numFmtId="1" fontId="5" fillId="26" borderId="4" xfId="0" applyNumberFormat="1" applyFont="1" applyFill="1" applyBorder="1" applyAlignment="1">
      <alignment horizontal="center" vertical="center" wrapText="1"/>
    </xf>
    <xf numFmtId="1" fontId="5" fillId="26" borderId="6" xfId="0" applyNumberFormat="1" applyFont="1" applyFill="1" applyBorder="1" applyAlignment="1">
      <alignment horizontal="center" vertical="center" wrapText="1"/>
    </xf>
    <xf numFmtId="1" fontId="5" fillId="26" borderId="7" xfId="0" applyNumberFormat="1" applyFont="1" applyFill="1" applyBorder="1" applyAlignment="1">
      <alignment horizontal="center" vertical="center" wrapText="1"/>
    </xf>
    <xf numFmtId="1" fontId="5" fillId="18" borderId="4" xfId="0" applyNumberFormat="1" applyFont="1" applyFill="1" applyBorder="1" applyAlignment="1">
      <alignment horizontal="center" vertical="center" wrapText="1"/>
    </xf>
    <xf numFmtId="1" fontId="5" fillId="18" borderId="7" xfId="0" applyNumberFormat="1" applyFont="1" applyFill="1" applyBorder="1" applyAlignment="1">
      <alignment horizontal="center" vertical="center" wrapText="1"/>
    </xf>
    <xf numFmtId="177" fontId="5" fillId="26" borderId="4" xfId="0" applyNumberFormat="1" applyFont="1" applyFill="1" applyBorder="1" applyAlignment="1">
      <alignment horizontal="center" vertical="center" wrapText="1"/>
    </xf>
    <xf numFmtId="177" fontId="5" fillId="26" borderId="7" xfId="0" applyNumberFormat="1" applyFont="1" applyFill="1" applyBorder="1" applyAlignment="1">
      <alignment horizontal="center" vertical="center" wrapText="1"/>
    </xf>
    <xf numFmtId="1" fontId="5" fillId="0" borderId="1" xfId="0" applyNumberFormat="1" applyFont="1" applyFill="1" applyBorder="1" applyAlignment="1">
      <alignment horizontal="center" vertical="center" wrapText="1"/>
    </xf>
    <xf numFmtId="0" fontId="8" fillId="26" borderId="4" xfId="0" applyFont="1" applyFill="1" applyBorder="1" applyAlignment="1">
      <alignment horizontal="center" vertical="center" wrapText="1" readingOrder="1"/>
    </xf>
    <xf numFmtId="0" fontId="8" fillId="26" borderId="7" xfId="0" applyFont="1" applyFill="1" applyBorder="1" applyAlignment="1">
      <alignment horizontal="center" vertical="center" wrapText="1" readingOrder="1"/>
    </xf>
    <xf numFmtId="0" fontId="5" fillId="0" borderId="4"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0" fontId="5" fillId="0" borderId="7" xfId="0" applyNumberFormat="1" applyFont="1" applyFill="1" applyBorder="1" applyAlignment="1">
      <alignment horizontal="center" vertical="center" wrapText="1"/>
    </xf>
    <xf numFmtId="0" fontId="5" fillId="0" borderId="4"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5" fillId="0" borderId="7" xfId="0" applyNumberFormat="1" applyFont="1" applyBorder="1" applyAlignment="1">
      <alignment horizontal="center" vertical="center" wrapText="1"/>
    </xf>
    <xf numFmtId="0" fontId="5" fillId="0" borderId="4"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1" fontId="5" fillId="0" borderId="4" xfId="0" applyNumberFormat="1" applyFont="1" applyFill="1" applyBorder="1" applyAlignment="1">
      <alignment horizontal="center" vertical="center" wrapText="1"/>
    </xf>
    <xf numFmtId="1" fontId="5" fillId="0" borderId="6" xfId="0" applyNumberFormat="1" applyFont="1" applyFill="1" applyBorder="1" applyAlignment="1">
      <alignment horizontal="center" vertical="center" wrapText="1"/>
    </xf>
    <xf numFmtId="1" fontId="5" fillId="0" borderId="7"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2" fillId="0" borderId="12" xfId="0" applyFont="1" applyFill="1" applyBorder="1" applyAlignment="1">
      <alignment horizontal="center" vertical="center" wrapText="1"/>
    </xf>
    <xf numFmtId="0" fontId="5" fillId="0" borderId="11" xfId="0" applyFont="1" applyBorder="1" applyAlignment="1">
      <alignment horizontal="center" vertical="center" wrapText="1" readingOrder="1"/>
    </xf>
    <xf numFmtId="0" fontId="8" fillId="26" borderId="4" xfId="0" applyFont="1" applyFill="1" applyBorder="1" applyAlignment="1">
      <alignment horizontal="center" vertical="center" wrapText="1"/>
    </xf>
    <xf numFmtId="0" fontId="8" fillId="26" borderId="7" xfId="0" applyFont="1" applyFill="1" applyBorder="1" applyAlignment="1">
      <alignment horizontal="center" vertical="center" wrapText="1"/>
    </xf>
    <xf numFmtId="0" fontId="8" fillId="26" borderId="1" xfId="0" applyFont="1" applyFill="1" applyBorder="1" applyAlignment="1">
      <alignment horizontal="center" vertical="center" wrapText="1" readingOrder="1"/>
    </xf>
    <xf numFmtId="0" fontId="8" fillId="26" borderId="1" xfId="0" applyFont="1" applyFill="1" applyBorder="1" applyAlignment="1">
      <alignment horizontal="center" vertical="center" wrapText="1"/>
    </xf>
    <xf numFmtId="0" fontId="8" fillId="26" borderId="8" xfId="0" applyFont="1" applyFill="1" applyBorder="1" applyAlignment="1">
      <alignment horizontal="center" vertical="center" wrapText="1" readingOrder="1"/>
    </xf>
    <xf numFmtId="0" fontId="8" fillId="26" borderId="11" xfId="0" applyFont="1" applyFill="1" applyBorder="1" applyAlignment="1">
      <alignment horizontal="center" vertical="center" wrapText="1" readingOrder="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PT/&#31215;&#20998;&#39033;&#30446;/2021.4.13/&#23448;&#32593;&#25351;&#26631;%20(&#33258;&#21160;&#20445;&#23384;&#303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官网6个月"/>
      <sheetName val="过程数据"/>
      <sheetName val="其他"/>
      <sheetName val="Sheet1 (2)"/>
      <sheetName val="测试人员"/>
    </sheetNames>
    <sheetDataSet>
      <sheetData sheetId="0" refreshError="1">
        <row r="8">
          <cell r="G8">
            <v>0</v>
          </cell>
        </row>
        <row r="17">
          <cell r="G17">
            <v>0</v>
          </cell>
        </row>
        <row r="26">
          <cell r="G26">
            <v>0</v>
          </cell>
        </row>
        <row r="35">
          <cell r="G35">
            <v>0</v>
          </cell>
        </row>
        <row r="45">
          <cell r="G45">
            <v>0</v>
          </cell>
        </row>
        <row r="55">
          <cell r="G55">
            <v>0</v>
          </cell>
        </row>
        <row r="64">
          <cell r="G64">
            <v>0</v>
          </cell>
        </row>
        <row r="74">
          <cell r="G74">
            <v>0</v>
          </cell>
        </row>
      </sheetData>
      <sheetData sheetId="1" refreshError="1">
        <row r="8">
          <cell r="G8">
            <v>0</v>
          </cell>
        </row>
        <row r="17">
          <cell r="G17">
            <v>0</v>
          </cell>
        </row>
        <row r="26">
          <cell r="G26">
            <v>0</v>
          </cell>
        </row>
        <row r="36">
          <cell r="G36">
            <v>0</v>
          </cell>
        </row>
        <row r="46">
          <cell r="G46">
            <v>0</v>
          </cell>
        </row>
        <row r="56">
          <cell r="G56">
            <v>0</v>
          </cell>
        </row>
        <row r="66">
          <cell r="G66">
            <v>0</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topLeftCell="A22" workbookViewId="0">
      <selection activeCell="G56" sqref="G56:G61"/>
    </sheetView>
  </sheetViews>
  <sheetFormatPr defaultColWidth="9" defaultRowHeight="14.25" x14ac:dyDescent="0.2"/>
  <cols>
    <col min="1" max="1" width="4.25" style="107" customWidth="1"/>
    <col min="2" max="2" width="4.375" style="107" hidden="1" customWidth="1"/>
    <col min="3" max="3" width="4.75" style="107" customWidth="1"/>
    <col min="4" max="4" width="8.25" style="107" customWidth="1"/>
    <col min="5" max="5" width="18.875" style="107" customWidth="1"/>
    <col min="6" max="6" width="7.5" style="107" customWidth="1"/>
    <col min="7" max="7" width="18.5" style="107" customWidth="1"/>
    <col min="8" max="8" width="17.25" style="107" customWidth="1"/>
    <col min="9" max="9" width="6.75" style="107" customWidth="1"/>
    <col min="10" max="10" width="19" style="108" customWidth="1"/>
    <col min="11" max="11" width="12.25" style="107" customWidth="1"/>
    <col min="12" max="12" width="12" style="108" customWidth="1"/>
    <col min="13" max="13" width="4.75" style="107" customWidth="1"/>
    <col min="14" max="16384" width="9" style="107"/>
  </cols>
  <sheetData>
    <row r="1" spans="1:13" ht="21" customHeight="1" x14ac:dyDescent="0.2">
      <c r="A1" s="369" t="s">
        <v>0</v>
      </c>
      <c r="B1" s="369"/>
      <c r="C1" s="369"/>
      <c r="D1" s="369"/>
      <c r="E1" s="369"/>
      <c r="F1" s="369"/>
      <c r="G1" s="369"/>
      <c r="H1" s="369"/>
      <c r="I1" s="109"/>
    </row>
    <row r="2" spans="1:13" ht="16.5" customHeight="1" x14ac:dyDescent="0.2">
      <c r="A2" s="415" t="s">
        <v>1</v>
      </c>
      <c r="B2" s="416"/>
      <c r="C2" s="374" t="s">
        <v>2</v>
      </c>
      <c r="D2" s="374" t="s">
        <v>3</v>
      </c>
      <c r="E2" s="374" t="s">
        <v>4</v>
      </c>
      <c r="F2" s="389" t="s">
        <v>5</v>
      </c>
      <c r="G2" s="370" t="s">
        <v>6</v>
      </c>
      <c r="H2" s="370" t="s">
        <v>7</v>
      </c>
      <c r="I2" s="370"/>
      <c r="J2" s="397" t="s">
        <v>8</v>
      </c>
      <c r="K2" s="421" t="s">
        <v>9</v>
      </c>
      <c r="L2" s="419" t="s">
        <v>10</v>
      </c>
    </row>
    <row r="3" spans="1:13" ht="18.75" customHeight="1" x14ac:dyDescent="0.2">
      <c r="A3" s="417"/>
      <c r="B3" s="418"/>
      <c r="C3" s="374"/>
      <c r="D3" s="374"/>
      <c r="E3" s="374"/>
      <c r="F3" s="390"/>
      <c r="G3" s="370"/>
      <c r="H3" s="111" t="s">
        <v>11</v>
      </c>
      <c r="I3" s="110" t="s">
        <v>12</v>
      </c>
      <c r="J3" s="397"/>
      <c r="K3" s="421"/>
      <c r="L3" s="420"/>
    </row>
    <row r="4" spans="1:13" ht="21" customHeight="1" x14ac:dyDescent="0.2">
      <c r="A4" s="410" t="s">
        <v>13</v>
      </c>
      <c r="B4" s="407"/>
      <c r="C4" s="375">
        <v>135</v>
      </c>
      <c r="D4" s="365" t="s">
        <v>14</v>
      </c>
      <c r="E4" s="364" t="s">
        <v>15</v>
      </c>
      <c r="F4" s="373">
        <v>30</v>
      </c>
      <c r="G4" s="364" t="s">
        <v>16</v>
      </c>
      <c r="H4" s="112" t="s">
        <v>17</v>
      </c>
      <c r="I4" s="128" t="s">
        <v>18</v>
      </c>
      <c r="J4" s="393"/>
      <c r="L4" s="393" t="s">
        <v>19</v>
      </c>
    </row>
    <row r="5" spans="1:13" ht="21" customHeight="1" x14ac:dyDescent="0.2">
      <c r="A5" s="408"/>
      <c r="B5" s="409"/>
      <c r="C5" s="375"/>
      <c r="D5" s="366"/>
      <c r="E5" s="364"/>
      <c r="F5" s="373"/>
      <c r="G5" s="364"/>
      <c r="H5" s="112" t="s">
        <v>20</v>
      </c>
      <c r="I5" s="128" t="s">
        <v>21</v>
      </c>
      <c r="J5" s="394"/>
      <c r="K5" s="129"/>
      <c r="L5" s="394"/>
    </row>
    <row r="6" spans="1:13" ht="21" customHeight="1" x14ac:dyDescent="0.2">
      <c r="A6" s="408"/>
      <c r="B6" s="409"/>
      <c r="C6" s="375"/>
      <c r="D6" s="366"/>
      <c r="E6" s="364"/>
      <c r="F6" s="373"/>
      <c r="G6" s="364"/>
      <c r="H6" s="112" t="s">
        <v>22</v>
      </c>
      <c r="I6" s="128" t="s">
        <v>23</v>
      </c>
      <c r="J6" s="394"/>
      <c r="K6" s="129"/>
      <c r="L6" s="394"/>
    </row>
    <row r="7" spans="1:13" ht="21" customHeight="1" x14ac:dyDescent="0.2">
      <c r="A7" s="408"/>
      <c r="B7" s="409"/>
      <c r="C7" s="375"/>
      <c r="D7" s="366"/>
      <c r="E7" s="364"/>
      <c r="F7" s="373"/>
      <c r="G7" s="364"/>
      <c r="H7" s="112" t="s">
        <v>24</v>
      </c>
      <c r="I7" s="128" t="s">
        <v>25</v>
      </c>
      <c r="J7" s="394"/>
      <c r="K7" s="129"/>
      <c r="L7" s="394"/>
    </row>
    <row r="8" spans="1:13" ht="21" customHeight="1" x14ac:dyDescent="0.2">
      <c r="A8" s="408"/>
      <c r="B8" s="409"/>
      <c r="C8" s="375"/>
      <c r="D8" s="366"/>
      <c r="E8" s="364"/>
      <c r="F8" s="373"/>
      <c r="G8" s="364"/>
      <c r="H8" s="112" t="s">
        <v>26</v>
      </c>
      <c r="I8" s="128" t="s">
        <v>27</v>
      </c>
      <c r="J8" s="394"/>
      <c r="K8" s="129"/>
      <c r="L8" s="394"/>
    </row>
    <row r="9" spans="1:13" ht="21" customHeight="1" x14ac:dyDescent="0.2">
      <c r="A9" s="408"/>
      <c r="B9" s="409"/>
      <c r="C9" s="375"/>
      <c r="D9" s="366"/>
      <c r="E9" s="112" t="s">
        <v>28</v>
      </c>
      <c r="F9" s="113">
        <v>5</v>
      </c>
      <c r="G9" s="112"/>
      <c r="H9" s="112" t="s">
        <v>29</v>
      </c>
      <c r="I9" s="128" t="s">
        <v>30</v>
      </c>
      <c r="J9" s="130"/>
      <c r="K9" s="131" t="s">
        <v>31</v>
      </c>
      <c r="L9" s="394"/>
    </row>
    <row r="10" spans="1:13" ht="21" customHeight="1" x14ac:dyDescent="0.2">
      <c r="A10" s="408"/>
      <c r="B10" s="409"/>
      <c r="C10" s="375"/>
      <c r="D10" s="380"/>
      <c r="E10" s="112" t="s">
        <v>32</v>
      </c>
      <c r="F10" s="113">
        <v>10</v>
      </c>
      <c r="G10" s="112"/>
      <c r="H10" s="112" t="s">
        <v>33</v>
      </c>
      <c r="I10" s="128" t="s">
        <v>30</v>
      </c>
      <c r="J10" s="132"/>
      <c r="K10" s="133"/>
      <c r="L10" s="395"/>
    </row>
    <row r="11" spans="1:13" ht="45.75" customHeight="1" x14ac:dyDescent="0.2">
      <c r="A11" s="408"/>
      <c r="B11" s="409"/>
      <c r="C11" s="375"/>
      <c r="D11" s="112" t="s">
        <v>34</v>
      </c>
      <c r="E11" s="115" t="s">
        <v>35</v>
      </c>
      <c r="F11" s="116">
        <v>60</v>
      </c>
      <c r="G11" s="115" t="s">
        <v>36</v>
      </c>
      <c r="H11" s="117" t="s">
        <v>37</v>
      </c>
      <c r="I11" s="134" t="s">
        <v>27</v>
      </c>
      <c r="J11" s="135" t="s">
        <v>38</v>
      </c>
      <c r="K11" s="136" t="s">
        <v>39</v>
      </c>
      <c r="L11" s="135" t="s">
        <v>19</v>
      </c>
      <c r="M11" s="108"/>
    </row>
    <row r="12" spans="1:13" ht="21" customHeight="1" x14ac:dyDescent="0.2">
      <c r="A12" s="408"/>
      <c r="B12" s="409"/>
      <c r="C12" s="375"/>
      <c r="D12" s="364" t="s">
        <v>40</v>
      </c>
      <c r="E12" s="364" t="s">
        <v>41</v>
      </c>
      <c r="F12" s="388">
        <v>20</v>
      </c>
      <c r="G12" s="364" t="s">
        <v>42</v>
      </c>
      <c r="H12" s="112" t="s">
        <v>43</v>
      </c>
      <c r="I12" s="128" t="s">
        <v>18</v>
      </c>
      <c r="J12" s="396" t="s">
        <v>38</v>
      </c>
      <c r="K12" s="381" t="s">
        <v>38</v>
      </c>
      <c r="L12" s="393" t="s">
        <v>19</v>
      </c>
    </row>
    <row r="13" spans="1:13" ht="21" customHeight="1" x14ac:dyDescent="0.2">
      <c r="A13" s="408"/>
      <c r="B13" s="409"/>
      <c r="C13" s="375"/>
      <c r="D13" s="364"/>
      <c r="E13" s="364"/>
      <c r="F13" s="388"/>
      <c r="G13" s="364"/>
      <c r="H13" s="112" t="s">
        <v>44</v>
      </c>
      <c r="I13" s="128" t="s">
        <v>21</v>
      </c>
      <c r="J13" s="396"/>
      <c r="K13" s="382"/>
      <c r="L13" s="394"/>
    </row>
    <row r="14" spans="1:13" ht="21" customHeight="1" x14ac:dyDescent="0.2">
      <c r="A14" s="408"/>
      <c r="B14" s="409"/>
      <c r="C14" s="375"/>
      <c r="D14" s="364"/>
      <c r="E14" s="364"/>
      <c r="F14" s="388"/>
      <c r="G14" s="364"/>
      <c r="H14" s="112" t="s">
        <v>45</v>
      </c>
      <c r="I14" s="128" t="s">
        <v>23</v>
      </c>
      <c r="J14" s="396"/>
      <c r="K14" s="401"/>
      <c r="L14" s="395"/>
    </row>
    <row r="15" spans="1:13" ht="21" customHeight="1" x14ac:dyDescent="0.2">
      <c r="A15" s="408"/>
      <c r="B15" s="409"/>
      <c r="C15" s="375"/>
      <c r="D15" s="364" t="s">
        <v>46</v>
      </c>
      <c r="E15" s="364" t="s">
        <v>47</v>
      </c>
      <c r="F15" s="388">
        <v>10</v>
      </c>
      <c r="G15" s="364" t="s">
        <v>48</v>
      </c>
      <c r="H15" s="112" t="s">
        <v>49</v>
      </c>
      <c r="I15" s="128" t="s">
        <v>18</v>
      </c>
      <c r="J15" s="396" t="s">
        <v>50</v>
      </c>
      <c r="K15" s="393" t="s">
        <v>51</v>
      </c>
      <c r="L15" s="393" t="s">
        <v>52</v>
      </c>
    </row>
    <row r="16" spans="1:13" ht="21" customHeight="1" x14ac:dyDescent="0.2">
      <c r="A16" s="408"/>
      <c r="B16" s="409"/>
      <c r="C16" s="375"/>
      <c r="D16" s="364"/>
      <c r="E16" s="364"/>
      <c r="F16" s="388"/>
      <c r="G16" s="364"/>
      <c r="H16" s="112" t="s">
        <v>53</v>
      </c>
      <c r="I16" s="128" t="s">
        <v>54</v>
      </c>
      <c r="J16" s="396"/>
      <c r="K16" s="394"/>
      <c r="L16" s="394"/>
    </row>
    <row r="17" spans="1:12" ht="21" customHeight="1" x14ac:dyDescent="0.2">
      <c r="A17" s="413"/>
      <c r="B17" s="414"/>
      <c r="C17" s="375"/>
      <c r="D17" s="364"/>
      <c r="E17" s="364"/>
      <c r="F17" s="388"/>
      <c r="G17" s="364"/>
      <c r="H17" s="112" t="s">
        <v>55</v>
      </c>
      <c r="I17" s="128" t="s">
        <v>56</v>
      </c>
      <c r="J17" s="396"/>
      <c r="K17" s="395"/>
      <c r="L17" s="395"/>
    </row>
    <row r="18" spans="1:12" ht="21" customHeight="1" x14ac:dyDescent="0.2">
      <c r="A18" s="410" t="s">
        <v>57</v>
      </c>
      <c r="B18" s="407"/>
      <c r="C18" s="376">
        <v>100</v>
      </c>
      <c r="D18" s="365" t="s">
        <v>58</v>
      </c>
      <c r="E18" s="381" t="s">
        <v>59</v>
      </c>
      <c r="F18" s="385">
        <v>40</v>
      </c>
      <c r="G18" s="364" t="s">
        <v>60</v>
      </c>
      <c r="H18" s="120" t="s">
        <v>61</v>
      </c>
      <c r="I18" s="137" t="s">
        <v>62</v>
      </c>
      <c r="J18" s="398" t="s">
        <v>63</v>
      </c>
      <c r="K18" s="393" t="s">
        <v>64</v>
      </c>
      <c r="L18" s="393" t="s">
        <v>65</v>
      </c>
    </row>
    <row r="19" spans="1:12" ht="21" customHeight="1" x14ac:dyDescent="0.2">
      <c r="A19" s="408"/>
      <c r="B19" s="409"/>
      <c r="C19" s="377"/>
      <c r="D19" s="366"/>
      <c r="E19" s="382"/>
      <c r="F19" s="386"/>
      <c r="G19" s="364"/>
      <c r="H19" s="120" t="s">
        <v>66</v>
      </c>
      <c r="I19" s="137" t="s">
        <v>67</v>
      </c>
      <c r="J19" s="399"/>
      <c r="K19" s="394"/>
      <c r="L19" s="394"/>
    </row>
    <row r="20" spans="1:12" ht="21" customHeight="1" x14ac:dyDescent="0.2">
      <c r="A20" s="408"/>
      <c r="B20" s="409"/>
      <c r="C20" s="377"/>
      <c r="D20" s="366"/>
      <c r="E20" s="382"/>
      <c r="F20" s="386"/>
      <c r="G20" s="364"/>
      <c r="H20" s="120" t="s">
        <v>68</v>
      </c>
      <c r="I20" s="137" t="s">
        <v>56</v>
      </c>
      <c r="J20" s="399"/>
      <c r="K20" s="394"/>
      <c r="L20" s="394"/>
    </row>
    <row r="21" spans="1:12" ht="21" customHeight="1" x14ac:dyDescent="0.2">
      <c r="A21" s="408"/>
      <c r="B21" s="409"/>
      <c r="C21" s="377"/>
      <c r="D21" s="366"/>
      <c r="E21" s="382"/>
      <c r="F21" s="386"/>
      <c r="G21" s="364"/>
      <c r="H21" s="120" t="s">
        <v>69</v>
      </c>
      <c r="I21" s="138" t="s">
        <v>56</v>
      </c>
      <c r="J21" s="399"/>
      <c r="K21" s="394"/>
      <c r="L21" s="394"/>
    </row>
    <row r="22" spans="1:12" ht="21" customHeight="1" x14ac:dyDescent="0.2">
      <c r="A22" s="408"/>
      <c r="B22" s="409"/>
      <c r="C22" s="377"/>
      <c r="D22" s="366"/>
      <c r="E22" s="382"/>
      <c r="F22" s="386"/>
      <c r="G22" s="364"/>
      <c r="H22" s="121" t="s">
        <v>70</v>
      </c>
      <c r="I22" s="138" t="s">
        <v>56</v>
      </c>
      <c r="J22" s="400" t="s">
        <v>63</v>
      </c>
      <c r="K22" s="394"/>
      <c r="L22" s="394"/>
    </row>
    <row r="23" spans="1:12" ht="21" customHeight="1" x14ac:dyDescent="0.2">
      <c r="A23" s="408"/>
      <c r="B23" s="409"/>
      <c r="C23" s="377"/>
      <c r="D23" s="366"/>
      <c r="E23" s="382"/>
      <c r="F23" s="386"/>
      <c r="G23" s="364"/>
      <c r="H23" s="121" t="s">
        <v>71</v>
      </c>
      <c r="I23" s="138" t="s">
        <v>56</v>
      </c>
      <c r="J23" s="400"/>
      <c r="K23" s="394"/>
      <c r="L23" s="394"/>
    </row>
    <row r="24" spans="1:12" ht="21" customHeight="1" x14ac:dyDescent="0.2">
      <c r="A24" s="408"/>
      <c r="B24" s="409"/>
      <c r="C24" s="377"/>
      <c r="D24" s="380"/>
      <c r="E24" s="382"/>
      <c r="F24" s="387"/>
      <c r="G24" s="364"/>
      <c r="H24" s="122" t="s">
        <v>72</v>
      </c>
      <c r="I24" s="139" t="s">
        <v>73</v>
      </c>
      <c r="J24" s="400"/>
      <c r="K24" s="394"/>
      <c r="L24" s="394"/>
    </row>
    <row r="25" spans="1:12" ht="21" customHeight="1" x14ac:dyDescent="0.2">
      <c r="A25" s="408"/>
      <c r="B25" s="409"/>
      <c r="C25" s="377"/>
      <c r="D25" s="365" t="s">
        <v>74</v>
      </c>
      <c r="E25" s="365" t="s">
        <v>74</v>
      </c>
      <c r="F25" s="385">
        <v>60</v>
      </c>
      <c r="G25" s="366" t="s">
        <v>60</v>
      </c>
      <c r="H25" s="123" t="s">
        <v>75</v>
      </c>
      <c r="I25" s="137" t="s">
        <v>76</v>
      </c>
      <c r="J25" s="398" t="s">
        <v>77</v>
      </c>
      <c r="K25" s="393" t="s">
        <v>78</v>
      </c>
      <c r="L25" s="394"/>
    </row>
    <row r="26" spans="1:12" ht="21" customHeight="1" x14ac:dyDescent="0.2">
      <c r="A26" s="408"/>
      <c r="B26" s="409"/>
      <c r="C26" s="377"/>
      <c r="D26" s="366"/>
      <c r="E26" s="366"/>
      <c r="F26" s="386"/>
      <c r="G26" s="366"/>
      <c r="H26" s="123" t="s">
        <v>79</v>
      </c>
      <c r="I26" s="137" t="s">
        <v>80</v>
      </c>
      <c r="J26" s="399"/>
      <c r="K26" s="394"/>
      <c r="L26" s="394"/>
    </row>
    <row r="27" spans="1:12" ht="21" customHeight="1" x14ac:dyDescent="0.2">
      <c r="A27" s="408"/>
      <c r="B27" s="409"/>
      <c r="C27" s="377"/>
      <c r="D27" s="366"/>
      <c r="E27" s="366"/>
      <c r="F27" s="386"/>
      <c r="G27" s="366"/>
      <c r="H27" s="120" t="s">
        <v>81</v>
      </c>
      <c r="I27" s="137" t="s">
        <v>73</v>
      </c>
      <c r="J27" s="399"/>
      <c r="K27" s="395"/>
      <c r="L27" s="395"/>
    </row>
    <row r="28" spans="1:12" ht="33" customHeight="1" x14ac:dyDescent="0.2">
      <c r="A28" s="413"/>
      <c r="B28" s="414"/>
      <c r="C28" s="378"/>
      <c r="D28" s="380"/>
      <c r="E28" s="380"/>
      <c r="F28" s="387"/>
      <c r="G28" s="380"/>
      <c r="H28" s="124" t="s">
        <v>82</v>
      </c>
      <c r="I28" s="138" t="s">
        <v>56</v>
      </c>
      <c r="J28" s="399"/>
      <c r="K28" s="135" t="s">
        <v>83</v>
      </c>
      <c r="L28" s="127"/>
    </row>
    <row r="29" spans="1:12" ht="21" customHeight="1" x14ac:dyDescent="0.2">
      <c r="A29" s="410" t="s">
        <v>84</v>
      </c>
      <c r="B29" s="361"/>
      <c r="C29" s="364">
        <v>270</v>
      </c>
      <c r="D29" s="361" t="s">
        <v>85</v>
      </c>
      <c r="E29" s="383" t="s">
        <v>378</v>
      </c>
      <c r="F29" s="385">
        <v>20</v>
      </c>
      <c r="G29" s="365" t="s">
        <v>87</v>
      </c>
      <c r="H29" s="125" t="s">
        <v>88</v>
      </c>
      <c r="I29" s="15">
        <v>3</v>
      </c>
      <c r="J29" s="393" t="s">
        <v>38</v>
      </c>
      <c r="K29" s="365" t="s">
        <v>89</v>
      </c>
      <c r="L29" s="393" t="s">
        <v>90</v>
      </c>
    </row>
    <row r="30" spans="1:12" ht="21" customHeight="1" x14ac:dyDescent="0.2">
      <c r="A30" s="411"/>
      <c r="B30" s="362"/>
      <c r="C30" s="364"/>
      <c r="D30" s="362"/>
      <c r="E30" s="366"/>
      <c r="F30" s="386"/>
      <c r="G30" s="366"/>
      <c r="H30" s="125" t="s">
        <v>91</v>
      </c>
      <c r="I30" s="15">
        <v>2.5</v>
      </c>
      <c r="J30" s="394"/>
      <c r="K30" s="366"/>
      <c r="L30" s="394"/>
    </row>
    <row r="31" spans="1:12" ht="21" customHeight="1" x14ac:dyDescent="0.2">
      <c r="A31" s="411"/>
      <c r="B31" s="362"/>
      <c r="C31" s="364"/>
      <c r="D31" s="362"/>
      <c r="E31" s="366"/>
      <c r="F31" s="386"/>
      <c r="G31" s="366"/>
      <c r="H31" s="125" t="s">
        <v>92</v>
      </c>
      <c r="I31" s="15">
        <v>2</v>
      </c>
      <c r="J31" s="394"/>
      <c r="K31" s="366"/>
      <c r="L31" s="394"/>
    </row>
    <row r="32" spans="1:12" ht="21" customHeight="1" x14ac:dyDescent="0.2">
      <c r="A32" s="411"/>
      <c r="B32" s="362"/>
      <c r="C32" s="364"/>
      <c r="D32" s="362"/>
      <c r="E32" s="366"/>
      <c r="F32" s="386"/>
      <c r="G32" s="366"/>
      <c r="H32" s="125" t="s">
        <v>93</v>
      </c>
      <c r="I32" s="15">
        <v>1.5</v>
      </c>
      <c r="J32" s="394"/>
      <c r="K32" s="366"/>
      <c r="L32" s="394"/>
    </row>
    <row r="33" spans="1:12" ht="21" customHeight="1" x14ac:dyDescent="0.2">
      <c r="A33" s="411"/>
      <c r="B33" s="362"/>
      <c r="C33" s="364"/>
      <c r="D33" s="362"/>
      <c r="E33" s="366"/>
      <c r="F33" s="386"/>
      <c r="G33" s="366"/>
      <c r="H33" s="125" t="s">
        <v>94</v>
      </c>
      <c r="I33" s="15">
        <v>1</v>
      </c>
      <c r="J33" s="394"/>
      <c r="K33" s="366"/>
      <c r="L33" s="394"/>
    </row>
    <row r="34" spans="1:12" ht="21" customHeight="1" x14ac:dyDescent="0.2">
      <c r="A34" s="411"/>
      <c r="B34" s="362"/>
      <c r="C34" s="364"/>
      <c r="D34" s="363"/>
      <c r="E34" s="380"/>
      <c r="F34" s="387"/>
      <c r="G34" s="380"/>
      <c r="H34" s="125" t="s">
        <v>95</v>
      </c>
      <c r="I34" s="15">
        <v>0.5</v>
      </c>
      <c r="J34" s="395"/>
      <c r="K34" s="380"/>
      <c r="L34" s="394"/>
    </row>
    <row r="35" spans="1:12" ht="21" customHeight="1" x14ac:dyDescent="0.2">
      <c r="A35" s="411"/>
      <c r="B35" s="362"/>
      <c r="C35" s="364"/>
      <c r="D35" s="361" t="s">
        <v>96</v>
      </c>
      <c r="E35" s="365" t="s">
        <v>97</v>
      </c>
      <c r="F35" s="385">
        <v>20</v>
      </c>
      <c r="G35" s="393" t="s">
        <v>98</v>
      </c>
      <c r="H35" s="125" t="s">
        <v>88</v>
      </c>
      <c r="I35" s="15">
        <v>3</v>
      </c>
      <c r="J35" s="393" t="s">
        <v>99</v>
      </c>
      <c r="K35" s="365" t="s">
        <v>100</v>
      </c>
      <c r="L35" s="394"/>
    </row>
    <row r="36" spans="1:12" ht="21" customHeight="1" x14ac:dyDescent="0.2">
      <c r="A36" s="411"/>
      <c r="B36" s="362"/>
      <c r="C36" s="364"/>
      <c r="D36" s="362"/>
      <c r="E36" s="366"/>
      <c r="F36" s="386"/>
      <c r="G36" s="394"/>
      <c r="H36" s="125" t="s">
        <v>91</v>
      </c>
      <c r="I36" s="15">
        <v>2.5</v>
      </c>
      <c r="J36" s="394"/>
      <c r="K36" s="366"/>
      <c r="L36" s="394"/>
    </row>
    <row r="37" spans="1:12" ht="21" customHeight="1" x14ac:dyDescent="0.2">
      <c r="A37" s="411"/>
      <c r="B37" s="362"/>
      <c r="C37" s="364"/>
      <c r="D37" s="362"/>
      <c r="E37" s="366"/>
      <c r="F37" s="386"/>
      <c r="G37" s="394"/>
      <c r="H37" s="125" t="s">
        <v>92</v>
      </c>
      <c r="I37" s="15">
        <v>2</v>
      </c>
      <c r="J37" s="394"/>
      <c r="K37" s="366"/>
      <c r="L37" s="394"/>
    </row>
    <row r="38" spans="1:12" ht="21" customHeight="1" x14ac:dyDescent="0.2">
      <c r="A38" s="411"/>
      <c r="B38" s="362"/>
      <c r="C38" s="364"/>
      <c r="D38" s="362"/>
      <c r="E38" s="366"/>
      <c r="F38" s="386"/>
      <c r="G38" s="394"/>
      <c r="H38" s="125" t="s">
        <v>93</v>
      </c>
      <c r="I38" s="15">
        <v>1.5</v>
      </c>
      <c r="J38" s="394"/>
      <c r="K38" s="366"/>
      <c r="L38" s="394"/>
    </row>
    <row r="39" spans="1:12" ht="21" customHeight="1" x14ac:dyDescent="0.2">
      <c r="A39" s="411"/>
      <c r="B39" s="362"/>
      <c r="C39" s="364"/>
      <c r="D39" s="362"/>
      <c r="E39" s="366"/>
      <c r="F39" s="386"/>
      <c r="G39" s="394"/>
      <c r="H39" s="125" t="s">
        <v>94</v>
      </c>
      <c r="I39" s="15">
        <v>1</v>
      </c>
      <c r="J39" s="394"/>
      <c r="K39" s="366"/>
      <c r="L39" s="394"/>
    </row>
    <row r="40" spans="1:12" ht="21" customHeight="1" x14ac:dyDescent="0.2">
      <c r="A40" s="411"/>
      <c r="B40" s="362"/>
      <c r="C40" s="364"/>
      <c r="D40" s="363"/>
      <c r="E40" s="380"/>
      <c r="F40" s="387"/>
      <c r="G40" s="395"/>
      <c r="H40" s="125" t="s">
        <v>95</v>
      </c>
      <c r="I40" s="15">
        <v>0.5</v>
      </c>
      <c r="J40" s="395"/>
      <c r="K40" s="380"/>
      <c r="L40" s="394"/>
    </row>
    <row r="41" spans="1:12" ht="21" customHeight="1" x14ac:dyDescent="0.2">
      <c r="A41" s="411"/>
      <c r="B41" s="362"/>
      <c r="C41" s="364"/>
      <c r="D41" s="364" t="s">
        <v>101</v>
      </c>
      <c r="E41" s="365" t="s">
        <v>102</v>
      </c>
      <c r="F41" s="385">
        <v>20</v>
      </c>
      <c r="G41" s="365" t="s">
        <v>103</v>
      </c>
      <c r="H41" s="125" t="s">
        <v>88</v>
      </c>
      <c r="I41" s="15">
        <v>3</v>
      </c>
      <c r="J41" s="393" t="s">
        <v>104</v>
      </c>
      <c r="K41" s="365" t="s">
        <v>105</v>
      </c>
      <c r="L41" s="394"/>
    </row>
    <row r="42" spans="1:12" ht="21" customHeight="1" x14ac:dyDescent="0.2">
      <c r="A42" s="411"/>
      <c r="B42" s="362"/>
      <c r="C42" s="364"/>
      <c r="D42" s="364"/>
      <c r="E42" s="366"/>
      <c r="F42" s="386"/>
      <c r="G42" s="366"/>
      <c r="H42" s="125" t="s">
        <v>91</v>
      </c>
      <c r="I42" s="15">
        <v>2.5</v>
      </c>
      <c r="J42" s="394"/>
      <c r="K42" s="366"/>
      <c r="L42" s="394"/>
    </row>
    <row r="43" spans="1:12" ht="21" customHeight="1" x14ac:dyDescent="0.2">
      <c r="A43" s="411"/>
      <c r="B43" s="362"/>
      <c r="C43" s="364"/>
      <c r="D43" s="364"/>
      <c r="E43" s="366"/>
      <c r="F43" s="386"/>
      <c r="G43" s="366"/>
      <c r="H43" s="125" t="s">
        <v>92</v>
      </c>
      <c r="I43" s="15">
        <v>2</v>
      </c>
      <c r="J43" s="394"/>
      <c r="K43" s="366"/>
      <c r="L43" s="394"/>
    </row>
    <row r="44" spans="1:12" ht="21" customHeight="1" x14ac:dyDescent="0.2">
      <c r="A44" s="411"/>
      <c r="B44" s="362"/>
      <c r="C44" s="364"/>
      <c r="D44" s="364"/>
      <c r="E44" s="366"/>
      <c r="F44" s="386"/>
      <c r="G44" s="366"/>
      <c r="H44" s="125" t="s">
        <v>93</v>
      </c>
      <c r="I44" s="15">
        <v>1.5</v>
      </c>
      <c r="J44" s="394"/>
      <c r="K44" s="366"/>
      <c r="L44" s="394"/>
    </row>
    <row r="45" spans="1:12" ht="21" customHeight="1" x14ac:dyDescent="0.2">
      <c r="A45" s="411"/>
      <c r="B45" s="362"/>
      <c r="C45" s="364"/>
      <c r="D45" s="364"/>
      <c r="E45" s="366"/>
      <c r="F45" s="386"/>
      <c r="G45" s="366"/>
      <c r="H45" s="125" t="s">
        <v>94</v>
      </c>
      <c r="I45" s="15">
        <v>1</v>
      </c>
      <c r="J45" s="394"/>
      <c r="K45" s="366"/>
      <c r="L45" s="394"/>
    </row>
    <row r="46" spans="1:12" ht="21" customHeight="1" x14ac:dyDescent="0.2">
      <c r="A46" s="411"/>
      <c r="B46" s="362"/>
      <c r="C46" s="364"/>
      <c r="D46" s="364"/>
      <c r="E46" s="380"/>
      <c r="F46" s="387"/>
      <c r="G46" s="380"/>
      <c r="H46" s="125" t="s">
        <v>95</v>
      </c>
      <c r="I46" s="15">
        <v>0.5</v>
      </c>
      <c r="J46" s="395"/>
      <c r="K46" s="380"/>
      <c r="L46" s="394"/>
    </row>
    <row r="47" spans="1:12" ht="21" customHeight="1" x14ac:dyDescent="0.2">
      <c r="A47" s="411"/>
      <c r="B47" s="362"/>
      <c r="C47" s="364"/>
      <c r="D47" s="364"/>
      <c r="E47" s="365" t="s">
        <v>106</v>
      </c>
      <c r="F47" s="385">
        <v>20</v>
      </c>
      <c r="G47" s="393" t="s">
        <v>107</v>
      </c>
      <c r="H47" s="125" t="s">
        <v>88</v>
      </c>
      <c r="I47" s="15">
        <v>3</v>
      </c>
      <c r="J47" s="393" t="s">
        <v>104</v>
      </c>
      <c r="K47" s="364" t="s">
        <v>108</v>
      </c>
      <c r="L47" s="394"/>
    </row>
    <row r="48" spans="1:12" ht="21" customHeight="1" x14ac:dyDescent="0.2">
      <c r="A48" s="411"/>
      <c r="B48" s="362"/>
      <c r="C48" s="364"/>
      <c r="D48" s="364"/>
      <c r="E48" s="366"/>
      <c r="F48" s="386"/>
      <c r="G48" s="394"/>
      <c r="H48" s="125" t="s">
        <v>91</v>
      </c>
      <c r="I48" s="15">
        <v>2.5</v>
      </c>
      <c r="J48" s="394"/>
      <c r="K48" s="364"/>
      <c r="L48" s="394"/>
    </row>
    <row r="49" spans="1:12" ht="21" customHeight="1" x14ac:dyDescent="0.2">
      <c r="A49" s="411"/>
      <c r="B49" s="362"/>
      <c r="C49" s="364"/>
      <c r="D49" s="364"/>
      <c r="E49" s="366"/>
      <c r="F49" s="386"/>
      <c r="G49" s="394"/>
      <c r="H49" s="125" t="s">
        <v>92</v>
      </c>
      <c r="I49" s="15">
        <v>2</v>
      </c>
      <c r="J49" s="394"/>
      <c r="K49" s="364"/>
      <c r="L49" s="394"/>
    </row>
    <row r="50" spans="1:12" ht="21" customHeight="1" x14ac:dyDescent="0.2">
      <c r="A50" s="411"/>
      <c r="B50" s="362"/>
      <c r="C50" s="364"/>
      <c r="D50" s="364"/>
      <c r="E50" s="366"/>
      <c r="F50" s="386"/>
      <c r="G50" s="394"/>
      <c r="H50" s="125" t="s">
        <v>93</v>
      </c>
      <c r="I50" s="15">
        <v>1.5</v>
      </c>
      <c r="J50" s="394"/>
      <c r="K50" s="364"/>
      <c r="L50" s="394"/>
    </row>
    <row r="51" spans="1:12" ht="21" customHeight="1" x14ac:dyDescent="0.2">
      <c r="A51" s="411"/>
      <c r="B51" s="362"/>
      <c r="C51" s="364"/>
      <c r="D51" s="364"/>
      <c r="E51" s="366"/>
      <c r="F51" s="386"/>
      <c r="G51" s="394"/>
      <c r="H51" s="125" t="s">
        <v>94</v>
      </c>
      <c r="I51" s="15">
        <v>1</v>
      </c>
      <c r="J51" s="394"/>
      <c r="K51" s="364"/>
      <c r="L51" s="394"/>
    </row>
    <row r="52" spans="1:12" ht="21" customHeight="1" x14ac:dyDescent="0.2">
      <c r="A52" s="411"/>
      <c r="B52" s="362"/>
      <c r="C52" s="364"/>
      <c r="D52" s="364"/>
      <c r="E52" s="380"/>
      <c r="F52" s="387"/>
      <c r="G52" s="395"/>
      <c r="H52" s="125" t="s">
        <v>95</v>
      </c>
      <c r="I52" s="15">
        <v>0.5</v>
      </c>
      <c r="J52" s="395"/>
      <c r="K52" s="364"/>
      <c r="L52" s="394"/>
    </row>
    <row r="53" spans="1:12" ht="21" customHeight="1" x14ac:dyDescent="0.2">
      <c r="A53" s="411"/>
      <c r="B53" s="362"/>
      <c r="C53" s="364"/>
      <c r="D53" s="362" t="s">
        <v>109</v>
      </c>
      <c r="E53" s="366" t="s">
        <v>110</v>
      </c>
      <c r="F53" s="386">
        <v>10</v>
      </c>
      <c r="G53" s="394" t="s">
        <v>111</v>
      </c>
      <c r="H53" s="125" t="s">
        <v>88</v>
      </c>
      <c r="I53" s="15">
        <v>1.5</v>
      </c>
      <c r="J53" s="393" t="s">
        <v>112</v>
      </c>
      <c r="K53" s="365" t="s">
        <v>113</v>
      </c>
      <c r="L53" s="394"/>
    </row>
    <row r="54" spans="1:12" ht="21" customHeight="1" x14ac:dyDescent="0.2">
      <c r="A54" s="411"/>
      <c r="B54" s="362"/>
      <c r="C54" s="364"/>
      <c r="D54" s="362"/>
      <c r="E54" s="366"/>
      <c r="F54" s="386"/>
      <c r="G54" s="394"/>
      <c r="H54" s="125" t="s">
        <v>91</v>
      </c>
      <c r="I54" s="15">
        <v>1.4</v>
      </c>
      <c r="J54" s="394"/>
      <c r="K54" s="366"/>
      <c r="L54" s="394"/>
    </row>
    <row r="55" spans="1:12" ht="21" customHeight="1" x14ac:dyDescent="0.2">
      <c r="A55" s="411"/>
      <c r="B55" s="362"/>
      <c r="C55" s="364"/>
      <c r="D55" s="362"/>
      <c r="E55" s="366"/>
      <c r="F55" s="386"/>
      <c r="G55" s="394"/>
      <c r="H55" s="125" t="s">
        <v>92</v>
      </c>
      <c r="I55" s="15">
        <v>1</v>
      </c>
      <c r="J55" s="394"/>
      <c r="K55" s="366"/>
      <c r="L55" s="394"/>
    </row>
    <row r="56" spans="1:12" ht="21" customHeight="1" x14ac:dyDescent="0.2">
      <c r="A56" s="411"/>
      <c r="B56" s="362"/>
      <c r="C56" s="364"/>
      <c r="D56" s="362"/>
      <c r="E56" s="366"/>
      <c r="F56" s="386"/>
      <c r="G56" s="394"/>
      <c r="H56" s="125" t="s">
        <v>93</v>
      </c>
      <c r="I56" s="15">
        <v>0.8</v>
      </c>
      <c r="J56" s="394"/>
      <c r="K56" s="366"/>
      <c r="L56" s="394"/>
    </row>
    <row r="57" spans="1:12" ht="21" customHeight="1" x14ac:dyDescent="0.2">
      <c r="A57" s="411"/>
      <c r="B57" s="362"/>
      <c r="C57" s="364"/>
      <c r="D57" s="362"/>
      <c r="E57" s="366"/>
      <c r="F57" s="386"/>
      <c r="G57" s="394"/>
      <c r="H57" s="125" t="s">
        <v>94</v>
      </c>
      <c r="I57" s="15">
        <v>0.5</v>
      </c>
      <c r="J57" s="394"/>
      <c r="K57" s="366"/>
      <c r="L57" s="394"/>
    </row>
    <row r="58" spans="1:12" ht="21" customHeight="1" x14ac:dyDescent="0.2">
      <c r="A58" s="411"/>
      <c r="B58" s="362"/>
      <c r="C58" s="364"/>
      <c r="D58" s="362"/>
      <c r="E58" s="380"/>
      <c r="F58" s="387"/>
      <c r="G58" s="395"/>
      <c r="H58" s="125" t="s">
        <v>95</v>
      </c>
      <c r="I58" s="15">
        <v>0.2</v>
      </c>
      <c r="J58" s="395"/>
      <c r="K58" s="380"/>
      <c r="L58" s="394"/>
    </row>
    <row r="59" spans="1:12" ht="21" customHeight="1" x14ac:dyDescent="0.2">
      <c r="A59" s="411"/>
      <c r="B59" s="362"/>
      <c r="C59" s="364"/>
      <c r="D59" s="362"/>
      <c r="E59" s="365" t="s">
        <v>114</v>
      </c>
      <c r="F59" s="385">
        <v>10</v>
      </c>
      <c r="G59" s="393" t="s">
        <v>115</v>
      </c>
      <c r="H59" s="125" t="s">
        <v>88</v>
      </c>
      <c r="I59" s="15">
        <v>1.5</v>
      </c>
      <c r="J59" s="393" t="s">
        <v>104</v>
      </c>
      <c r="K59" s="365" t="s">
        <v>116</v>
      </c>
      <c r="L59" s="394"/>
    </row>
    <row r="60" spans="1:12" ht="21" customHeight="1" x14ac:dyDescent="0.2">
      <c r="A60" s="411"/>
      <c r="B60" s="362"/>
      <c r="C60" s="364"/>
      <c r="D60" s="362"/>
      <c r="E60" s="366"/>
      <c r="F60" s="386"/>
      <c r="G60" s="394"/>
      <c r="H60" s="125" t="s">
        <v>91</v>
      </c>
      <c r="I60" s="15">
        <v>1.4</v>
      </c>
      <c r="J60" s="394"/>
      <c r="K60" s="366"/>
      <c r="L60" s="394"/>
    </row>
    <row r="61" spans="1:12" ht="21" customHeight="1" x14ac:dyDescent="0.2">
      <c r="A61" s="411"/>
      <c r="B61" s="362"/>
      <c r="C61" s="364"/>
      <c r="D61" s="362"/>
      <c r="E61" s="366"/>
      <c r="F61" s="386"/>
      <c r="G61" s="394"/>
      <c r="H61" s="125" t="s">
        <v>92</v>
      </c>
      <c r="I61" s="15">
        <v>1</v>
      </c>
      <c r="J61" s="394"/>
      <c r="K61" s="366"/>
      <c r="L61" s="394"/>
    </row>
    <row r="62" spans="1:12" ht="21" customHeight="1" x14ac:dyDescent="0.2">
      <c r="A62" s="411"/>
      <c r="B62" s="362"/>
      <c r="C62" s="364"/>
      <c r="D62" s="362"/>
      <c r="E62" s="366"/>
      <c r="F62" s="386"/>
      <c r="G62" s="394"/>
      <c r="H62" s="125" t="s">
        <v>93</v>
      </c>
      <c r="I62" s="15">
        <v>0.8</v>
      </c>
      <c r="J62" s="394"/>
      <c r="K62" s="366"/>
      <c r="L62" s="394"/>
    </row>
    <row r="63" spans="1:12" ht="21" customHeight="1" x14ac:dyDescent="0.2">
      <c r="A63" s="411"/>
      <c r="B63" s="362"/>
      <c r="C63" s="364"/>
      <c r="D63" s="362"/>
      <c r="E63" s="366"/>
      <c r="F63" s="386"/>
      <c r="G63" s="394"/>
      <c r="H63" s="125" t="s">
        <v>94</v>
      </c>
      <c r="I63" s="15">
        <v>0.5</v>
      </c>
      <c r="J63" s="394"/>
      <c r="K63" s="366"/>
      <c r="L63" s="394"/>
    </row>
    <row r="64" spans="1:12" ht="21" customHeight="1" x14ac:dyDescent="0.2">
      <c r="A64" s="411"/>
      <c r="B64" s="362"/>
      <c r="C64" s="364"/>
      <c r="D64" s="362"/>
      <c r="E64" s="380"/>
      <c r="F64" s="387"/>
      <c r="G64" s="395"/>
      <c r="H64" s="125" t="s">
        <v>95</v>
      </c>
      <c r="I64" s="15">
        <v>0.2</v>
      </c>
      <c r="J64" s="395"/>
      <c r="K64" s="380"/>
      <c r="L64" s="394"/>
    </row>
    <row r="65" spans="1:12" ht="21" customHeight="1" x14ac:dyDescent="0.2">
      <c r="A65" s="411"/>
      <c r="B65" s="362"/>
      <c r="C65" s="364"/>
      <c r="D65" s="362"/>
      <c r="E65" s="365" t="s">
        <v>117</v>
      </c>
      <c r="F65" s="385">
        <v>45</v>
      </c>
      <c r="G65" s="393" t="s">
        <v>118</v>
      </c>
      <c r="H65" s="140" t="s">
        <v>88</v>
      </c>
      <c r="I65" s="32">
        <v>7</v>
      </c>
      <c r="J65" s="393" t="s">
        <v>104</v>
      </c>
      <c r="K65" s="365" t="s">
        <v>119</v>
      </c>
      <c r="L65" s="394"/>
    </row>
    <row r="66" spans="1:12" ht="21" customHeight="1" x14ac:dyDescent="0.2">
      <c r="A66" s="411"/>
      <c r="B66" s="362"/>
      <c r="C66" s="364"/>
      <c r="D66" s="362"/>
      <c r="E66" s="366"/>
      <c r="F66" s="386"/>
      <c r="G66" s="394"/>
      <c r="H66" s="140" t="s">
        <v>91</v>
      </c>
      <c r="I66" s="32">
        <v>6</v>
      </c>
      <c r="J66" s="394"/>
      <c r="K66" s="366"/>
      <c r="L66" s="394"/>
    </row>
    <row r="67" spans="1:12" ht="21" customHeight="1" x14ac:dyDescent="0.2">
      <c r="A67" s="411"/>
      <c r="B67" s="362"/>
      <c r="C67" s="364"/>
      <c r="D67" s="362"/>
      <c r="E67" s="366"/>
      <c r="F67" s="386"/>
      <c r="G67" s="394"/>
      <c r="H67" s="140" t="s">
        <v>92</v>
      </c>
      <c r="I67" s="32">
        <v>5</v>
      </c>
      <c r="J67" s="394"/>
      <c r="K67" s="366"/>
      <c r="L67" s="394"/>
    </row>
    <row r="68" spans="1:12" ht="21" customHeight="1" x14ac:dyDescent="0.2">
      <c r="A68" s="411"/>
      <c r="B68" s="362"/>
      <c r="C68" s="364"/>
      <c r="D68" s="362"/>
      <c r="E68" s="366"/>
      <c r="F68" s="386"/>
      <c r="G68" s="394"/>
      <c r="H68" s="140" t="s">
        <v>93</v>
      </c>
      <c r="I68" s="32">
        <v>4</v>
      </c>
      <c r="J68" s="394"/>
      <c r="K68" s="366"/>
      <c r="L68" s="394"/>
    </row>
    <row r="69" spans="1:12" ht="21" customHeight="1" x14ac:dyDescent="0.2">
      <c r="A69" s="411"/>
      <c r="B69" s="362"/>
      <c r="C69" s="364"/>
      <c r="D69" s="362"/>
      <c r="E69" s="366"/>
      <c r="F69" s="386"/>
      <c r="G69" s="394"/>
      <c r="H69" s="140" t="s">
        <v>94</v>
      </c>
      <c r="I69" s="32">
        <v>2</v>
      </c>
      <c r="J69" s="394"/>
      <c r="K69" s="366"/>
      <c r="L69" s="394"/>
    </row>
    <row r="70" spans="1:12" ht="21" customHeight="1" x14ac:dyDescent="0.2">
      <c r="A70" s="411"/>
      <c r="B70" s="362"/>
      <c r="C70" s="364"/>
      <c r="D70" s="362"/>
      <c r="E70" s="380"/>
      <c r="F70" s="387"/>
      <c r="G70" s="395"/>
      <c r="H70" s="140" t="s">
        <v>95</v>
      </c>
      <c r="I70" s="32">
        <v>1</v>
      </c>
      <c r="J70" s="395"/>
      <c r="K70" s="380"/>
      <c r="L70" s="394"/>
    </row>
    <row r="71" spans="1:12" ht="21" customHeight="1" x14ac:dyDescent="0.2">
      <c r="A71" s="411"/>
      <c r="B71" s="362"/>
      <c r="C71" s="364"/>
      <c r="D71" s="362"/>
      <c r="E71" s="365" t="s">
        <v>120</v>
      </c>
      <c r="F71" s="385">
        <v>15</v>
      </c>
      <c r="G71" s="393" t="s">
        <v>121</v>
      </c>
      <c r="H71" s="125" t="s">
        <v>88</v>
      </c>
      <c r="I71" s="15">
        <v>2.2999999999999998</v>
      </c>
      <c r="J71" s="393" t="s">
        <v>104</v>
      </c>
      <c r="K71" s="365" t="s">
        <v>122</v>
      </c>
      <c r="L71" s="394"/>
    </row>
    <row r="72" spans="1:12" ht="21" customHeight="1" x14ac:dyDescent="0.2">
      <c r="A72" s="411"/>
      <c r="B72" s="362"/>
      <c r="C72" s="364"/>
      <c r="D72" s="362"/>
      <c r="E72" s="366"/>
      <c r="F72" s="386"/>
      <c r="G72" s="394"/>
      <c r="H72" s="125" t="s">
        <v>91</v>
      </c>
      <c r="I72" s="15">
        <v>1.8</v>
      </c>
      <c r="J72" s="394"/>
      <c r="K72" s="366"/>
      <c r="L72" s="394"/>
    </row>
    <row r="73" spans="1:12" ht="21" customHeight="1" x14ac:dyDescent="0.2">
      <c r="A73" s="411"/>
      <c r="B73" s="362"/>
      <c r="C73" s="364"/>
      <c r="D73" s="362"/>
      <c r="E73" s="366"/>
      <c r="F73" s="386"/>
      <c r="G73" s="394"/>
      <c r="H73" s="125" t="s">
        <v>92</v>
      </c>
      <c r="I73" s="15">
        <v>1.4</v>
      </c>
      <c r="J73" s="394"/>
      <c r="K73" s="366"/>
      <c r="L73" s="394"/>
    </row>
    <row r="74" spans="1:12" ht="21" customHeight="1" x14ac:dyDescent="0.2">
      <c r="A74" s="411"/>
      <c r="B74" s="362"/>
      <c r="C74" s="364"/>
      <c r="D74" s="362"/>
      <c r="E74" s="366"/>
      <c r="F74" s="386"/>
      <c r="G74" s="394"/>
      <c r="H74" s="125" t="s">
        <v>93</v>
      </c>
      <c r="I74" s="15">
        <v>1</v>
      </c>
      <c r="J74" s="394"/>
      <c r="K74" s="366"/>
      <c r="L74" s="394"/>
    </row>
    <row r="75" spans="1:12" ht="21" customHeight="1" x14ac:dyDescent="0.2">
      <c r="A75" s="411"/>
      <c r="B75" s="362"/>
      <c r="C75" s="364"/>
      <c r="D75" s="362"/>
      <c r="E75" s="366"/>
      <c r="F75" s="386"/>
      <c r="G75" s="394"/>
      <c r="H75" s="125" t="s">
        <v>94</v>
      </c>
      <c r="I75" s="15">
        <v>0.5</v>
      </c>
      <c r="J75" s="394"/>
      <c r="K75" s="366"/>
      <c r="L75" s="394"/>
    </row>
    <row r="76" spans="1:12" ht="21" customHeight="1" x14ac:dyDescent="0.2">
      <c r="A76" s="411"/>
      <c r="B76" s="362"/>
      <c r="C76" s="364"/>
      <c r="D76" s="363"/>
      <c r="E76" s="380"/>
      <c r="F76" s="387"/>
      <c r="G76" s="395"/>
      <c r="H76" s="125" t="s">
        <v>95</v>
      </c>
      <c r="I76" s="15">
        <v>0.2</v>
      </c>
      <c r="J76" s="395"/>
      <c r="K76" s="380"/>
      <c r="L76" s="395"/>
    </row>
    <row r="77" spans="1:12" ht="42" customHeight="1" x14ac:dyDescent="0.2">
      <c r="A77" s="411"/>
      <c r="B77" s="362"/>
      <c r="C77" s="364"/>
      <c r="D77" s="364" t="s">
        <v>123</v>
      </c>
      <c r="E77" s="384" t="s">
        <v>124</v>
      </c>
      <c r="F77" s="373">
        <v>60</v>
      </c>
      <c r="G77" s="361" t="s">
        <v>125</v>
      </c>
      <c r="H77" s="112" t="s">
        <v>126</v>
      </c>
      <c r="I77" s="128" t="s">
        <v>67</v>
      </c>
      <c r="J77" s="402" t="s">
        <v>63</v>
      </c>
      <c r="K77" s="403" t="s">
        <v>127</v>
      </c>
      <c r="L77" s="396" t="s">
        <v>128</v>
      </c>
    </row>
    <row r="78" spans="1:12" ht="21" customHeight="1" x14ac:dyDescent="0.2">
      <c r="A78" s="411"/>
      <c r="B78" s="362"/>
      <c r="C78" s="364"/>
      <c r="D78" s="364"/>
      <c r="E78" s="384"/>
      <c r="F78" s="373"/>
      <c r="G78" s="362"/>
      <c r="H78" s="112" t="s">
        <v>129</v>
      </c>
      <c r="I78" s="128" t="s">
        <v>130</v>
      </c>
      <c r="J78" s="402"/>
      <c r="K78" s="404"/>
      <c r="L78" s="396"/>
    </row>
    <row r="79" spans="1:12" ht="21" customHeight="1" x14ac:dyDescent="0.2">
      <c r="A79" s="411"/>
      <c r="B79" s="362"/>
      <c r="C79" s="364"/>
      <c r="D79" s="364"/>
      <c r="E79" s="384"/>
      <c r="F79" s="373"/>
      <c r="G79" s="362"/>
      <c r="H79" s="112" t="s">
        <v>131</v>
      </c>
      <c r="I79" s="128" t="s">
        <v>56</v>
      </c>
      <c r="J79" s="400" t="s">
        <v>77</v>
      </c>
      <c r="K79" s="404"/>
      <c r="L79" s="396"/>
    </row>
    <row r="80" spans="1:12" ht="21" customHeight="1" x14ac:dyDescent="0.2">
      <c r="A80" s="411"/>
      <c r="B80" s="362"/>
      <c r="C80" s="364"/>
      <c r="D80" s="364"/>
      <c r="E80" s="384"/>
      <c r="F80" s="373"/>
      <c r="G80" s="362"/>
      <c r="H80" s="112" t="s">
        <v>132</v>
      </c>
      <c r="I80" s="128" t="s">
        <v>80</v>
      </c>
      <c r="J80" s="400"/>
      <c r="K80" s="404"/>
      <c r="L80" s="396"/>
    </row>
    <row r="81" spans="1:13" ht="21" customHeight="1" x14ac:dyDescent="0.2">
      <c r="A81" s="411"/>
      <c r="B81" s="362"/>
      <c r="C81" s="364"/>
      <c r="D81" s="364"/>
      <c r="E81" s="384"/>
      <c r="F81" s="373"/>
      <c r="G81" s="362"/>
      <c r="H81" s="112" t="s">
        <v>133</v>
      </c>
      <c r="I81" s="128" t="s">
        <v>73</v>
      </c>
      <c r="J81" s="400"/>
      <c r="K81" s="404"/>
      <c r="L81" s="396"/>
    </row>
    <row r="82" spans="1:13" ht="27" customHeight="1" x14ac:dyDescent="0.2">
      <c r="A82" s="411"/>
      <c r="B82" s="362"/>
      <c r="C82" s="364"/>
      <c r="D82" s="365" t="s">
        <v>134</v>
      </c>
      <c r="E82" s="365" t="s">
        <v>135</v>
      </c>
      <c r="F82" s="385">
        <v>20</v>
      </c>
      <c r="G82" s="365" t="s">
        <v>136</v>
      </c>
      <c r="H82" s="112" t="s">
        <v>137</v>
      </c>
      <c r="I82" s="128" t="s">
        <v>18</v>
      </c>
      <c r="J82" s="393" t="s">
        <v>104</v>
      </c>
      <c r="K82" s="381" t="s">
        <v>38</v>
      </c>
      <c r="L82" s="396"/>
    </row>
    <row r="83" spans="1:13" ht="21" customHeight="1" x14ac:dyDescent="0.2">
      <c r="A83" s="411"/>
      <c r="B83" s="362"/>
      <c r="C83" s="364"/>
      <c r="D83" s="366"/>
      <c r="E83" s="366"/>
      <c r="F83" s="386"/>
      <c r="G83" s="366"/>
      <c r="H83" s="112" t="s">
        <v>138</v>
      </c>
      <c r="I83" s="128" t="s">
        <v>30</v>
      </c>
      <c r="J83" s="394"/>
      <c r="K83" s="382"/>
      <c r="L83" s="396"/>
    </row>
    <row r="84" spans="1:13" ht="21" customHeight="1" x14ac:dyDescent="0.2">
      <c r="A84" s="411"/>
      <c r="B84" s="362"/>
      <c r="C84" s="364"/>
      <c r="D84" s="364" t="s">
        <v>139</v>
      </c>
      <c r="E84" s="364" t="s">
        <v>139</v>
      </c>
      <c r="F84" s="388">
        <v>20</v>
      </c>
      <c r="G84" s="365" t="s">
        <v>140</v>
      </c>
      <c r="H84" s="141" t="s">
        <v>141</v>
      </c>
      <c r="I84" s="157">
        <v>20</v>
      </c>
      <c r="J84" s="396" t="s">
        <v>38</v>
      </c>
      <c r="K84" s="396" t="s">
        <v>142</v>
      </c>
      <c r="L84" s="158"/>
    </row>
    <row r="85" spans="1:13" ht="21" customHeight="1" x14ac:dyDescent="0.2">
      <c r="A85" s="411"/>
      <c r="B85" s="362"/>
      <c r="C85" s="364"/>
      <c r="D85" s="364"/>
      <c r="E85" s="364"/>
      <c r="F85" s="388"/>
      <c r="G85" s="366"/>
      <c r="H85" s="141" t="s">
        <v>143</v>
      </c>
      <c r="I85" s="157">
        <v>10</v>
      </c>
      <c r="J85" s="396"/>
      <c r="K85" s="396"/>
      <c r="L85" s="158"/>
    </row>
    <row r="86" spans="1:13" ht="21" customHeight="1" x14ac:dyDescent="0.2">
      <c r="A86" s="411"/>
      <c r="B86" s="362"/>
      <c r="C86" s="364"/>
      <c r="D86" s="364"/>
      <c r="E86" s="364"/>
      <c r="F86" s="388"/>
      <c r="G86" s="366"/>
      <c r="H86" s="125" t="s">
        <v>144</v>
      </c>
      <c r="I86" s="157">
        <v>0</v>
      </c>
      <c r="J86" s="396"/>
      <c r="K86" s="396"/>
      <c r="L86" s="158"/>
    </row>
    <row r="87" spans="1:13" ht="21" customHeight="1" x14ac:dyDescent="0.2">
      <c r="A87" s="412"/>
      <c r="B87" s="363"/>
      <c r="C87" s="364"/>
      <c r="D87" s="364"/>
      <c r="E87" s="364"/>
      <c r="F87" s="388"/>
      <c r="G87" s="380"/>
      <c r="H87" s="142" t="s">
        <v>145</v>
      </c>
      <c r="I87" s="159">
        <v>-10</v>
      </c>
      <c r="J87" s="396"/>
      <c r="K87" s="396"/>
      <c r="L87" s="160" t="s">
        <v>146</v>
      </c>
    </row>
    <row r="88" spans="1:13" ht="21" customHeight="1" x14ac:dyDescent="0.2">
      <c r="A88" s="406" t="s">
        <v>147</v>
      </c>
      <c r="B88" s="407"/>
      <c r="C88" s="375">
        <v>100</v>
      </c>
      <c r="D88" s="364" t="s">
        <v>148</v>
      </c>
      <c r="E88" s="112" t="s">
        <v>149</v>
      </c>
      <c r="F88" s="385">
        <v>30</v>
      </c>
      <c r="G88" s="143" t="s">
        <v>150</v>
      </c>
      <c r="H88" s="144" t="s">
        <v>151</v>
      </c>
      <c r="I88" s="118">
        <v>10</v>
      </c>
      <c r="J88" s="385" t="s">
        <v>104</v>
      </c>
      <c r="K88" s="381" t="s">
        <v>38</v>
      </c>
      <c r="L88" s="396" t="s">
        <v>152</v>
      </c>
    </row>
    <row r="89" spans="1:13" ht="21" customHeight="1" x14ac:dyDescent="0.2">
      <c r="A89" s="408"/>
      <c r="B89" s="409"/>
      <c r="C89" s="375"/>
      <c r="D89" s="364"/>
      <c r="E89" s="112" t="s">
        <v>153</v>
      </c>
      <c r="F89" s="386"/>
      <c r="G89" s="143" t="s">
        <v>150</v>
      </c>
      <c r="H89" s="144" t="s">
        <v>151</v>
      </c>
      <c r="I89" s="118">
        <v>5</v>
      </c>
      <c r="J89" s="387"/>
      <c r="K89" s="382"/>
      <c r="L89" s="396"/>
    </row>
    <row r="90" spans="1:13" ht="31.5" customHeight="1" x14ac:dyDescent="0.2">
      <c r="A90" s="408"/>
      <c r="B90" s="409"/>
      <c r="C90" s="375"/>
      <c r="D90" s="365" t="s">
        <v>154</v>
      </c>
      <c r="E90" s="365" t="s">
        <v>155</v>
      </c>
      <c r="F90" s="391">
        <v>10</v>
      </c>
      <c r="G90" s="365" t="s">
        <v>156</v>
      </c>
      <c r="H90" s="112" t="s">
        <v>157</v>
      </c>
      <c r="I90" s="118">
        <v>2</v>
      </c>
      <c r="J90" s="385" t="s">
        <v>112</v>
      </c>
      <c r="K90" s="125" t="s">
        <v>38</v>
      </c>
      <c r="L90" s="161"/>
      <c r="M90" s="117" t="s">
        <v>158</v>
      </c>
    </row>
    <row r="91" spans="1:13" ht="31.5" customHeight="1" x14ac:dyDescent="0.2">
      <c r="A91" s="408"/>
      <c r="B91" s="409"/>
      <c r="C91" s="375"/>
      <c r="D91" s="366"/>
      <c r="E91" s="366"/>
      <c r="F91" s="392"/>
      <c r="G91" s="366"/>
      <c r="H91" s="114" t="s">
        <v>159</v>
      </c>
      <c r="I91" s="156">
        <v>1</v>
      </c>
      <c r="J91" s="386"/>
      <c r="K91" s="119"/>
      <c r="L91" s="161"/>
      <c r="M91" s="162"/>
    </row>
    <row r="92" spans="1:13" ht="21" customHeight="1" x14ac:dyDescent="0.2">
      <c r="A92" s="408"/>
      <c r="B92" s="409"/>
      <c r="C92" s="375"/>
      <c r="D92" s="364" t="s">
        <v>160</v>
      </c>
      <c r="E92" s="364" t="s">
        <v>161</v>
      </c>
      <c r="F92" s="388">
        <v>20</v>
      </c>
      <c r="G92" s="396" t="s">
        <v>162</v>
      </c>
      <c r="H92" s="112" t="s">
        <v>163</v>
      </c>
      <c r="I92" s="118">
        <v>2</v>
      </c>
      <c r="J92" s="385" t="s">
        <v>104</v>
      </c>
      <c r="K92" s="381" t="s">
        <v>38</v>
      </c>
      <c r="L92" s="393" t="s">
        <v>164</v>
      </c>
    </row>
    <row r="93" spans="1:13" ht="21" customHeight="1" x14ac:dyDescent="0.2">
      <c r="A93" s="408"/>
      <c r="B93" s="409"/>
      <c r="C93" s="375"/>
      <c r="D93" s="364"/>
      <c r="E93" s="364"/>
      <c r="F93" s="388"/>
      <c r="G93" s="396"/>
      <c r="H93" s="112" t="s">
        <v>165</v>
      </c>
      <c r="I93" s="118">
        <v>5</v>
      </c>
      <c r="J93" s="386"/>
      <c r="K93" s="382"/>
      <c r="L93" s="394"/>
    </row>
    <row r="94" spans="1:13" ht="21" customHeight="1" x14ac:dyDescent="0.2">
      <c r="A94" s="408"/>
      <c r="B94" s="409"/>
      <c r="C94" s="375"/>
      <c r="D94" s="364"/>
      <c r="E94" s="364"/>
      <c r="F94" s="388"/>
      <c r="G94" s="396"/>
      <c r="H94" s="112" t="s">
        <v>166</v>
      </c>
      <c r="I94" s="118">
        <v>5</v>
      </c>
      <c r="J94" s="387"/>
      <c r="K94" s="401"/>
      <c r="L94" s="394"/>
    </row>
    <row r="95" spans="1:13" ht="21" customHeight="1" x14ac:dyDescent="0.2">
      <c r="A95" s="408"/>
      <c r="B95" s="409"/>
      <c r="C95" s="375"/>
      <c r="D95" s="125" t="s">
        <v>167</v>
      </c>
      <c r="E95" s="112" t="s">
        <v>167</v>
      </c>
      <c r="F95" s="118">
        <v>50</v>
      </c>
      <c r="G95" s="112" t="s">
        <v>168</v>
      </c>
      <c r="H95" s="112" t="s">
        <v>163</v>
      </c>
      <c r="I95" s="118">
        <v>10</v>
      </c>
      <c r="J95" s="118" t="s">
        <v>104</v>
      </c>
      <c r="K95" s="119" t="s">
        <v>38</v>
      </c>
      <c r="L95" s="394"/>
    </row>
    <row r="96" spans="1:13" ht="40.5" x14ac:dyDescent="0.2">
      <c r="A96" s="408"/>
      <c r="B96" s="409"/>
      <c r="C96" s="375"/>
      <c r="D96" s="112" t="s">
        <v>169</v>
      </c>
      <c r="E96" s="112" t="s">
        <v>170</v>
      </c>
      <c r="F96" s="118">
        <v>10</v>
      </c>
      <c r="G96" s="112" t="s">
        <v>171</v>
      </c>
      <c r="H96" s="112" t="s">
        <v>172</v>
      </c>
      <c r="I96" s="118">
        <v>10</v>
      </c>
      <c r="J96" s="118" t="s">
        <v>104</v>
      </c>
      <c r="K96" s="126" t="s">
        <v>173</v>
      </c>
      <c r="L96" s="126" t="s">
        <v>174</v>
      </c>
    </row>
    <row r="97" spans="1:12" s="105" customFormat="1" ht="53.1" customHeight="1" x14ac:dyDescent="0.2">
      <c r="A97" s="371" t="s">
        <v>175</v>
      </c>
      <c r="B97" s="371" t="s">
        <v>176</v>
      </c>
      <c r="C97" s="364">
        <v>200</v>
      </c>
      <c r="D97" s="364" t="s">
        <v>177</v>
      </c>
      <c r="E97" s="112" t="s">
        <v>178</v>
      </c>
      <c r="F97" s="145">
        <f>20%*200</f>
        <v>40</v>
      </c>
      <c r="G97" s="143" t="s">
        <v>179</v>
      </c>
      <c r="H97" s="146" t="s">
        <v>180</v>
      </c>
      <c r="I97" s="126">
        <v>1</v>
      </c>
      <c r="J97" s="152" t="s">
        <v>181</v>
      </c>
      <c r="K97" s="163"/>
      <c r="L97" s="396" t="s">
        <v>182</v>
      </c>
    </row>
    <row r="98" spans="1:12" s="105" customFormat="1" ht="42.95" customHeight="1" x14ac:dyDescent="0.2">
      <c r="A98" s="371"/>
      <c r="B98" s="371"/>
      <c r="C98" s="364"/>
      <c r="D98" s="367"/>
      <c r="E98" s="122" t="s">
        <v>183</v>
      </c>
      <c r="F98" s="122">
        <v>20</v>
      </c>
      <c r="G98" s="122" t="s">
        <v>184</v>
      </c>
      <c r="H98" s="122" t="s">
        <v>177</v>
      </c>
      <c r="I98" s="164">
        <v>8</v>
      </c>
      <c r="J98" s="152" t="s">
        <v>185</v>
      </c>
      <c r="K98" s="163"/>
      <c r="L98" s="396"/>
    </row>
    <row r="99" spans="1:12" s="105" customFormat="1" ht="38.1" customHeight="1" x14ac:dyDescent="0.2">
      <c r="A99" s="371"/>
      <c r="B99" s="371"/>
      <c r="C99" s="364"/>
      <c r="D99" s="364" t="s">
        <v>186</v>
      </c>
      <c r="E99" s="112" t="s">
        <v>187</v>
      </c>
      <c r="F99" s="145">
        <v>30</v>
      </c>
      <c r="G99" s="112" t="s">
        <v>188</v>
      </c>
      <c r="H99" s="118" t="s">
        <v>189</v>
      </c>
      <c r="I99" s="125">
        <v>1.5</v>
      </c>
      <c r="J99" s="152" t="s">
        <v>190</v>
      </c>
      <c r="K99" s="163"/>
      <c r="L99" s="396"/>
    </row>
    <row r="100" spans="1:12" s="105" customFormat="1" ht="44.1" customHeight="1" x14ac:dyDescent="0.2">
      <c r="A100" s="371"/>
      <c r="B100" s="371"/>
      <c r="C100" s="364"/>
      <c r="D100" s="367"/>
      <c r="E100" s="112" t="s">
        <v>191</v>
      </c>
      <c r="F100" s="145">
        <v>10</v>
      </c>
      <c r="G100" s="112" t="s">
        <v>192</v>
      </c>
      <c r="H100" s="118" t="s">
        <v>193</v>
      </c>
      <c r="I100" s="125">
        <v>0.5</v>
      </c>
      <c r="J100" s="152" t="s">
        <v>194</v>
      </c>
      <c r="K100" s="163"/>
      <c r="L100" s="396"/>
    </row>
    <row r="101" spans="1:12" s="106" customFormat="1" ht="51" customHeight="1" x14ac:dyDescent="0.2">
      <c r="A101" s="372"/>
      <c r="B101" s="372"/>
      <c r="C101" s="379"/>
      <c r="D101" s="147" t="s">
        <v>195</v>
      </c>
      <c r="E101" s="207" t="s">
        <v>379</v>
      </c>
      <c r="F101" s="148">
        <f>5%*200</f>
        <v>10</v>
      </c>
      <c r="G101" s="147" t="s">
        <v>196</v>
      </c>
      <c r="H101" s="149" t="s">
        <v>197</v>
      </c>
      <c r="I101" s="165">
        <v>2</v>
      </c>
      <c r="J101" s="166" t="s">
        <v>198</v>
      </c>
      <c r="K101" s="167"/>
      <c r="L101" s="405"/>
    </row>
    <row r="102" spans="1:12" s="105" customFormat="1" ht="44.1" customHeight="1" x14ac:dyDescent="0.2">
      <c r="A102" s="371"/>
      <c r="B102" s="371"/>
      <c r="C102" s="364"/>
      <c r="D102" s="364" t="s">
        <v>199</v>
      </c>
      <c r="E102" s="112" t="s">
        <v>200</v>
      </c>
      <c r="F102" s="150">
        <v>30</v>
      </c>
      <c r="G102" s="112" t="s">
        <v>201</v>
      </c>
      <c r="H102" s="118" t="s">
        <v>202</v>
      </c>
      <c r="I102" s="125">
        <v>1</v>
      </c>
      <c r="J102" s="168" t="s">
        <v>203</v>
      </c>
      <c r="K102" s="169"/>
      <c r="L102" s="396"/>
    </row>
    <row r="103" spans="1:12" s="105" customFormat="1" ht="45.95" customHeight="1" x14ac:dyDescent="0.2">
      <c r="A103" s="371"/>
      <c r="B103" s="371"/>
      <c r="C103" s="364"/>
      <c r="D103" s="364"/>
      <c r="E103" s="112" t="s">
        <v>204</v>
      </c>
      <c r="F103" s="151">
        <f>5%*200</f>
        <v>10</v>
      </c>
      <c r="G103" s="112" t="s">
        <v>205</v>
      </c>
      <c r="H103" s="118" t="s">
        <v>202</v>
      </c>
      <c r="I103" s="125">
        <v>1</v>
      </c>
      <c r="J103" s="170" t="s">
        <v>206</v>
      </c>
      <c r="K103" s="169"/>
      <c r="L103" s="396"/>
    </row>
    <row r="104" spans="1:12" s="105" customFormat="1" ht="62.1" customHeight="1" x14ac:dyDescent="0.2">
      <c r="A104" s="371"/>
      <c r="B104" s="371"/>
      <c r="C104" s="364"/>
      <c r="D104" s="364"/>
      <c r="E104" s="112" t="s">
        <v>207</v>
      </c>
      <c r="F104" s="151">
        <f>5%*200</f>
        <v>10</v>
      </c>
      <c r="G104" s="112" t="s">
        <v>208</v>
      </c>
      <c r="H104" s="118" t="s">
        <v>209</v>
      </c>
      <c r="I104" s="125">
        <v>2</v>
      </c>
      <c r="J104" s="135" t="s">
        <v>210</v>
      </c>
      <c r="K104" s="169"/>
      <c r="L104" s="396"/>
    </row>
    <row r="105" spans="1:12" s="105" customFormat="1" ht="47.1" customHeight="1" x14ac:dyDescent="0.2">
      <c r="A105" s="371"/>
      <c r="B105" s="371"/>
      <c r="C105" s="364"/>
      <c r="D105" s="364"/>
      <c r="E105" s="112" t="s">
        <v>211</v>
      </c>
      <c r="F105" s="151">
        <f>5%*200</f>
        <v>10</v>
      </c>
      <c r="G105" s="152" t="s">
        <v>212</v>
      </c>
      <c r="H105" s="118" t="s">
        <v>197</v>
      </c>
      <c r="I105" s="125">
        <v>2</v>
      </c>
      <c r="J105" s="152" t="s">
        <v>198</v>
      </c>
      <c r="K105" s="169"/>
      <c r="L105" s="396"/>
    </row>
    <row r="106" spans="1:12" s="105" customFormat="1" ht="38.1" customHeight="1" x14ac:dyDescent="0.2">
      <c r="A106" s="371"/>
      <c r="B106" s="371"/>
      <c r="C106" s="364"/>
      <c r="D106" s="364" t="s">
        <v>213</v>
      </c>
      <c r="E106" s="122" t="s">
        <v>214</v>
      </c>
      <c r="F106" s="150">
        <v>20</v>
      </c>
      <c r="G106" s="153" t="s">
        <v>215</v>
      </c>
      <c r="H106" s="118" t="s">
        <v>214</v>
      </c>
      <c r="I106" s="125">
        <v>2</v>
      </c>
      <c r="J106" s="153" t="s">
        <v>215</v>
      </c>
      <c r="K106" s="169"/>
      <c r="L106" s="396"/>
    </row>
    <row r="107" spans="1:12" s="105" customFormat="1" ht="31.5" customHeight="1" x14ac:dyDescent="0.2">
      <c r="A107" s="371"/>
      <c r="B107" s="371"/>
      <c r="C107" s="364"/>
      <c r="D107" s="364"/>
      <c r="E107" s="122" t="s">
        <v>216</v>
      </c>
      <c r="F107" s="151">
        <f>5%*200</f>
        <v>10</v>
      </c>
      <c r="G107" s="112" t="s">
        <v>217</v>
      </c>
      <c r="H107" s="118" t="s">
        <v>218</v>
      </c>
      <c r="I107" s="125">
        <v>1</v>
      </c>
      <c r="J107" s="153" t="s">
        <v>219</v>
      </c>
      <c r="K107" s="169"/>
      <c r="L107" s="396"/>
    </row>
    <row r="108" spans="1:12" ht="35.1" customHeight="1" x14ac:dyDescent="0.2">
      <c r="A108" s="371"/>
      <c r="B108" s="373" t="s">
        <v>220</v>
      </c>
      <c r="C108" s="373">
        <v>200</v>
      </c>
      <c r="D108" s="368" t="s">
        <v>221</v>
      </c>
      <c r="E108" s="122" t="s">
        <v>222</v>
      </c>
      <c r="F108" s="122">
        <v>60</v>
      </c>
      <c r="G108" s="154" t="s">
        <v>223</v>
      </c>
      <c r="H108" s="155" t="s">
        <v>180</v>
      </c>
      <c r="I108" s="171">
        <v>6</v>
      </c>
      <c r="J108" s="152" t="s">
        <v>224</v>
      </c>
      <c r="K108" s="125"/>
      <c r="L108" s="396"/>
    </row>
    <row r="109" spans="1:12" ht="38.1" customHeight="1" x14ac:dyDescent="0.2">
      <c r="A109" s="371"/>
      <c r="B109" s="373"/>
      <c r="C109" s="373"/>
      <c r="D109" s="368"/>
      <c r="E109" s="122" t="s">
        <v>183</v>
      </c>
      <c r="F109" s="122">
        <v>20</v>
      </c>
      <c r="G109" s="122" t="s">
        <v>184</v>
      </c>
      <c r="H109" s="122" t="s">
        <v>177</v>
      </c>
      <c r="I109" s="164">
        <v>8</v>
      </c>
      <c r="J109" s="152" t="s">
        <v>225</v>
      </c>
      <c r="K109" s="125"/>
      <c r="L109" s="396"/>
    </row>
    <row r="110" spans="1:12" ht="42.95" customHeight="1" x14ac:dyDescent="0.2">
      <c r="A110" s="371"/>
      <c r="B110" s="373"/>
      <c r="C110" s="373"/>
      <c r="D110" s="122" t="s">
        <v>226</v>
      </c>
      <c r="E110" s="122" t="s">
        <v>227</v>
      </c>
      <c r="F110" s="122">
        <v>20</v>
      </c>
      <c r="G110" s="122" t="s">
        <v>228</v>
      </c>
      <c r="H110" s="122" t="s">
        <v>177</v>
      </c>
      <c r="I110" s="164">
        <v>2</v>
      </c>
      <c r="J110" s="152" t="s">
        <v>229</v>
      </c>
      <c r="K110" s="125"/>
      <c r="L110" s="396"/>
    </row>
    <row r="111" spans="1:12" ht="39.950000000000003" customHeight="1" x14ac:dyDescent="0.2">
      <c r="A111" s="371"/>
      <c r="B111" s="373"/>
      <c r="C111" s="373"/>
      <c r="D111" s="122" t="s">
        <v>195</v>
      </c>
      <c r="E111" s="122" t="s">
        <v>195</v>
      </c>
      <c r="F111" s="122">
        <v>30</v>
      </c>
      <c r="G111" s="122" t="s">
        <v>230</v>
      </c>
      <c r="H111" s="122" t="s">
        <v>197</v>
      </c>
      <c r="I111" s="164">
        <v>6</v>
      </c>
      <c r="J111" s="152" t="s">
        <v>231</v>
      </c>
      <c r="K111" s="125"/>
      <c r="L111" s="396"/>
    </row>
    <row r="112" spans="1:12" ht="27" x14ac:dyDescent="0.2">
      <c r="A112" s="371"/>
      <c r="B112" s="373"/>
      <c r="C112" s="373"/>
      <c r="D112" s="368" t="s">
        <v>199</v>
      </c>
      <c r="E112" s="122" t="s">
        <v>232</v>
      </c>
      <c r="F112" s="122">
        <v>10</v>
      </c>
      <c r="G112" s="122" t="s">
        <v>233</v>
      </c>
      <c r="H112" s="122" t="s">
        <v>197</v>
      </c>
      <c r="I112" s="164">
        <v>2</v>
      </c>
      <c r="J112" s="152" t="s">
        <v>234</v>
      </c>
      <c r="K112" s="125"/>
      <c r="L112" s="396"/>
    </row>
    <row r="113" spans="1:12" ht="27" x14ac:dyDescent="0.2">
      <c r="A113" s="371"/>
      <c r="B113" s="373"/>
      <c r="C113" s="373"/>
      <c r="D113" s="368"/>
      <c r="E113" s="122" t="s">
        <v>235</v>
      </c>
      <c r="F113" s="122">
        <v>10</v>
      </c>
      <c r="G113" s="122" t="s">
        <v>236</v>
      </c>
      <c r="H113" s="122" t="s">
        <v>197</v>
      </c>
      <c r="I113" s="164">
        <v>2</v>
      </c>
      <c r="J113" s="152" t="s">
        <v>234</v>
      </c>
      <c r="K113" s="125"/>
      <c r="L113" s="396"/>
    </row>
    <row r="114" spans="1:12" ht="40.5" x14ac:dyDescent="0.2">
      <c r="A114" s="371"/>
      <c r="B114" s="373"/>
      <c r="C114" s="373"/>
      <c r="D114" s="368"/>
      <c r="E114" s="122" t="s">
        <v>237</v>
      </c>
      <c r="F114" s="122">
        <v>10</v>
      </c>
      <c r="G114" s="122" t="s">
        <v>238</v>
      </c>
      <c r="H114" s="122" t="s">
        <v>197</v>
      </c>
      <c r="I114" s="164">
        <v>2</v>
      </c>
      <c r="J114" s="152" t="s">
        <v>234</v>
      </c>
      <c r="K114" s="125"/>
      <c r="L114" s="396"/>
    </row>
    <row r="115" spans="1:12" ht="27" x14ac:dyDescent="0.2">
      <c r="A115" s="371"/>
      <c r="B115" s="373"/>
      <c r="C115" s="373"/>
      <c r="D115" s="368"/>
      <c r="E115" s="122" t="s">
        <v>204</v>
      </c>
      <c r="F115" s="122">
        <v>10</v>
      </c>
      <c r="G115" s="122" t="s">
        <v>239</v>
      </c>
      <c r="H115" s="122" t="s">
        <v>197</v>
      </c>
      <c r="I115" s="164">
        <v>2</v>
      </c>
      <c r="J115" s="152" t="s">
        <v>234</v>
      </c>
      <c r="K115" s="125"/>
      <c r="L115" s="396"/>
    </row>
    <row r="116" spans="1:12" ht="27" x14ac:dyDescent="0.2">
      <c r="A116" s="371"/>
      <c r="B116" s="373"/>
      <c r="C116" s="373"/>
      <c r="D116" s="368"/>
      <c r="E116" s="122" t="s">
        <v>240</v>
      </c>
      <c r="F116" s="122">
        <v>10</v>
      </c>
      <c r="G116" s="122" t="s">
        <v>241</v>
      </c>
      <c r="H116" s="122" t="s">
        <v>197</v>
      </c>
      <c r="I116" s="164">
        <v>2</v>
      </c>
      <c r="J116" s="152" t="s">
        <v>234</v>
      </c>
      <c r="K116" s="125"/>
      <c r="L116" s="396"/>
    </row>
    <row r="117" spans="1:12" ht="27" x14ac:dyDescent="0.2">
      <c r="A117" s="371"/>
      <c r="B117" s="373"/>
      <c r="C117" s="373"/>
      <c r="D117" s="368"/>
      <c r="E117" s="122" t="s">
        <v>242</v>
      </c>
      <c r="F117" s="122">
        <v>10</v>
      </c>
      <c r="G117" s="122" t="s">
        <v>243</v>
      </c>
      <c r="H117" s="122" t="s">
        <v>197</v>
      </c>
      <c r="I117" s="164">
        <v>2</v>
      </c>
      <c r="J117" s="152" t="s">
        <v>234</v>
      </c>
      <c r="K117" s="125"/>
      <c r="L117" s="396"/>
    </row>
    <row r="118" spans="1:12" ht="27" x14ac:dyDescent="0.2">
      <c r="A118" s="371"/>
      <c r="B118" s="373"/>
      <c r="C118" s="373"/>
      <c r="D118" s="368"/>
      <c r="E118" s="208" t="s">
        <v>358</v>
      </c>
      <c r="F118" s="122">
        <v>10</v>
      </c>
      <c r="G118" s="122" t="s">
        <v>245</v>
      </c>
      <c r="H118" s="122" t="s">
        <v>197</v>
      </c>
      <c r="I118" s="164">
        <v>2</v>
      </c>
      <c r="J118" s="152" t="s">
        <v>234</v>
      </c>
      <c r="K118" s="125"/>
      <c r="L118" s="396"/>
    </row>
  </sheetData>
  <mergeCells count="147">
    <mergeCell ref="L97:L118"/>
    <mergeCell ref="A88:B96"/>
    <mergeCell ref="A29:B87"/>
    <mergeCell ref="A18:B28"/>
    <mergeCell ref="A4:B17"/>
    <mergeCell ref="A2:B3"/>
    <mergeCell ref="L2:L3"/>
    <mergeCell ref="L4:L10"/>
    <mergeCell ref="L12:L14"/>
    <mergeCell ref="L15:L17"/>
    <mergeCell ref="L18:L27"/>
    <mergeCell ref="L29:L76"/>
    <mergeCell ref="L77:L83"/>
    <mergeCell ref="L88:L89"/>
    <mergeCell ref="L92:L95"/>
    <mergeCell ref="J84:J87"/>
    <mergeCell ref="J88:J89"/>
    <mergeCell ref="J90:J91"/>
    <mergeCell ref="J92:J94"/>
    <mergeCell ref="K2:K3"/>
    <mergeCell ref="K12:K14"/>
    <mergeCell ref="K15:K17"/>
    <mergeCell ref="K18:K24"/>
    <mergeCell ref="K25:K27"/>
    <mergeCell ref="K29:K34"/>
    <mergeCell ref="K35:K40"/>
    <mergeCell ref="K41:K46"/>
    <mergeCell ref="K47:K52"/>
    <mergeCell ref="K53:K58"/>
    <mergeCell ref="K59:K64"/>
    <mergeCell ref="K65:K70"/>
    <mergeCell ref="K71:K76"/>
    <mergeCell ref="K77:K81"/>
    <mergeCell ref="K82:K83"/>
    <mergeCell ref="K84:K87"/>
    <mergeCell ref="K88:K89"/>
    <mergeCell ref="K92:K94"/>
    <mergeCell ref="J41:J46"/>
    <mergeCell ref="J47:J52"/>
    <mergeCell ref="J53:J58"/>
    <mergeCell ref="J59:J64"/>
    <mergeCell ref="J65:J70"/>
    <mergeCell ref="J71:J76"/>
    <mergeCell ref="J77:J78"/>
    <mergeCell ref="J79:J81"/>
    <mergeCell ref="J82:J83"/>
    <mergeCell ref="J2:J3"/>
    <mergeCell ref="J4:J8"/>
    <mergeCell ref="J12:J14"/>
    <mergeCell ref="J15:J17"/>
    <mergeCell ref="J18:J21"/>
    <mergeCell ref="J22:J24"/>
    <mergeCell ref="J25:J28"/>
    <mergeCell ref="J29:J34"/>
    <mergeCell ref="J35:J40"/>
    <mergeCell ref="F90:F91"/>
    <mergeCell ref="F92:F94"/>
    <mergeCell ref="G2:G3"/>
    <mergeCell ref="G4:G8"/>
    <mergeCell ref="G12:G14"/>
    <mergeCell ref="G15:G17"/>
    <mergeCell ref="G18:G24"/>
    <mergeCell ref="G25:G28"/>
    <mergeCell ref="G29:G34"/>
    <mergeCell ref="G35:G40"/>
    <mergeCell ref="G41:G46"/>
    <mergeCell ref="G47:G52"/>
    <mergeCell ref="G53:G58"/>
    <mergeCell ref="G59:G64"/>
    <mergeCell ref="G65:G70"/>
    <mergeCell ref="G71:G76"/>
    <mergeCell ref="G77:G81"/>
    <mergeCell ref="G82:G83"/>
    <mergeCell ref="G84:G87"/>
    <mergeCell ref="G90:G91"/>
    <mergeCell ref="G92:G94"/>
    <mergeCell ref="F47:F52"/>
    <mergeCell ref="F53:F58"/>
    <mergeCell ref="F59:F64"/>
    <mergeCell ref="F65:F70"/>
    <mergeCell ref="F71:F76"/>
    <mergeCell ref="F77:F81"/>
    <mergeCell ref="F82:F83"/>
    <mergeCell ref="F84:F87"/>
    <mergeCell ref="F88:F89"/>
    <mergeCell ref="F2:F3"/>
    <mergeCell ref="F4:F8"/>
    <mergeCell ref="F12:F14"/>
    <mergeCell ref="F15:F17"/>
    <mergeCell ref="F18:F24"/>
    <mergeCell ref="F25:F28"/>
    <mergeCell ref="F29:F34"/>
    <mergeCell ref="F35:F40"/>
    <mergeCell ref="F41:F46"/>
    <mergeCell ref="E65:E70"/>
    <mergeCell ref="E71:E76"/>
    <mergeCell ref="E77:E81"/>
    <mergeCell ref="E82:E83"/>
    <mergeCell ref="E84:E87"/>
    <mergeCell ref="E90:E91"/>
    <mergeCell ref="E92:E94"/>
    <mergeCell ref="D84:D87"/>
    <mergeCell ref="D88:D89"/>
    <mergeCell ref="D90:D91"/>
    <mergeCell ref="D92:D94"/>
    <mergeCell ref="E15:E17"/>
    <mergeCell ref="E18:E24"/>
    <mergeCell ref="E25:E28"/>
    <mergeCell ref="E29:E34"/>
    <mergeCell ref="E35:E40"/>
    <mergeCell ref="E41:E46"/>
    <mergeCell ref="E47:E52"/>
    <mergeCell ref="E53:E58"/>
    <mergeCell ref="E59:E64"/>
    <mergeCell ref="D108:D109"/>
    <mergeCell ref="A1:H1"/>
    <mergeCell ref="H2:I2"/>
    <mergeCell ref="A97:A118"/>
    <mergeCell ref="B97:B107"/>
    <mergeCell ref="B108:B118"/>
    <mergeCell ref="C2:C3"/>
    <mergeCell ref="C4:C17"/>
    <mergeCell ref="C18:C28"/>
    <mergeCell ref="C29:C87"/>
    <mergeCell ref="C88:C96"/>
    <mergeCell ref="C97:C107"/>
    <mergeCell ref="C108:C118"/>
    <mergeCell ref="D2:D3"/>
    <mergeCell ref="D4:D10"/>
    <mergeCell ref="D12:D14"/>
    <mergeCell ref="D15:D17"/>
    <mergeCell ref="D18:D24"/>
    <mergeCell ref="D25:D28"/>
    <mergeCell ref="D29:D34"/>
    <mergeCell ref="D112:D118"/>
    <mergeCell ref="E2:E3"/>
    <mergeCell ref="E4:E8"/>
    <mergeCell ref="E12:E14"/>
    <mergeCell ref="D35:D40"/>
    <mergeCell ref="D41:D52"/>
    <mergeCell ref="D53:D76"/>
    <mergeCell ref="D77:D81"/>
    <mergeCell ref="D82:D83"/>
    <mergeCell ref="D97:D98"/>
    <mergeCell ref="D99:D100"/>
    <mergeCell ref="D102:D105"/>
    <mergeCell ref="D106:D107"/>
  </mergeCells>
  <phoneticPr fontId="2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8"/>
  <sheetViews>
    <sheetView zoomScale="110" zoomScaleNormal="110" workbookViewId="0">
      <pane xSplit="6" ySplit="3" topLeftCell="G106" activePane="bottomRight" state="frozen"/>
      <selection activeCell="G56" sqref="G56:G61"/>
      <selection pane="topRight" activeCell="G56" sqref="G56:G61"/>
      <selection pane="bottomLeft" activeCell="G56" sqref="G56:G61"/>
      <selection pane="bottomRight" activeCell="G56" sqref="G56:G61"/>
    </sheetView>
  </sheetViews>
  <sheetFormatPr defaultColWidth="9" defaultRowHeight="12.75" x14ac:dyDescent="0.2"/>
  <cols>
    <col min="1" max="1" width="4.25" style="2" customWidth="1"/>
    <col min="2" max="2" width="4.75" style="2" customWidth="1"/>
    <col min="3" max="3" width="8.25" style="2" customWidth="1"/>
    <col min="4" max="4" width="12.125" style="2" customWidth="1"/>
    <col min="5" max="5" width="5.125" style="2" customWidth="1"/>
    <col min="6" max="6" width="19.375" style="2" customWidth="1"/>
    <col min="7" max="7" width="14.75" style="2" customWidth="1"/>
    <col min="8" max="8" width="7.5" style="2" customWidth="1"/>
    <col min="9" max="11" width="10.25" style="2" customWidth="1"/>
    <col min="12" max="12" width="6.625" style="182" customWidth="1"/>
    <col min="13" max="13" width="14.375" style="2" customWidth="1"/>
    <col min="14" max="14" width="23.375" style="4" customWidth="1"/>
    <col min="15" max="15" width="5.875" style="2" hidden="1" customWidth="1"/>
    <col min="16" max="16" width="8" style="4" hidden="1" customWidth="1"/>
    <col min="17" max="17" width="18.25" style="64" customWidth="1"/>
    <col min="18" max="16384" width="9" style="2"/>
  </cols>
  <sheetData>
    <row r="1" spans="1:16" s="64" customFormat="1" ht="21" customHeight="1" x14ac:dyDescent="0.2">
      <c r="A1" s="422" t="s">
        <v>246</v>
      </c>
      <c r="B1" s="422"/>
      <c r="C1" s="422"/>
      <c r="D1" s="422"/>
      <c r="E1" s="422"/>
      <c r="F1" s="422"/>
      <c r="G1" s="422"/>
      <c r="H1" s="6"/>
      <c r="I1" s="6"/>
      <c r="J1" s="6"/>
      <c r="K1" s="6"/>
      <c r="L1" s="182"/>
      <c r="M1" s="6"/>
      <c r="N1" s="4"/>
      <c r="O1" s="2"/>
      <c r="P1" s="4"/>
    </row>
    <row r="2" spans="1:16" s="64" customFormat="1" ht="16.5" customHeight="1" x14ac:dyDescent="0.2">
      <c r="A2" s="424" t="s">
        <v>1</v>
      </c>
      <c r="B2" s="423" t="s">
        <v>2</v>
      </c>
      <c r="C2" s="423" t="s">
        <v>3</v>
      </c>
      <c r="D2" s="423" t="s">
        <v>4</v>
      </c>
      <c r="E2" s="449" t="s">
        <v>5</v>
      </c>
      <c r="F2" s="423" t="s">
        <v>6</v>
      </c>
      <c r="G2" s="423" t="s">
        <v>7</v>
      </c>
      <c r="H2" s="423"/>
      <c r="I2" s="456"/>
      <c r="J2" s="456" t="s">
        <v>247</v>
      </c>
      <c r="K2" s="466" t="s">
        <v>345</v>
      </c>
      <c r="L2" s="467" t="s">
        <v>344</v>
      </c>
      <c r="M2" s="456" t="s">
        <v>248</v>
      </c>
      <c r="N2" s="481" t="s">
        <v>8</v>
      </c>
      <c r="O2" s="490" t="s">
        <v>9</v>
      </c>
      <c r="P2" s="481" t="s">
        <v>10</v>
      </c>
    </row>
    <row r="3" spans="1:16" s="64" customFormat="1" ht="18.75" customHeight="1" x14ac:dyDescent="0.2">
      <c r="A3" s="425"/>
      <c r="B3" s="423"/>
      <c r="C3" s="423"/>
      <c r="D3" s="423"/>
      <c r="E3" s="449"/>
      <c r="F3" s="423"/>
      <c r="G3" s="41" t="s">
        <v>11</v>
      </c>
      <c r="H3" s="42" t="s">
        <v>12</v>
      </c>
      <c r="I3" s="457"/>
      <c r="J3" s="457"/>
      <c r="K3" s="457"/>
      <c r="L3" s="468"/>
      <c r="M3" s="457"/>
      <c r="N3" s="482"/>
      <c r="O3" s="490"/>
      <c r="P3" s="482"/>
    </row>
    <row r="4" spans="1:16" s="64" customFormat="1" ht="18" customHeight="1" x14ac:dyDescent="0.2">
      <c r="A4" s="426" t="s">
        <v>13</v>
      </c>
      <c r="B4" s="426">
        <v>110</v>
      </c>
      <c r="C4" s="426" t="s">
        <v>14</v>
      </c>
      <c r="D4" s="426" t="s">
        <v>15</v>
      </c>
      <c r="E4" s="437">
        <v>30</v>
      </c>
      <c r="F4" s="426" t="s">
        <v>16</v>
      </c>
      <c r="G4" s="43" t="s">
        <v>17</v>
      </c>
      <c r="H4" s="44">
        <v>10</v>
      </c>
      <c r="I4" s="44"/>
      <c r="J4" s="44">
        <v>10</v>
      </c>
      <c r="K4" s="44">
        <v>10</v>
      </c>
      <c r="L4" s="469">
        <f>IF(I4="高中及以下",10,IF(I4="中专",10,IF(I4="大专非统招",15,IF(I4="大专统招",20,IF(I4="本科非统招",25,IF(I4="本科以上非统招",25,IF(I4="本科统招",30,IF(I4="本科以上统招",30,))))))))</f>
        <v>0</v>
      </c>
      <c r="M4" s="44"/>
      <c r="N4" s="430" t="s">
        <v>38</v>
      </c>
      <c r="O4" s="73"/>
      <c r="P4" s="430" t="s">
        <v>19</v>
      </c>
    </row>
    <row r="5" spans="1:16" s="64" customFormat="1" ht="18" customHeight="1" x14ac:dyDescent="0.2">
      <c r="A5" s="426"/>
      <c r="B5" s="426"/>
      <c r="C5" s="426"/>
      <c r="D5" s="426"/>
      <c r="E5" s="437"/>
      <c r="F5" s="426"/>
      <c r="G5" s="43" t="s">
        <v>20</v>
      </c>
      <c r="H5" s="44">
        <v>15</v>
      </c>
      <c r="I5" s="44"/>
      <c r="J5" s="44">
        <v>15</v>
      </c>
      <c r="K5" s="44">
        <v>15</v>
      </c>
      <c r="L5" s="469"/>
      <c r="M5" s="44"/>
      <c r="N5" s="431"/>
      <c r="O5" s="74"/>
      <c r="P5" s="431"/>
    </row>
    <row r="6" spans="1:16" s="64" customFormat="1" ht="18" customHeight="1" x14ac:dyDescent="0.2">
      <c r="A6" s="426"/>
      <c r="B6" s="426"/>
      <c r="C6" s="426"/>
      <c r="D6" s="426"/>
      <c r="E6" s="437"/>
      <c r="F6" s="426"/>
      <c r="G6" s="43" t="s">
        <v>22</v>
      </c>
      <c r="H6" s="44">
        <v>20</v>
      </c>
      <c r="I6" s="44"/>
      <c r="J6" s="44">
        <v>20</v>
      </c>
      <c r="K6" s="44">
        <v>20</v>
      </c>
      <c r="L6" s="469"/>
      <c r="M6" s="44"/>
      <c r="N6" s="431"/>
      <c r="O6" s="74"/>
      <c r="P6" s="431"/>
    </row>
    <row r="7" spans="1:16" s="64" customFormat="1" ht="24.75" customHeight="1" x14ac:dyDescent="0.2">
      <c r="A7" s="426"/>
      <c r="B7" s="426"/>
      <c r="C7" s="426"/>
      <c r="D7" s="426"/>
      <c r="E7" s="437"/>
      <c r="F7" s="426"/>
      <c r="G7" s="43" t="s">
        <v>249</v>
      </c>
      <c r="H7" s="44">
        <v>25</v>
      </c>
      <c r="I7" s="44"/>
      <c r="J7" s="44">
        <v>25</v>
      </c>
      <c r="K7" s="44">
        <v>25</v>
      </c>
      <c r="L7" s="469"/>
      <c r="M7" s="44"/>
      <c r="N7" s="431"/>
      <c r="O7" s="74"/>
      <c r="P7" s="431"/>
    </row>
    <row r="8" spans="1:16" s="64" customFormat="1" ht="18" customHeight="1" x14ac:dyDescent="0.2">
      <c r="A8" s="426"/>
      <c r="B8" s="426"/>
      <c r="C8" s="426"/>
      <c r="D8" s="426"/>
      <c r="E8" s="437"/>
      <c r="F8" s="426"/>
      <c r="G8" s="43" t="s">
        <v>250</v>
      </c>
      <c r="H8" s="44">
        <v>30</v>
      </c>
      <c r="I8" s="44"/>
      <c r="J8" s="44">
        <v>30</v>
      </c>
      <c r="K8" s="44">
        <v>30</v>
      </c>
      <c r="L8" s="469"/>
      <c r="M8" s="44"/>
      <c r="N8" s="431"/>
      <c r="O8" s="74"/>
      <c r="P8" s="431"/>
    </row>
    <row r="9" spans="1:16" s="64" customFormat="1" ht="29.25" customHeight="1" x14ac:dyDescent="0.2">
      <c r="A9" s="426"/>
      <c r="B9" s="426"/>
      <c r="C9" s="426"/>
      <c r="D9" s="43" t="s">
        <v>28</v>
      </c>
      <c r="E9" s="14">
        <v>5</v>
      </c>
      <c r="F9" s="43" t="s">
        <v>251</v>
      </c>
      <c r="G9" s="43" t="s">
        <v>252</v>
      </c>
      <c r="H9" s="44">
        <v>5</v>
      </c>
      <c r="I9" s="44"/>
      <c r="J9" s="44">
        <v>5</v>
      </c>
      <c r="K9" s="44">
        <v>5</v>
      </c>
      <c r="L9" s="183">
        <f>IF(I9="特长生",5,0)</f>
        <v>0</v>
      </c>
      <c r="M9" s="44"/>
      <c r="N9" s="22" t="s">
        <v>38</v>
      </c>
      <c r="O9" s="75" t="s">
        <v>31</v>
      </c>
      <c r="P9" s="431"/>
    </row>
    <row r="10" spans="1:16" s="64" customFormat="1" ht="21.75" customHeight="1" x14ac:dyDescent="0.2">
      <c r="A10" s="426"/>
      <c r="B10" s="426"/>
      <c r="C10" s="426"/>
      <c r="D10" s="43" t="s">
        <v>32</v>
      </c>
      <c r="E10" s="14">
        <v>10</v>
      </c>
      <c r="F10" s="43" t="s">
        <v>251</v>
      </c>
      <c r="G10" s="43" t="s">
        <v>33</v>
      </c>
      <c r="H10" s="44">
        <v>5</v>
      </c>
      <c r="I10" s="44"/>
      <c r="J10" s="44">
        <v>5</v>
      </c>
      <c r="K10" s="44">
        <v>5</v>
      </c>
      <c r="L10" s="183">
        <f>IF(I10="退伍军人",5,IF(I10="党员",5,IF(I10="退伍军人，党员",10,)))</f>
        <v>0</v>
      </c>
      <c r="M10" s="44"/>
      <c r="N10" s="22" t="s">
        <v>38</v>
      </c>
      <c r="O10" s="76"/>
      <c r="P10" s="432"/>
    </row>
    <row r="11" spans="1:16" s="64" customFormat="1" ht="30" customHeight="1" x14ac:dyDescent="0.2">
      <c r="A11" s="426"/>
      <c r="B11" s="426"/>
      <c r="C11" s="52" t="s">
        <v>34</v>
      </c>
      <c r="D11" s="52" t="s">
        <v>35</v>
      </c>
      <c r="E11" s="65">
        <v>60</v>
      </c>
      <c r="F11" s="52" t="s">
        <v>36</v>
      </c>
      <c r="G11" s="54" t="s">
        <v>37</v>
      </c>
      <c r="H11" s="66">
        <v>6</v>
      </c>
      <c r="I11" s="66"/>
      <c r="J11" s="66">
        <v>8</v>
      </c>
      <c r="K11" s="66">
        <v>10</v>
      </c>
      <c r="L11" s="183">
        <f>MEDIAN(I11/12*H11,30,0)</f>
        <v>0</v>
      </c>
      <c r="M11" s="172" t="s">
        <v>346</v>
      </c>
      <c r="N11" s="54" t="s">
        <v>38</v>
      </c>
      <c r="O11" s="52" t="s">
        <v>39</v>
      </c>
      <c r="P11" s="54" t="s">
        <v>19</v>
      </c>
    </row>
    <row r="12" spans="1:16" s="64" customFormat="1" ht="18" customHeight="1" x14ac:dyDescent="0.2">
      <c r="A12" s="426"/>
      <c r="B12" s="426"/>
      <c r="C12" s="426" t="s">
        <v>40</v>
      </c>
      <c r="D12" s="426" t="s">
        <v>41</v>
      </c>
      <c r="E12" s="450">
        <v>10</v>
      </c>
      <c r="F12" s="426" t="s">
        <v>42</v>
      </c>
      <c r="G12" s="43" t="s">
        <v>253</v>
      </c>
      <c r="H12" s="44">
        <v>10</v>
      </c>
      <c r="I12" s="44"/>
      <c r="J12" s="44">
        <v>10</v>
      </c>
      <c r="K12" s="44">
        <v>10</v>
      </c>
      <c r="L12" s="469">
        <f>IF(I12="杭州经纪人证",10,IF(I12="全国协理证",15,IF(I12="全国经纪人证",20,)))</f>
        <v>0</v>
      </c>
      <c r="M12" s="44"/>
      <c r="N12" s="430" t="s">
        <v>38</v>
      </c>
      <c r="O12" s="439" t="s">
        <v>38</v>
      </c>
      <c r="P12" s="430" t="s">
        <v>19</v>
      </c>
    </row>
    <row r="13" spans="1:16" s="64" customFormat="1" ht="18" customHeight="1" x14ac:dyDescent="0.2">
      <c r="A13" s="426"/>
      <c r="B13" s="426"/>
      <c r="C13" s="426"/>
      <c r="D13" s="426"/>
      <c r="E13" s="450"/>
      <c r="F13" s="426"/>
      <c r="G13" s="43" t="s">
        <v>254</v>
      </c>
      <c r="H13" s="44">
        <v>15</v>
      </c>
      <c r="I13" s="44"/>
      <c r="J13" s="44">
        <v>15</v>
      </c>
      <c r="K13" s="44">
        <v>15</v>
      </c>
      <c r="L13" s="469"/>
      <c r="M13" s="44"/>
      <c r="N13" s="431"/>
      <c r="O13" s="440"/>
      <c r="P13" s="431"/>
    </row>
    <row r="14" spans="1:16" s="64" customFormat="1" ht="18" customHeight="1" x14ac:dyDescent="0.2">
      <c r="A14" s="426"/>
      <c r="B14" s="426"/>
      <c r="C14" s="426"/>
      <c r="D14" s="426"/>
      <c r="E14" s="450"/>
      <c r="F14" s="426"/>
      <c r="G14" s="43" t="s">
        <v>255</v>
      </c>
      <c r="H14" s="44">
        <v>20</v>
      </c>
      <c r="I14" s="44"/>
      <c r="J14" s="44">
        <v>20</v>
      </c>
      <c r="K14" s="44">
        <v>20</v>
      </c>
      <c r="L14" s="469"/>
      <c r="M14" s="44"/>
      <c r="N14" s="432"/>
      <c r="O14" s="491"/>
      <c r="P14" s="432"/>
    </row>
    <row r="15" spans="1:16" s="64" customFormat="1" ht="18" customHeight="1" x14ac:dyDescent="0.2">
      <c r="A15" s="426"/>
      <c r="B15" s="426"/>
      <c r="C15" s="426" t="s">
        <v>46</v>
      </c>
      <c r="D15" s="426" t="s">
        <v>47</v>
      </c>
      <c r="E15" s="448">
        <v>20</v>
      </c>
      <c r="F15" s="426" t="s">
        <v>48</v>
      </c>
      <c r="G15" s="43" t="s">
        <v>256</v>
      </c>
      <c r="H15" s="44">
        <v>20</v>
      </c>
      <c r="I15" s="44"/>
      <c r="J15" s="44">
        <v>20</v>
      </c>
      <c r="K15" s="44">
        <v>20</v>
      </c>
      <c r="L15" s="469">
        <f>IF(I15&gt;90,20,IF(I15&gt;=80,0,-10))</f>
        <v>-10</v>
      </c>
      <c r="M15" s="44"/>
      <c r="N15" s="430" t="s">
        <v>50</v>
      </c>
      <c r="O15" s="430" t="s">
        <v>51</v>
      </c>
      <c r="P15" s="430" t="s">
        <v>52</v>
      </c>
    </row>
    <row r="16" spans="1:16" s="64" customFormat="1" ht="35.25" customHeight="1" x14ac:dyDescent="0.2">
      <c r="A16" s="426"/>
      <c r="B16" s="426"/>
      <c r="C16" s="426"/>
      <c r="D16" s="426"/>
      <c r="E16" s="448"/>
      <c r="F16" s="426"/>
      <c r="G16" s="67" t="s">
        <v>257</v>
      </c>
      <c r="H16" s="44" t="s">
        <v>258</v>
      </c>
      <c r="I16" s="9"/>
      <c r="J16" s="9">
        <v>10</v>
      </c>
      <c r="K16" s="9">
        <v>10</v>
      </c>
      <c r="L16" s="469"/>
      <c r="M16" s="9" t="s">
        <v>259</v>
      </c>
      <c r="N16" s="431"/>
      <c r="O16" s="431"/>
      <c r="P16" s="431"/>
    </row>
    <row r="17" spans="1:17" ht="18" customHeight="1" x14ac:dyDescent="0.2">
      <c r="A17" s="426"/>
      <c r="B17" s="426"/>
      <c r="C17" s="426"/>
      <c r="D17" s="426"/>
      <c r="E17" s="448"/>
      <c r="F17" s="426"/>
      <c r="G17" s="43" t="s">
        <v>53</v>
      </c>
      <c r="H17" s="44">
        <v>0</v>
      </c>
      <c r="I17" s="44"/>
      <c r="J17" s="44">
        <v>0</v>
      </c>
      <c r="K17" s="44">
        <v>0</v>
      </c>
      <c r="L17" s="469"/>
      <c r="M17" s="44"/>
      <c r="N17" s="431"/>
      <c r="O17" s="431"/>
      <c r="P17" s="431"/>
    </row>
    <row r="18" spans="1:17" ht="18" customHeight="1" x14ac:dyDescent="0.2">
      <c r="A18" s="426"/>
      <c r="B18" s="426"/>
      <c r="C18" s="426"/>
      <c r="D18" s="426"/>
      <c r="E18" s="448"/>
      <c r="F18" s="426"/>
      <c r="G18" s="43" t="s">
        <v>55</v>
      </c>
      <c r="H18" s="44">
        <v>-10</v>
      </c>
      <c r="I18" s="44"/>
      <c r="J18" s="44">
        <v>-10</v>
      </c>
      <c r="K18" s="44">
        <v>-10</v>
      </c>
      <c r="L18" s="469"/>
      <c r="M18" s="44"/>
      <c r="N18" s="432"/>
      <c r="O18" s="432"/>
      <c r="P18" s="432"/>
    </row>
    <row r="19" spans="1:17" ht="18" customHeight="1" x14ac:dyDescent="0.2">
      <c r="A19" s="427" t="s">
        <v>57</v>
      </c>
      <c r="B19" s="433">
        <v>100</v>
      </c>
      <c r="C19" s="433" t="s">
        <v>58</v>
      </c>
      <c r="D19" s="439" t="s">
        <v>59</v>
      </c>
      <c r="E19" s="451">
        <v>40</v>
      </c>
      <c r="F19" s="426" t="s">
        <v>60</v>
      </c>
      <c r="G19" s="47" t="s">
        <v>61</v>
      </c>
      <c r="H19" s="48">
        <v>-2</v>
      </c>
      <c r="I19" s="48"/>
      <c r="J19" s="48">
        <v>-2</v>
      </c>
      <c r="K19" s="48">
        <v>-2</v>
      </c>
      <c r="L19" s="470">
        <f>E19+H19*I19+H20*I20+H21*I21+H22*I22+H23*I23+H24*I24+H25*I25</f>
        <v>40</v>
      </c>
      <c r="M19" s="48"/>
      <c r="N19" s="483" t="s">
        <v>63</v>
      </c>
      <c r="O19" s="430" t="s">
        <v>64</v>
      </c>
      <c r="P19" s="430" t="s">
        <v>65</v>
      </c>
    </row>
    <row r="20" spans="1:17" ht="18" customHeight="1" x14ac:dyDescent="0.2">
      <c r="A20" s="428"/>
      <c r="B20" s="434"/>
      <c r="C20" s="434"/>
      <c r="D20" s="440"/>
      <c r="E20" s="452"/>
      <c r="F20" s="426"/>
      <c r="G20" s="47" t="s">
        <v>66</v>
      </c>
      <c r="H20" s="48">
        <v>-5</v>
      </c>
      <c r="I20" s="48"/>
      <c r="J20" s="48">
        <v>-5</v>
      </c>
      <c r="K20" s="48">
        <v>-5</v>
      </c>
      <c r="L20" s="471"/>
      <c r="M20" s="48"/>
      <c r="N20" s="484"/>
      <c r="O20" s="431"/>
      <c r="P20" s="431"/>
    </row>
    <row r="21" spans="1:17" ht="21.75" customHeight="1" x14ac:dyDescent="0.2">
      <c r="A21" s="428"/>
      <c r="B21" s="434"/>
      <c r="C21" s="434"/>
      <c r="D21" s="440"/>
      <c r="E21" s="452"/>
      <c r="F21" s="426"/>
      <c r="G21" s="47" t="s">
        <v>68</v>
      </c>
      <c r="H21" s="48">
        <v>-10</v>
      </c>
      <c r="I21" s="48"/>
      <c r="J21" s="48">
        <v>-10</v>
      </c>
      <c r="K21" s="48">
        <v>-10</v>
      </c>
      <c r="L21" s="471"/>
      <c r="M21" s="48"/>
      <c r="N21" s="484"/>
      <c r="O21" s="431"/>
      <c r="P21" s="431"/>
    </row>
    <row r="22" spans="1:17" ht="21.75" customHeight="1" x14ac:dyDescent="0.2">
      <c r="A22" s="428"/>
      <c r="B22" s="434"/>
      <c r="C22" s="434"/>
      <c r="D22" s="440"/>
      <c r="E22" s="452"/>
      <c r="F22" s="426"/>
      <c r="G22" s="47" t="s">
        <v>69</v>
      </c>
      <c r="H22" s="48">
        <v>-10</v>
      </c>
      <c r="I22" s="48"/>
      <c r="J22" s="48">
        <v>-10</v>
      </c>
      <c r="K22" s="48">
        <v>-10</v>
      </c>
      <c r="L22" s="471"/>
      <c r="M22" s="48"/>
      <c r="N22" s="485"/>
      <c r="O22" s="431"/>
      <c r="P22" s="431"/>
    </row>
    <row r="23" spans="1:17" ht="18" customHeight="1" x14ac:dyDescent="0.2">
      <c r="A23" s="428"/>
      <c r="B23" s="434"/>
      <c r="C23" s="434"/>
      <c r="D23" s="440"/>
      <c r="E23" s="452"/>
      <c r="F23" s="426"/>
      <c r="G23" s="13" t="s">
        <v>70</v>
      </c>
      <c r="H23" s="48">
        <v>-10</v>
      </c>
      <c r="I23" s="48"/>
      <c r="J23" s="48">
        <v>-10</v>
      </c>
      <c r="K23" s="48">
        <v>-10</v>
      </c>
      <c r="L23" s="471"/>
      <c r="M23" s="48"/>
      <c r="N23" s="483" t="s">
        <v>63</v>
      </c>
      <c r="O23" s="431"/>
      <c r="P23" s="431"/>
    </row>
    <row r="24" spans="1:17" ht="18" customHeight="1" x14ac:dyDescent="0.2">
      <c r="A24" s="428"/>
      <c r="B24" s="434"/>
      <c r="C24" s="434"/>
      <c r="D24" s="440"/>
      <c r="E24" s="452"/>
      <c r="F24" s="426"/>
      <c r="G24" s="13" t="s">
        <v>71</v>
      </c>
      <c r="H24" s="48">
        <v>-10</v>
      </c>
      <c r="I24" s="48"/>
      <c r="J24" s="48">
        <v>-10</v>
      </c>
      <c r="K24" s="48">
        <v>-10</v>
      </c>
      <c r="L24" s="471"/>
      <c r="M24" s="48"/>
      <c r="N24" s="484"/>
      <c r="O24" s="431"/>
      <c r="P24" s="431"/>
    </row>
    <row r="25" spans="1:17" ht="18" customHeight="1" x14ac:dyDescent="0.2">
      <c r="A25" s="428"/>
      <c r="B25" s="434"/>
      <c r="C25" s="435"/>
      <c r="D25" s="440"/>
      <c r="E25" s="453"/>
      <c r="F25" s="426"/>
      <c r="G25" s="47" t="s">
        <v>72</v>
      </c>
      <c r="H25" s="48">
        <v>-20</v>
      </c>
      <c r="I25" s="48"/>
      <c r="J25" s="48">
        <v>-20</v>
      </c>
      <c r="K25" s="48">
        <v>-20</v>
      </c>
      <c r="L25" s="472"/>
      <c r="M25" s="48"/>
      <c r="N25" s="485"/>
      <c r="O25" s="431"/>
      <c r="P25" s="431"/>
    </row>
    <row r="26" spans="1:17" ht="18" customHeight="1" x14ac:dyDescent="0.2">
      <c r="A26" s="428"/>
      <c r="B26" s="434"/>
      <c r="C26" s="433" t="s">
        <v>74</v>
      </c>
      <c r="D26" s="433" t="s">
        <v>74</v>
      </c>
      <c r="E26" s="430">
        <v>60</v>
      </c>
      <c r="F26" s="434" t="s">
        <v>60</v>
      </c>
      <c r="G26" s="13" t="s">
        <v>75</v>
      </c>
      <c r="H26" s="48">
        <v>-10</v>
      </c>
      <c r="I26" s="48"/>
      <c r="J26" s="48">
        <v>-10</v>
      </c>
      <c r="K26" s="48">
        <v>-10</v>
      </c>
      <c r="L26" s="473">
        <f>E26+H26*I26+H27*I27+H28*I28+H29*I29</f>
        <v>60</v>
      </c>
      <c r="M26" s="48"/>
      <c r="N26" s="483" t="s">
        <v>77</v>
      </c>
      <c r="O26" s="430" t="s">
        <v>78</v>
      </c>
      <c r="P26" s="431"/>
    </row>
    <row r="27" spans="1:17" ht="18" customHeight="1" x14ac:dyDescent="0.2">
      <c r="A27" s="428"/>
      <c r="B27" s="434"/>
      <c r="C27" s="434"/>
      <c r="D27" s="434"/>
      <c r="E27" s="431"/>
      <c r="F27" s="434"/>
      <c r="G27" s="13" t="s">
        <v>79</v>
      </c>
      <c r="H27" s="48">
        <v>-15</v>
      </c>
      <c r="I27" s="48"/>
      <c r="J27" s="48">
        <v>-15</v>
      </c>
      <c r="K27" s="48">
        <v>-15</v>
      </c>
      <c r="L27" s="474"/>
      <c r="M27" s="48"/>
      <c r="N27" s="484"/>
      <c r="O27" s="431"/>
      <c r="P27" s="431"/>
    </row>
    <row r="28" spans="1:17" ht="18" customHeight="1" x14ac:dyDescent="0.2">
      <c r="A28" s="428"/>
      <c r="B28" s="434"/>
      <c r="C28" s="434"/>
      <c r="D28" s="434"/>
      <c r="E28" s="431"/>
      <c r="F28" s="434"/>
      <c r="G28" s="47" t="s">
        <v>81</v>
      </c>
      <c r="H28" s="48">
        <v>-20</v>
      </c>
      <c r="I28" s="48"/>
      <c r="J28" s="48">
        <v>-20</v>
      </c>
      <c r="K28" s="48">
        <v>-20</v>
      </c>
      <c r="L28" s="474"/>
      <c r="M28" s="48"/>
      <c r="N28" s="484"/>
      <c r="O28" s="432"/>
      <c r="P28" s="432"/>
    </row>
    <row r="29" spans="1:17" ht="18" customHeight="1" x14ac:dyDescent="0.2">
      <c r="A29" s="429"/>
      <c r="B29" s="435"/>
      <c r="C29" s="435"/>
      <c r="D29" s="435"/>
      <c r="E29" s="432"/>
      <c r="F29" s="435"/>
      <c r="G29" s="50" t="s">
        <v>82</v>
      </c>
      <c r="H29" s="48">
        <v>-10</v>
      </c>
      <c r="I29" s="48"/>
      <c r="J29" s="48">
        <v>-10</v>
      </c>
      <c r="K29" s="48">
        <v>-10</v>
      </c>
      <c r="L29" s="475"/>
      <c r="M29" s="48"/>
      <c r="N29" s="485"/>
      <c r="O29" s="22" t="s">
        <v>83</v>
      </c>
      <c r="P29" s="17"/>
      <c r="Q29" s="77"/>
    </row>
    <row r="30" spans="1:17" ht="15" customHeight="1" x14ac:dyDescent="0.2">
      <c r="A30" s="427" t="s">
        <v>84</v>
      </c>
      <c r="B30" s="426">
        <v>260</v>
      </c>
      <c r="C30" s="433" t="s">
        <v>85</v>
      </c>
      <c r="D30" s="433" t="s">
        <v>86</v>
      </c>
      <c r="E30" s="433" t="s">
        <v>260</v>
      </c>
      <c r="F30" s="433" t="s">
        <v>261</v>
      </c>
      <c r="G30" s="14" t="s">
        <v>88</v>
      </c>
      <c r="H30" s="32">
        <v>3</v>
      </c>
      <c r="I30" s="458"/>
      <c r="J30" s="458" t="s">
        <v>258</v>
      </c>
      <c r="K30" s="458" t="s">
        <v>258</v>
      </c>
      <c r="L30" s="476">
        <f>MEDIAN([1]官网6个月!$G$8,20,0)</f>
        <v>0</v>
      </c>
      <c r="M30" s="461" t="s">
        <v>262</v>
      </c>
      <c r="N30" s="430" t="s">
        <v>38</v>
      </c>
      <c r="O30" s="433" t="s">
        <v>263</v>
      </c>
      <c r="P30" s="430" t="s">
        <v>90</v>
      </c>
    </row>
    <row r="31" spans="1:17" ht="15" customHeight="1" x14ac:dyDescent="0.2">
      <c r="A31" s="428"/>
      <c r="B31" s="426"/>
      <c r="C31" s="434"/>
      <c r="D31" s="434"/>
      <c r="E31" s="434"/>
      <c r="F31" s="434"/>
      <c r="G31" s="14" t="s">
        <v>91</v>
      </c>
      <c r="H31" s="32">
        <v>2.5</v>
      </c>
      <c r="I31" s="459"/>
      <c r="J31" s="459"/>
      <c r="K31" s="459"/>
      <c r="L31" s="477"/>
      <c r="M31" s="461"/>
      <c r="N31" s="431"/>
      <c r="O31" s="434"/>
      <c r="P31" s="431"/>
    </row>
    <row r="32" spans="1:17" ht="15" customHeight="1" x14ac:dyDescent="0.2">
      <c r="A32" s="428"/>
      <c r="B32" s="426"/>
      <c r="C32" s="434"/>
      <c r="D32" s="434"/>
      <c r="E32" s="434"/>
      <c r="F32" s="434"/>
      <c r="G32" s="14" t="s">
        <v>92</v>
      </c>
      <c r="H32" s="32">
        <v>2</v>
      </c>
      <c r="I32" s="459"/>
      <c r="J32" s="459"/>
      <c r="K32" s="459"/>
      <c r="L32" s="477"/>
      <c r="M32" s="461"/>
      <c r="N32" s="431"/>
      <c r="O32" s="434"/>
      <c r="P32" s="431"/>
    </row>
    <row r="33" spans="1:17" ht="15" customHeight="1" x14ac:dyDescent="0.2">
      <c r="A33" s="428"/>
      <c r="B33" s="426"/>
      <c r="C33" s="434"/>
      <c r="D33" s="434"/>
      <c r="E33" s="434"/>
      <c r="F33" s="434"/>
      <c r="G33" s="14" t="s">
        <v>93</v>
      </c>
      <c r="H33" s="32">
        <v>1.5</v>
      </c>
      <c r="I33" s="459"/>
      <c r="J33" s="459"/>
      <c r="K33" s="459"/>
      <c r="L33" s="477"/>
      <c r="M33" s="461"/>
      <c r="N33" s="431"/>
      <c r="O33" s="434"/>
      <c r="P33" s="431"/>
    </row>
    <row r="34" spans="1:17" ht="15" customHeight="1" x14ac:dyDescent="0.2">
      <c r="A34" s="428"/>
      <c r="B34" s="426"/>
      <c r="C34" s="434"/>
      <c r="D34" s="434"/>
      <c r="E34" s="434"/>
      <c r="F34" s="434"/>
      <c r="G34" s="14" t="s">
        <v>94</v>
      </c>
      <c r="H34" s="32">
        <v>1</v>
      </c>
      <c r="I34" s="459"/>
      <c r="J34" s="459"/>
      <c r="K34" s="459"/>
      <c r="L34" s="477"/>
      <c r="M34" s="461"/>
      <c r="N34" s="431"/>
      <c r="O34" s="434"/>
      <c r="P34" s="431"/>
    </row>
    <row r="35" spans="1:17" ht="15" customHeight="1" x14ac:dyDescent="0.2">
      <c r="A35" s="428"/>
      <c r="B35" s="426"/>
      <c r="C35" s="434"/>
      <c r="D35" s="434"/>
      <c r="E35" s="434"/>
      <c r="F35" s="434"/>
      <c r="G35" s="14" t="s">
        <v>95</v>
      </c>
      <c r="H35" s="32">
        <v>0.5</v>
      </c>
      <c r="I35" s="459"/>
      <c r="J35" s="459"/>
      <c r="K35" s="459"/>
      <c r="L35" s="477"/>
      <c r="M35" s="461"/>
      <c r="N35" s="431"/>
      <c r="O35" s="435"/>
      <c r="P35" s="431"/>
    </row>
    <row r="36" spans="1:17" ht="15" customHeight="1" x14ac:dyDescent="0.2">
      <c r="A36" s="428"/>
      <c r="B36" s="426"/>
      <c r="C36" s="435"/>
      <c r="D36" s="435"/>
      <c r="E36" s="435"/>
      <c r="F36" s="435"/>
      <c r="G36" s="14">
        <v>0</v>
      </c>
      <c r="H36" s="68">
        <v>0</v>
      </c>
      <c r="I36" s="460"/>
      <c r="J36" s="460"/>
      <c r="K36" s="460"/>
      <c r="L36" s="478"/>
      <c r="M36" s="461"/>
      <c r="N36" s="432"/>
      <c r="O36" s="49"/>
      <c r="P36" s="431"/>
      <c r="Q36" s="79"/>
    </row>
    <row r="37" spans="1:17" ht="15" customHeight="1" x14ac:dyDescent="0.2">
      <c r="A37" s="428"/>
      <c r="B37" s="426"/>
      <c r="C37" s="433" t="s">
        <v>96</v>
      </c>
      <c r="D37" s="433" t="s">
        <v>264</v>
      </c>
      <c r="E37" s="433" t="s">
        <v>265</v>
      </c>
      <c r="F37" s="433" t="s">
        <v>266</v>
      </c>
      <c r="G37" s="14" t="s">
        <v>267</v>
      </c>
      <c r="H37" s="32"/>
      <c r="I37" s="32"/>
      <c r="J37" s="32" t="s">
        <v>268</v>
      </c>
      <c r="K37" s="32" t="s">
        <v>268</v>
      </c>
      <c r="L37" s="476">
        <f>MEDIAN([1]官网6个月!$G$17,20,0)</f>
        <v>0</v>
      </c>
      <c r="M37" s="462" t="s">
        <v>269</v>
      </c>
      <c r="N37" s="430"/>
      <c r="O37" s="433" t="s">
        <v>100</v>
      </c>
      <c r="P37" s="431"/>
    </row>
    <row r="38" spans="1:17" ht="15" customHeight="1" x14ac:dyDescent="0.2">
      <c r="A38" s="428"/>
      <c r="B38" s="426"/>
      <c r="C38" s="434"/>
      <c r="D38" s="434"/>
      <c r="E38" s="434"/>
      <c r="F38" s="434"/>
      <c r="G38" s="14"/>
      <c r="H38" s="32"/>
      <c r="I38" s="32"/>
      <c r="J38" s="32"/>
      <c r="K38" s="32"/>
      <c r="L38" s="477"/>
      <c r="M38" s="462"/>
      <c r="N38" s="431"/>
      <c r="O38" s="434"/>
      <c r="P38" s="431"/>
    </row>
    <row r="39" spans="1:17" ht="15" customHeight="1" x14ac:dyDescent="0.2">
      <c r="A39" s="428"/>
      <c r="B39" s="426"/>
      <c r="C39" s="434"/>
      <c r="D39" s="434"/>
      <c r="E39" s="434"/>
      <c r="F39" s="434"/>
      <c r="G39" s="14"/>
      <c r="H39" s="32"/>
      <c r="I39" s="32"/>
      <c r="J39" s="32"/>
      <c r="K39" s="32"/>
      <c r="L39" s="477"/>
      <c r="M39" s="462"/>
      <c r="N39" s="431"/>
      <c r="O39" s="434"/>
      <c r="P39" s="431"/>
    </row>
    <row r="40" spans="1:17" ht="15" customHeight="1" x14ac:dyDescent="0.2">
      <c r="A40" s="428"/>
      <c r="B40" s="426"/>
      <c r="C40" s="434"/>
      <c r="D40" s="434"/>
      <c r="E40" s="434"/>
      <c r="F40" s="434"/>
      <c r="G40" s="14"/>
      <c r="H40" s="32"/>
      <c r="I40" s="32"/>
      <c r="J40" s="32"/>
      <c r="K40" s="32"/>
      <c r="L40" s="477"/>
      <c r="M40" s="462"/>
      <c r="N40" s="431"/>
      <c r="O40" s="434"/>
      <c r="P40" s="431"/>
    </row>
    <row r="41" spans="1:17" ht="15" customHeight="1" x14ac:dyDescent="0.2">
      <c r="A41" s="428"/>
      <c r="B41" s="426"/>
      <c r="C41" s="434"/>
      <c r="D41" s="434"/>
      <c r="E41" s="434"/>
      <c r="F41" s="434"/>
      <c r="G41" s="14"/>
      <c r="H41" s="32"/>
      <c r="I41" s="32"/>
      <c r="J41" s="32"/>
      <c r="K41" s="32"/>
      <c r="L41" s="477"/>
      <c r="M41" s="462"/>
      <c r="N41" s="431"/>
      <c r="O41" s="434"/>
      <c r="P41" s="431"/>
    </row>
    <row r="42" spans="1:17" ht="15" customHeight="1" x14ac:dyDescent="0.2">
      <c r="A42" s="428"/>
      <c r="B42" s="426"/>
      <c r="C42" s="434"/>
      <c r="D42" s="434"/>
      <c r="E42" s="434"/>
      <c r="F42" s="434"/>
      <c r="G42" s="14"/>
      <c r="H42" s="32"/>
      <c r="I42" s="32"/>
      <c r="J42" s="32"/>
      <c r="K42" s="32"/>
      <c r="L42" s="477"/>
      <c r="M42" s="462"/>
      <c r="N42" s="431"/>
      <c r="O42" s="435"/>
      <c r="P42" s="431"/>
    </row>
    <row r="43" spans="1:17" ht="15" customHeight="1" x14ac:dyDescent="0.2">
      <c r="A43" s="428"/>
      <c r="B43" s="426"/>
      <c r="C43" s="435"/>
      <c r="D43" s="435"/>
      <c r="E43" s="435"/>
      <c r="F43" s="435"/>
      <c r="G43" s="14"/>
      <c r="H43" s="68"/>
      <c r="I43" s="68"/>
      <c r="J43" s="68"/>
      <c r="K43" s="68"/>
      <c r="L43" s="478"/>
      <c r="M43" s="462"/>
      <c r="N43" s="432"/>
      <c r="O43" s="49"/>
      <c r="P43" s="431"/>
      <c r="Q43" s="79"/>
    </row>
    <row r="44" spans="1:17" ht="15" customHeight="1" x14ac:dyDescent="0.2">
      <c r="A44" s="428"/>
      <c r="B44" s="426"/>
      <c r="C44" s="433" t="s">
        <v>101</v>
      </c>
      <c r="D44" s="433" t="s">
        <v>270</v>
      </c>
      <c r="E44" s="433" t="s">
        <v>271</v>
      </c>
      <c r="F44" s="433" t="s">
        <v>272</v>
      </c>
      <c r="G44" s="34" t="s">
        <v>273</v>
      </c>
      <c r="H44" s="69">
        <v>3</v>
      </c>
      <c r="I44" s="80"/>
      <c r="J44" s="80">
        <v>20</v>
      </c>
      <c r="K44" s="80">
        <v>20</v>
      </c>
      <c r="L44" s="476">
        <f>MEDIAN([1]官网6个月!$G$26,20,0)</f>
        <v>0</v>
      </c>
      <c r="M44" s="458" t="s">
        <v>274</v>
      </c>
      <c r="N44" s="433" t="s">
        <v>275</v>
      </c>
      <c r="O44" s="433" t="s">
        <v>276</v>
      </c>
      <c r="P44" s="431"/>
    </row>
    <row r="45" spans="1:17" ht="15" customHeight="1" x14ac:dyDescent="0.2">
      <c r="A45" s="428"/>
      <c r="B45" s="426"/>
      <c r="C45" s="434"/>
      <c r="D45" s="434"/>
      <c r="E45" s="434"/>
      <c r="F45" s="434"/>
      <c r="G45" s="34" t="s">
        <v>277</v>
      </c>
      <c r="H45" s="69">
        <v>2.5</v>
      </c>
      <c r="I45" s="80"/>
      <c r="J45" s="80">
        <v>10</v>
      </c>
      <c r="K45" s="80">
        <v>10</v>
      </c>
      <c r="L45" s="477"/>
      <c r="M45" s="459"/>
      <c r="N45" s="434"/>
      <c r="O45" s="434"/>
      <c r="P45" s="431"/>
    </row>
    <row r="46" spans="1:17" ht="15" customHeight="1" x14ac:dyDescent="0.2">
      <c r="A46" s="428"/>
      <c r="B46" s="426"/>
      <c r="C46" s="434"/>
      <c r="D46" s="434"/>
      <c r="E46" s="434"/>
      <c r="F46" s="434"/>
      <c r="G46" s="34" t="s">
        <v>278</v>
      </c>
      <c r="H46" s="69">
        <v>2</v>
      </c>
      <c r="I46" s="80"/>
      <c r="J46" s="80">
        <v>5</v>
      </c>
      <c r="K46" s="80">
        <v>5</v>
      </c>
      <c r="L46" s="477"/>
      <c r="M46" s="459"/>
      <c r="N46" s="434"/>
      <c r="O46" s="434"/>
      <c r="P46" s="431"/>
    </row>
    <row r="47" spans="1:17" ht="15" customHeight="1" x14ac:dyDescent="0.2">
      <c r="A47" s="428"/>
      <c r="B47" s="426"/>
      <c r="C47" s="434"/>
      <c r="D47" s="434"/>
      <c r="E47" s="434"/>
      <c r="F47" s="434"/>
      <c r="G47" s="34"/>
      <c r="H47" s="69"/>
      <c r="I47" s="80"/>
      <c r="J47" s="80"/>
      <c r="K47" s="80"/>
      <c r="L47" s="477"/>
      <c r="M47" s="459"/>
      <c r="N47" s="434"/>
      <c r="O47" s="434"/>
      <c r="P47" s="431"/>
    </row>
    <row r="48" spans="1:17" ht="15" customHeight="1" x14ac:dyDescent="0.2">
      <c r="A48" s="428"/>
      <c r="B48" s="426"/>
      <c r="C48" s="434"/>
      <c r="D48" s="434"/>
      <c r="E48" s="434"/>
      <c r="F48" s="434"/>
      <c r="G48" s="34" t="s">
        <v>279</v>
      </c>
      <c r="H48" s="69">
        <v>1</v>
      </c>
      <c r="I48" s="80"/>
      <c r="J48" s="80">
        <v>0</v>
      </c>
      <c r="K48" s="80">
        <v>0</v>
      </c>
      <c r="L48" s="477"/>
      <c r="M48" s="459"/>
      <c r="N48" s="434"/>
      <c r="O48" s="434"/>
      <c r="P48" s="431"/>
    </row>
    <row r="49" spans="1:17" ht="15" customHeight="1" x14ac:dyDescent="0.2">
      <c r="A49" s="428"/>
      <c r="B49" s="426"/>
      <c r="C49" s="434"/>
      <c r="D49" s="434"/>
      <c r="E49" s="434"/>
      <c r="F49" s="434"/>
      <c r="G49" s="14"/>
      <c r="H49" s="32">
        <v>0.5</v>
      </c>
      <c r="I49" s="37"/>
      <c r="J49" s="37">
        <v>1</v>
      </c>
      <c r="K49" s="37">
        <v>1</v>
      </c>
      <c r="L49" s="477"/>
      <c r="M49" s="459"/>
      <c r="N49" s="434"/>
      <c r="O49" s="435"/>
      <c r="P49" s="431"/>
    </row>
    <row r="50" spans="1:17" ht="15" customHeight="1" x14ac:dyDescent="0.2">
      <c r="A50" s="428"/>
      <c r="B50" s="426"/>
      <c r="C50" s="434"/>
      <c r="D50" s="435"/>
      <c r="E50" s="435"/>
      <c r="F50" s="435"/>
      <c r="G50" s="14"/>
      <c r="H50" s="68">
        <v>0</v>
      </c>
      <c r="I50" s="68"/>
      <c r="J50" s="68">
        <v>0</v>
      </c>
      <c r="K50" s="68">
        <v>0</v>
      </c>
      <c r="L50" s="478"/>
      <c r="M50" s="460"/>
      <c r="N50" s="435"/>
      <c r="O50" s="49"/>
      <c r="P50" s="431"/>
      <c r="Q50" s="79"/>
    </row>
    <row r="51" spans="1:17" ht="15" customHeight="1" x14ac:dyDescent="0.2">
      <c r="A51" s="428"/>
      <c r="B51" s="426"/>
      <c r="C51" s="434"/>
      <c r="D51" s="433" t="s">
        <v>106</v>
      </c>
      <c r="E51" s="433" t="s">
        <v>271</v>
      </c>
      <c r="F51" s="433" t="s">
        <v>107</v>
      </c>
      <c r="G51" s="34" t="s">
        <v>273</v>
      </c>
      <c r="H51" s="69">
        <v>3</v>
      </c>
      <c r="I51" s="80"/>
      <c r="J51" s="80">
        <v>20</v>
      </c>
      <c r="K51" s="80">
        <v>20</v>
      </c>
      <c r="L51" s="476">
        <f>MEDIAN([1]官网6个月!$G$35,20,0)</f>
        <v>0</v>
      </c>
      <c r="M51" s="458" t="s">
        <v>274</v>
      </c>
      <c r="N51" s="433" t="s">
        <v>275</v>
      </c>
      <c r="O51" s="426" t="s">
        <v>280</v>
      </c>
      <c r="P51" s="431"/>
    </row>
    <row r="52" spans="1:17" ht="15" customHeight="1" x14ac:dyDescent="0.2">
      <c r="A52" s="428"/>
      <c r="B52" s="426"/>
      <c r="C52" s="434"/>
      <c r="D52" s="434"/>
      <c r="E52" s="434"/>
      <c r="F52" s="434"/>
      <c r="G52" s="34" t="s">
        <v>277</v>
      </c>
      <c r="H52" s="69">
        <v>2.5</v>
      </c>
      <c r="I52" s="80"/>
      <c r="J52" s="80">
        <v>10</v>
      </c>
      <c r="K52" s="80">
        <v>10</v>
      </c>
      <c r="L52" s="477"/>
      <c r="M52" s="459"/>
      <c r="N52" s="434"/>
      <c r="O52" s="426"/>
      <c r="P52" s="431"/>
    </row>
    <row r="53" spans="1:17" ht="15" customHeight="1" x14ac:dyDescent="0.2">
      <c r="A53" s="428"/>
      <c r="B53" s="426"/>
      <c r="C53" s="434"/>
      <c r="D53" s="434"/>
      <c r="E53" s="434"/>
      <c r="F53" s="434"/>
      <c r="G53" s="34" t="s">
        <v>281</v>
      </c>
      <c r="H53" s="69">
        <v>2</v>
      </c>
      <c r="I53" s="80"/>
      <c r="J53" s="80">
        <v>5</v>
      </c>
      <c r="K53" s="80">
        <v>5</v>
      </c>
      <c r="L53" s="477"/>
      <c r="M53" s="459"/>
      <c r="N53" s="434"/>
      <c r="O53" s="426"/>
      <c r="P53" s="431"/>
    </row>
    <row r="54" spans="1:17" ht="15" customHeight="1" x14ac:dyDescent="0.2">
      <c r="A54" s="428"/>
      <c r="B54" s="426"/>
      <c r="C54" s="434"/>
      <c r="D54" s="434"/>
      <c r="E54" s="434"/>
      <c r="F54" s="434"/>
      <c r="G54" s="34"/>
      <c r="H54" s="69"/>
      <c r="I54" s="80"/>
      <c r="J54" s="80">
        <v>3</v>
      </c>
      <c r="K54" s="80">
        <v>3</v>
      </c>
      <c r="L54" s="477"/>
      <c r="M54" s="459"/>
      <c r="N54" s="434"/>
      <c r="O54" s="426"/>
      <c r="P54" s="431"/>
    </row>
    <row r="55" spans="1:17" ht="15" customHeight="1" x14ac:dyDescent="0.2">
      <c r="A55" s="428"/>
      <c r="B55" s="426"/>
      <c r="C55" s="434"/>
      <c r="D55" s="434"/>
      <c r="E55" s="434"/>
      <c r="F55" s="434"/>
      <c r="G55" s="34" t="s">
        <v>282</v>
      </c>
      <c r="H55" s="69">
        <v>1</v>
      </c>
      <c r="I55" s="80"/>
      <c r="J55" s="80"/>
      <c r="K55" s="80"/>
      <c r="L55" s="477"/>
      <c r="M55" s="459"/>
      <c r="N55" s="434"/>
      <c r="O55" s="426"/>
      <c r="P55" s="431"/>
    </row>
    <row r="56" spans="1:17" ht="15" customHeight="1" x14ac:dyDescent="0.2">
      <c r="A56" s="428"/>
      <c r="B56" s="426"/>
      <c r="C56" s="434"/>
      <c r="D56" s="434"/>
      <c r="E56" s="434"/>
      <c r="F56" s="434"/>
      <c r="G56" s="14"/>
      <c r="H56" s="32">
        <v>0.5</v>
      </c>
      <c r="I56" s="37"/>
      <c r="J56" s="37">
        <v>1</v>
      </c>
      <c r="K56" s="37">
        <v>1</v>
      </c>
      <c r="L56" s="477"/>
      <c r="M56" s="459"/>
      <c r="N56" s="434"/>
      <c r="O56" s="426"/>
      <c r="P56" s="431"/>
    </row>
    <row r="57" spans="1:17" ht="15" customHeight="1" x14ac:dyDescent="0.2">
      <c r="A57" s="428"/>
      <c r="B57" s="426"/>
      <c r="C57" s="434"/>
      <c r="D57" s="435"/>
      <c r="E57" s="435"/>
      <c r="F57" s="435"/>
      <c r="G57" s="14"/>
      <c r="H57" s="68">
        <v>0</v>
      </c>
      <c r="I57" s="68"/>
      <c r="J57" s="68">
        <v>0</v>
      </c>
      <c r="K57" s="68">
        <v>0</v>
      </c>
      <c r="L57" s="478"/>
      <c r="M57" s="460"/>
      <c r="N57" s="435"/>
      <c r="O57" s="49"/>
      <c r="P57" s="431"/>
      <c r="Q57" s="79"/>
    </row>
    <row r="58" spans="1:17" ht="15" customHeight="1" x14ac:dyDescent="0.2">
      <c r="A58" s="428"/>
      <c r="B58" s="426"/>
      <c r="C58" s="434" t="s">
        <v>109</v>
      </c>
      <c r="D58" s="441" t="s">
        <v>110</v>
      </c>
      <c r="E58" s="441" t="s">
        <v>283</v>
      </c>
      <c r="F58" s="441" t="s">
        <v>284</v>
      </c>
      <c r="G58" s="34"/>
      <c r="H58" s="69">
        <v>1.5</v>
      </c>
      <c r="I58" s="80"/>
      <c r="J58" s="80">
        <v>3</v>
      </c>
      <c r="K58" s="80">
        <v>3</v>
      </c>
      <c r="L58" s="476">
        <f>MEDIAN([1]官网6个月!$G$45,10,0)</f>
        <v>0</v>
      </c>
      <c r="M58" s="463" t="s">
        <v>274</v>
      </c>
      <c r="N58" s="441" t="s">
        <v>275</v>
      </c>
      <c r="O58" s="433" t="s">
        <v>285</v>
      </c>
      <c r="P58" s="431"/>
      <c r="Q58" s="81" t="s">
        <v>286</v>
      </c>
    </row>
    <row r="59" spans="1:17" ht="15" customHeight="1" x14ac:dyDescent="0.2">
      <c r="A59" s="428"/>
      <c r="B59" s="426"/>
      <c r="C59" s="434"/>
      <c r="D59" s="442"/>
      <c r="E59" s="442"/>
      <c r="F59" s="442"/>
      <c r="G59" s="34"/>
      <c r="H59" s="69">
        <v>1.4</v>
      </c>
      <c r="I59" s="80"/>
      <c r="J59" s="80">
        <v>2.5</v>
      </c>
      <c r="K59" s="80">
        <v>2.5</v>
      </c>
      <c r="L59" s="477"/>
      <c r="M59" s="464"/>
      <c r="N59" s="442"/>
      <c r="O59" s="434"/>
      <c r="P59" s="431"/>
    </row>
    <row r="60" spans="1:17" ht="15" customHeight="1" x14ac:dyDescent="0.2">
      <c r="A60" s="428"/>
      <c r="B60" s="426"/>
      <c r="C60" s="434"/>
      <c r="D60" s="442"/>
      <c r="E60" s="442"/>
      <c r="F60" s="442"/>
      <c r="G60" s="34"/>
      <c r="H60" s="69">
        <v>1</v>
      </c>
      <c r="I60" s="80"/>
      <c r="J60" s="80">
        <v>2</v>
      </c>
      <c r="K60" s="80">
        <v>2</v>
      </c>
      <c r="L60" s="477"/>
      <c r="M60" s="464"/>
      <c r="N60" s="442"/>
      <c r="O60" s="434"/>
      <c r="P60" s="431"/>
    </row>
    <row r="61" spans="1:17" ht="15" customHeight="1" x14ac:dyDescent="0.2">
      <c r="A61" s="428"/>
      <c r="B61" s="426"/>
      <c r="C61" s="434"/>
      <c r="D61" s="442"/>
      <c r="E61" s="442"/>
      <c r="F61" s="442"/>
      <c r="G61" s="34"/>
      <c r="H61" s="69">
        <v>0.8</v>
      </c>
      <c r="I61" s="80"/>
      <c r="J61" s="80">
        <v>1.5</v>
      </c>
      <c r="K61" s="80">
        <v>1.5</v>
      </c>
      <c r="L61" s="477"/>
      <c r="M61" s="464"/>
      <c r="N61" s="442"/>
      <c r="O61" s="434"/>
      <c r="P61" s="431"/>
    </row>
    <row r="62" spans="1:17" ht="15" customHeight="1" x14ac:dyDescent="0.2">
      <c r="A62" s="428"/>
      <c r="B62" s="426"/>
      <c r="C62" s="434"/>
      <c r="D62" s="442"/>
      <c r="E62" s="442"/>
      <c r="F62" s="442"/>
      <c r="G62" s="34"/>
      <c r="H62" s="69">
        <v>0.5</v>
      </c>
      <c r="I62" s="80"/>
      <c r="J62" s="80">
        <v>1</v>
      </c>
      <c r="K62" s="80">
        <v>1</v>
      </c>
      <c r="L62" s="477"/>
      <c r="M62" s="464"/>
      <c r="N62" s="442"/>
      <c r="O62" s="434"/>
      <c r="P62" s="431"/>
    </row>
    <row r="63" spans="1:17" ht="15" customHeight="1" x14ac:dyDescent="0.2">
      <c r="A63" s="428"/>
      <c r="B63" s="426"/>
      <c r="C63" s="434"/>
      <c r="D63" s="442"/>
      <c r="E63" s="442"/>
      <c r="F63" s="442"/>
      <c r="G63" s="34"/>
      <c r="H63" s="69">
        <v>0.2</v>
      </c>
      <c r="I63" s="80"/>
      <c r="J63" s="80">
        <v>0.5</v>
      </c>
      <c r="K63" s="80">
        <v>0.5</v>
      </c>
      <c r="L63" s="477"/>
      <c r="M63" s="464"/>
      <c r="N63" s="442"/>
      <c r="O63" s="435"/>
      <c r="P63" s="431"/>
    </row>
    <row r="64" spans="1:17" ht="15" customHeight="1" x14ac:dyDescent="0.2">
      <c r="A64" s="428"/>
      <c r="B64" s="426"/>
      <c r="C64" s="434"/>
      <c r="D64" s="443"/>
      <c r="E64" s="443"/>
      <c r="F64" s="443"/>
      <c r="G64" s="34"/>
      <c r="H64" s="70">
        <v>0</v>
      </c>
      <c r="I64" s="70"/>
      <c r="J64" s="70">
        <v>0</v>
      </c>
      <c r="K64" s="70">
        <v>0</v>
      </c>
      <c r="L64" s="477"/>
      <c r="M64" s="465"/>
      <c r="N64" s="443"/>
      <c r="O64" s="49"/>
      <c r="P64" s="431"/>
      <c r="Q64" s="79"/>
    </row>
    <row r="65" spans="1:18" ht="15" customHeight="1" x14ac:dyDescent="0.2">
      <c r="A65" s="428"/>
      <c r="B65" s="426"/>
      <c r="C65" s="434"/>
      <c r="D65" s="441" t="s">
        <v>114</v>
      </c>
      <c r="E65" s="441" t="s">
        <v>287</v>
      </c>
      <c r="F65" s="441" t="s">
        <v>288</v>
      </c>
      <c r="G65" s="34"/>
      <c r="H65" s="69">
        <v>1.5</v>
      </c>
      <c r="I65" s="80"/>
      <c r="J65" s="80">
        <v>3</v>
      </c>
      <c r="K65" s="80">
        <v>3</v>
      </c>
      <c r="L65" s="476">
        <f>MEDIAN([1]官网6个月!$G$55,10,0)</f>
        <v>0</v>
      </c>
      <c r="M65" s="463" t="s">
        <v>274</v>
      </c>
      <c r="N65" s="441" t="s">
        <v>275</v>
      </c>
      <c r="O65" s="433" t="s">
        <v>289</v>
      </c>
      <c r="P65" s="431"/>
      <c r="Q65" s="88" t="s">
        <v>286</v>
      </c>
    </row>
    <row r="66" spans="1:18" ht="15" customHeight="1" x14ac:dyDescent="0.2">
      <c r="A66" s="428"/>
      <c r="B66" s="426"/>
      <c r="C66" s="434"/>
      <c r="D66" s="442"/>
      <c r="E66" s="442"/>
      <c r="F66" s="442"/>
      <c r="G66" s="34"/>
      <c r="H66" s="69">
        <v>1.4</v>
      </c>
      <c r="I66" s="80"/>
      <c r="J66" s="80">
        <v>2.5</v>
      </c>
      <c r="K66" s="80">
        <v>2.5</v>
      </c>
      <c r="L66" s="477"/>
      <c r="M66" s="464"/>
      <c r="N66" s="442"/>
      <c r="O66" s="434"/>
      <c r="P66" s="431"/>
    </row>
    <row r="67" spans="1:18" ht="15" customHeight="1" x14ac:dyDescent="0.2">
      <c r="A67" s="428"/>
      <c r="B67" s="426"/>
      <c r="C67" s="434"/>
      <c r="D67" s="442"/>
      <c r="E67" s="442"/>
      <c r="F67" s="442"/>
      <c r="G67" s="34"/>
      <c r="H67" s="69">
        <v>1</v>
      </c>
      <c r="I67" s="80"/>
      <c r="J67" s="80">
        <v>2</v>
      </c>
      <c r="K67" s="80">
        <v>2</v>
      </c>
      <c r="L67" s="477"/>
      <c r="M67" s="464"/>
      <c r="N67" s="442"/>
      <c r="O67" s="434"/>
      <c r="P67" s="431"/>
    </row>
    <row r="68" spans="1:18" ht="15" customHeight="1" x14ac:dyDescent="0.2">
      <c r="A68" s="428"/>
      <c r="B68" s="426"/>
      <c r="C68" s="434"/>
      <c r="D68" s="442"/>
      <c r="E68" s="442"/>
      <c r="F68" s="442"/>
      <c r="G68" s="34"/>
      <c r="H68" s="69">
        <v>0.8</v>
      </c>
      <c r="I68" s="80"/>
      <c r="J68" s="80">
        <v>1.5</v>
      </c>
      <c r="K68" s="80">
        <v>1.5</v>
      </c>
      <c r="L68" s="477"/>
      <c r="M68" s="464"/>
      <c r="N68" s="442"/>
      <c r="O68" s="434"/>
      <c r="P68" s="431"/>
    </row>
    <row r="69" spans="1:18" ht="15" customHeight="1" x14ac:dyDescent="0.2">
      <c r="A69" s="428"/>
      <c r="B69" s="426"/>
      <c r="C69" s="434"/>
      <c r="D69" s="442"/>
      <c r="E69" s="442"/>
      <c r="F69" s="442"/>
      <c r="G69" s="34"/>
      <c r="H69" s="69">
        <v>0.5</v>
      </c>
      <c r="I69" s="80"/>
      <c r="J69" s="80">
        <v>1</v>
      </c>
      <c r="K69" s="80">
        <v>1</v>
      </c>
      <c r="L69" s="477"/>
      <c r="M69" s="464"/>
      <c r="N69" s="442"/>
      <c r="O69" s="434"/>
      <c r="P69" s="431"/>
    </row>
    <row r="70" spans="1:18" ht="15" customHeight="1" x14ac:dyDescent="0.2">
      <c r="A70" s="428"/>
      <c r="B70" s="426"/>
      <c r="C70" s="434"/>
      <c r="D70" s="442"/>
      <c r="E70" s="442"/>
      <c r="F70" s="442"/>
      <c r="G70" s="34"/>
      <c r="H70" s="69">
        <v>0.2</v>
      </c>
      <c r="I70" s="80"/>
      <c r="J70" s="80">
        <v>0.5</v>
      </c>
      <c r="K70" s="80">
        <v>0.5</v>
      </c>
      <c r="L70" s="477"/>
      <c r="M70" s="464"/>
      <c r="N70" s="442"/>
      <c r="O70" s="435"/>
      <c r="P70" s="431"/>
    </row>
    <row r="71" spans="1:18" ht="15" customHeight="1" x14ac:dyDescent="0.2">
      <c r="A71" s="428"/>
      <c r="B71" s="426"/>
      <c r="C71" s="434"/>
      <c r="D71" s="443"/>
      <c r="E71" s="443"/>
      <c r="F71" s="443"/>
      <c r="G71" s="34">
        <v>0</v>
      </c>
      <c r="H71" s="70">
        <v>0</v>
      </c>
      <c r="I71" s="70"/>
      <c r="J71" s="70">
        <v>0</v>
      </c>
      <c r="K71" s="70">
        <v>0</v>
      </c>
      <c r="L71" s="478"/>
      <c r="M71" s="465"/>
      <c r="N71" s="443"/>
      <c r="O71" s="49"/>
      <c r="P71" s="431"/>
      <c r="Q71" s="79"/>
    </row>
    <row r="72" spans="1:18" ht="15" customHeight="1" x14ac:dyDescent="0.2">
      <c r="A72" s="428"/>
      <c r="B72" s="426"/>
      <c r="C72" s="434"/>
      <c r="D72" s="433" t="s">
        <v>117</v>
      </c>
      <c r="E72" s="433">
        <v>45</v>
      </c>
      <c r="F72" s="433" t="s">
        <v>290</v>
      </c>
      <c r="G72" s="14" t="s">
        <v>88</v>
      </c>
      <c r="H72" s="32">
        <v>7</v>
      </c>
      <c r="I72" s="37"/>
      <c r="J72" s="37">
        <v>13</v>
      </c>
      <c r="K72" s="37">
        <v>13</v>
      </c>
      <c r="L72" s="476">
        <f>MEDIAN([1]官网6个月!$G$64,45,0)</f>
        <v>0</v>
      </c>
      <c r="M72" s="458" t="s">
        <v>291</v>
      </c>
      <c r="N72" s="433" t="s">
        <v>275</v>
      </c>
      <c r="O72" s="433" t="s">
        <v>292</v>
      </c>
      <c r="P72" s="431"/>
      <c r="Q72" s="89" t="s">
        <v>293</v>
      </c>
      <c r="R72" s="89">
        <v>60</v>
      </c>
    </row>
    <row r="73" spans="1:18" ht="15" customHeight="1" x14ac:dyDescent="0.2">
      <c r="A73" s="428"/>
      <c r="B73" s="426"/>
      <c r="C73" s="434"/>
      <c r="D73" s="434"/>
      <c r="E73" s="434"/>
      <c r="F73" s="434"/>
      <c r="G73" s="14" t="s">
        <v>91</v>
      </c>
      <c r="H73" s="32">
        <v>6</v>
      </c>
      <c r="I73" s="37"/>
      <c r="J73" s="37">
        <v>11.5</v>
      </c>
      <c r="K73" s="37">
        <v>11.5</v>
      </c>
      <c r="L73" s="477"/>
      <c r="M73" s="459"/>
      <c r="N73" s="434"/>
      <c r="O73" s="434"/>
      <c r="P73" s="431"/>
      <c r="Q73" s="90" t="s">
        <v>294</v>
      </c>
      <c r="R73" s="89">
        <v>50</v>
      </c>
    </row>
    <row r="74" spans="1:18" ht="15" customHeight="1" x14ac:dyDescent="0.2">
      <c r="A74" s="428"/>
      <c r="B74" s="426"/>
      <c r="C74" s="434"/>
      <c r="D74" s="434"/>
      <c r="E74" s="434"/>
      <c r="F74" s="434"/>
      <c r="G74" s="14" t="s">
        <v>92</v>
      </c>
      <c r="H74" s="32">
        <v>5</v>
      </c>
      <c r="I74" s="37"/>
      <c r="J74" s="37">
        <v>10</v>
      </c>
      <c r="K74" s="37">
        <v>10</v>
      </c>
      <c r="L74" s="477"/>
      <c r="M74" s="459"/>
      <c r="N74" s="434"/>
      <c r="O74" s="434"/>
      <c r="P74" s="431"/>
      <c r="Q74" s="90" t="s">
        <v>295</v>
      </c>
      <c r="R74" s="89">
        <v>40</v>
      </c>
    </row>
    <row r="75" spans="1:18" ht="15" customHeight="1" x14ac:dyDescent="0.2">
      <c r="A75" s="428"/>
      <c r="B75" s="426"/>
      <c r="C75" s="434"/>
      <c r="D75" s="434"/>
      <c r="E75" s="434"/>
      <c r="F75" s="434"/>
      <c r="G75" s="14" t="s">
        <v>93</v>
      </c>
      <c r="H75" s="32">
        <v>4</v>
      </c>
      <c r="I75" s="37"/>
      <c r="J75" s="37">
        <v>8.5</v>
      </c>
      <c r="K75" s="37">
        <v>8.5</v>
      </c>
      <c r="L75" s="477"/>
      <c r="M75" s="459"/>
      <c r="N75" s="434"/>
      <c r="O75" s="434"/>
      <c r="P75" s="431"/>
      <c r="Q75" s="90" t="s">
        <v>296</v>
      </c>
      <c r="R75" s="89">
        <v>30</v>
      </c>
    </row>
    <row r="76" spans="1:18" ht="15" customHeight="1" x14ac:dyDescent="0.2">
      <c r="A76" s="428"/>
      <c r="B76" s="426"/>
      <c r="C76" s="434"/>
      <c r="D76" s="434"/>
      <c r="E76" s="434"/>
      <c r="F76" s="434"/>
      <c r="G76" s="14" t="s">
        <v>94</v>
      </c>
      <c r="H76" s="32">
        <v>2</v>
      </c>
      <c r="I76" s="37"/>
      <c r="J76" s="37">
        <v>4.5</v>
      </c>
      <c r="K76" s="37">
        <v>4.5</v>
      </c>
      <c r="L76" s="477"/>
      <c r="M76" s="459"/>
      <c r="N76" s="434"/>
      <c r="O76" s="434"/>
      <c r="P76" s="431"/>
      <c r="Q76" s="89"/>
      <c r="R76" s="89"/>
    </row>
    <row r="77" spans="1:18" ht="15" customHeight="1" x14ac:dyDescent="0.2">
      <c r="A77" s="428"/>
      <c r="B77" s="426"/>
      <c r="C77" s="434"/>
      <c r="D77" s="434"/>
      <c r="E77" s="434"/>
      <c r="F77" s="434"/>
      <c r="G77" s="14" t="s">
        <v>95</v>
      </c>
      <c r="H77" s="32">
        <v>1</v>
      </c>
      <c r="I77" s="37"/>
      <c r="J77" s="37">
        <v>1.5</v>
      </c>
      <c r="K77" s="37">
        <v>1.5</v>
      </c>
      <c r="L77" s="477"/>
      <c r="M77" s="459"/>
      <c r="N77" s="434"/>
      <c r="O77" s="435"/>
      <c r="P77" s="431"/>
      <c r="Q77" s="89"/>
      <c r="R77" s="89"/>
    </row>
    <row r="78" spans="1:18" ht="15" customHeight="1" x14ac:dyDescent="0.2">
      <c r="A78" s="428"/>
      <c r="B78" s="426"/>
      <c r="C78" s="434"/>
      <c r="D78" s="435"/>
      <c r="E78" s="435"/>
      <c r="F78" s="435"/>
      <c r="G78" s="14">
        <v>0</v>
      </c>
      <c r="H78" s="68">
        <v>0</v>
      </c>
      <c r="I78" s="68"/>
      <c r="J78" s="68">
        <v>0</v>
      </c>
      <c r="K78" s="68">
        <v>0</v>
      </c>
      <c r="L78" s="478"/>
      <c r="M78" s="460"/>
      <c r="N78" s="435"/>
      <c r="O78" s="49"/>
      <c r="P78" s="431"/>
      <c r="Q78" s="91" t="s">
        <v>297</v>
      </c>
      <c r="R78" s="89">
        <v>0</v>
      </c>
    </row>
    <row r="79" spans="1:18" ht="15" customHeight="1" x14ac:dyDescent="0.2">
      <c r="A79" s="428"/>
      <c r="B79" s="426"/>
      <c r="C79" s="434"/>
      <c r="D79" s="433" t="s">
        <v>120</v>
      </c>
      <c r="E79" s="445" t="s">
        <v>298</v>
      </c>
      <c r="F79" s="441" t="s">
        <v>299</v>
      </c>
      <c r="G79" s="34" t="s">
        <v>88</v>
      </c>
      <c r="H79" s="69">
        <v>2.2999999999999998</v>
      </c>
      <c r="I79" s="70"/>
      <c r="J79" s="70">
        <v>4.5</v>
      </c>
      <c r="K79" s="70">
        <v>4.5</v>
      </c>
      <c r="L79" s="476">
        <f>MEDIAN([1]官网6个月!$G$74,15,0)</f>
        <v>0</v>
      </c>
      <c r="M79" s="463" t="s">
        <v>291</v>
      </c>
      <c r="N79" s="441" t="s">
        <v>275</v>
      </c>
      <c r="O79" s="433" t="s">
        <v>122</v>
      </c>
      <c r="P79" s="431"/>
      <c r="Q79" s="92"/>
      <c r="R79" s="92"/>
    </row>
    <row r="80" spans="1:18" ht="15" customHeight="1" x14ac:dyDescent="0.2">
      <c r="A80" s="428"/>
      <c r="B80" s="426"/>
      <c r="C80" s="434"/>
      <c r="D80" s="434"/>
      <c r="E80" s="446"/>
      <c r="F80" s="442"/>
      <c r="G80" s="34" t="s">
        <v>91</v>
      </c>
      <c r="H80" s="69">
        <v>1.8</v>
      </c>
      <c r="I80" s="70"/>
      <c r="J80" s="70">
        <v>3.5</v>
      </c>
      <c r="K80" s="70">
        <v>3.5</v>
      </c>
      <c r="L80" s="477"/>
      <c r="M80" s="464"/>
      <c r="N80" s="442"/>
      <c r="O80" s="434"/>
      <c r="P80" s="431"/>
      <c r="Q80" s="93"/>
      <c r="R80" s="92"/>
    </row>
    <row r="81" spans="1:18" ht="15" customHeight="1" x14ac:dyDescent="0.2">
      <c r="A81" s="428"/>
      <c r="B81" s="426"/>
      <c r="C81" s="434"/>
      <c r="D81" s="434"/>
      <c r="E81" s="446"/>
      <c r="F81" s="442"/>
      <c r="G81" s="34" t="s">
        <v>92</v>
      </c>
      <c r="H81" s="69">
        <v>1.4</v>
      </c>
      <c r="I81" s="70"/>
      <c r="J81" s="70">
        <v>2.5</v>
      </c>
      <c r="K81" s="70">
        <v>2.5</v>
      </c>
      <c r="L81" s="477"/>
      <c r="M81" s="464"/>
      <c r="N81" s="442"/>
      <c r="O81" s="434"/>
      <c r="P81" s="431"/>
      <c r="Q81" s="90" t="s">
        <v>300</v>
      </c>
      <c r="R81" s="89">
        <v>40</v>
      </c>
    </row>
    <row r="82" spans="1:18" ht="15" customHeight="1" x14ac:dyDescent="0.2">
      <c r="A82" s="428"/>
      <c r="B82" s="426"/>
      <c r="C82" s="434"/>
      <c r="D82" s="434"/>
      <c r="E82" s="446"/>
      <c r="F82" s="442"/>
      <c r="G82" s="34" t="s">
        <v>93</v>
      </c>
      <c r="H82" s="69">
        <v>1</v>
      </c>
      <c r="I82" s="70"/>
      <c r="J82" s="70">
        <v>1.8</v>
      </c>
      <c r="K82" s="70">
        <v>1.8</v>
      </c>
      <c r="L82" s="477"/>
      <c r="M82" s="464"/>
      <c r="N82" s="442"/>
      <c r="O82" s="434"/>
      <c r="P82" s="431"/>
      <c r="Q82" s="90" t="s">
        <v>301</v>
      </c>
      <c r="R82" s="89">
        <v>30</v>
      </c>
    </row>
    <row r="83" spans="1:18" ht="15" customHeight="1" x14ac:dyDescent="0.2">
      <c r="A83" s="428"/>
      <c r="B83" s="426"/>
      <c r="C83" s="434"/>
      <c r="D83" s="434"/>
      <c r="E83" s="446"/>
      <c r="F83" s="442"/>
      <c r="G83" s="34" t="s">
        <v>94</v>
      </c>
      <c r="H83" s="69">
        <v>0.5</v>
      </c>
      <c r="I83" s="70"/>
      <c r="J83" s="70">
        <v>1</v>
      </c>
      <c r="K83" s="70">
        <v>1</v>
      </c>
      <c r="L83" s="477"/>
      <c r="M83" s="464"/>
      <c r="N83" s="442"/>
      <c r="O83" s="434"/>
      <c r="P83" s="431"/>
      <c r="Q83" s="89" t="s">
        <v>302</v>
      </c>
      <c r="R83" s="89">
        <v>20</v>
      </c>
    </row>
    <row r="84" spans="1:18" ht="15" customHeight="1" x14ac:dyDescent="0.2">
      <c r="A84" s="428"/>
      <c r="B84" s="426"/>
      <c r="C84" s="434"/>
      <c r="D84" s="434"/>
      <c r="E84" s="446"/>
      <c r="F84" s="442"/>
      <c r="G84" s="34" t="s">
        <v>95</v>
      </c>
      <c r="H84" s="69">
        <v>0.2</v>
      </c>
      <c r="I84" s="70"/>
      <c r="J84" s="70">
        <v>0.5</v>
      </c>
      <c r="K84" s="70">
        <v>0.5</v>
      </c>
      <c r="L84" s="477"/>
      <c r="M84" s="464"/>
      <c r="N84" s="442"/>
      <c r="O84" s="435"/>
      <c r="P84" s="432"/>
      <c r="Q84" s="89"/>
      <c r="R84" s="89"/>
    </row>
    <row r="85" spans="1:18" ht="15" customHeight="1" x14ac:dyDescent="0.2">
      <c r="A85" s="428"/>
      <c r="B85" s="426"/>
      <c r="C85" s="435"/>
      <c r="D85" s="435"/>
      <c r="E85" s="447"/>
      <c r="F85" s="443"/>
      <c r="G85" s="34">
        <v>0</v>
      </c>
      <c r="H85" s="70">
        <v>0</v>
      </c>
      <c r="I85" s="70"/>
      <c r="J85" s="70">
        <v>0</v>
      </c>
      <c r="K85" s="70">
        <v>0</v>
      </c>
      <c r="L85" s="478"/>
      <c r="M85" s="465"/>
      <c r="N85" s="443"/>
      <c r="O85" s="49"/>
      <c r="P85" s="18"/>
      <c r="Q85" s="91"/>
      <c r="R85" s="89"/>
    </row>
    <row r="86" spans="1:18" ht="15" customHeight="1" x14ac:dyDescent="0.2">
      <c r="A86" s="428"/>
      <c r="B86" s="426"/>
      <c r="C86" s="426" t="s">
        <v>123</v>
      </c>
      <c r="D86" s="444" t="s">
        <v>124</v>
      </c>
      <c r="E86" s="437">
        <v>60</v>
      </c>
      <c r="F86" s="454" t="s">
        <v>125</v>
      </c>
      <c r="G86" s="43" t="s">
        <v>126</v>
      </c>
      <c r="H86" s="44">
        <v>-5</v>
      </c>
      <c r="I86" s="44"/>
      <c r="J86" s="44">
        <v>-5</v>
      </c>
      <c r="K86" s="44">
        <v>-5</v>
      </c>
      <c r="L86" s="495">
        <f>E86+H86*I86+H87*I87+H88*I88+H89*I89+H90*I90</f>
        <v>60</v>
      </c>
      <c r="M86" s="44"/>
      <c r="N86" s="430" t="s">
        <v>63</v>
      </c>
      <c r="O86" s="433" t="s">
        <v>127</v>
      </c>
      <c r="P86" s="448" t="s">
        <v>128</v>
      </c>
    </row>
    <row r="87" spans="1:18" ht="15" customHeight="1" x14ac:dyDescent="0.2">
      <c r="A87" s="428"/>
      <c r="B87" s="426"/>
      <c r="C87" s="426"/>
      <c r="D87" s="444"/>
      <c r="E87" s="437"/>
      <c r="F87" s="455"/>
      <c r="G87" s="43" t="s">
        <v>129</v>
      </c>
      <c r="H87" s="44">
        <v>-8</v>
      </c>
      <c r="I87" s="44"/>
      <c r="J87" s="44">
        <v>-8</v>
      </c>
      <c r="K87" s="44">
        <v>-8</v>
      </c>
      <c r="L87" s="496"/>
      <c r="M87" s="44"/>
      <c r="N87" s="432"/>
      <c r="O87" s="434"/>
      <c r="P87" s="448"/>
    </row>
    <row r="88" spans="1:18" ht="15" customHeight="1" x14ac:dyDescent="0.2">
      <c r="A88" s="428"/>
      <c r="B88" s="426"/>
      <c r="C88" s="426"/>
      <c r="D88" s="444"/>
      <c r="E88" s="437"/>
      <c r="F88" s="455"/>
      <c r="G88" s="43" t="s">
        <v>131</v>
      </c>
      <c r="H88" s="44">
        <v>-10</v>
      </c>
      <c r="I88" s="44"/>
      <c r="J88" s="44">
        <v>-10</v>
      </c>
      <c r="K88" s="44">
        <v>-10</v>
      </c>
      <c r="L88" s="496"/>
      <c r="M88" s="44"/>
      <c r="N88" s="483" t="s">
        <v>77</v>
      </c>
      <c r="O88" s="434"/>
      <c r="P88" s="448"/>
    </row>
    <row r="89" spans="1:18" ht="15" customHeight="1" x14ac:dyDescent="0.2">
      <c r="A89" s="428"/>
      <c r="B89" s="426"/>
      <c r="C89" s="426"/>
      <c r="D89" s="444"/>
      <c r="E89" s="437"/>
      <c r="F89" s="455"/>
      <c r="G89" s="43" t="s">
        <v>132</v>
      </c>
      <c r="H89" s="44">
        <v>-15</v>
      </c>
      <c r="I89" s="44"/>
      <c r="J89" s="44">
        <v>-15</v>
      </c>
      <c r="K89" s="44">
        <v>-15</v>
      </c>
      <c r="L89" s="496"/>
      <c r="M89" s="44"/>
      <c r="N89" s="484"/>
      <c r="O89" s="434"/>
      <c r="P89" s="448"/>
    </row>
    <row r="90" spans="1:18" ht="15" customHeight="1" x14ac:dyDescent="0.2">
      <c r="A90" s="428"/>
      <c r="B90" s="426"/>
      <c r="C90" s="426"/>
      <c r="D90" s="444"/>
      <c r="E90" s="437"/>
      <c r="F90" s="455"/>
      <c r="G90" s="43" t="s">
        <v>133</v>
      </c>
      <c r="H90" s="44">
        <v>-20</v>
      </c>
      <c r="I90" s="44"/>
      <c r="J90" s="44">
        <v>-20</v>
      </c>
      <c r="K90" s="44">
        <v>-20</v>
      </c>
      <c r="L90" s="497"/>
      <c r="M90" s="44"/>
      <c r="N90" s="485"/>
      <c r="O90" s="434"/>
      <c r="P90" s="448"/>
    </row>
    <row r="91" spans="1:18" ht="21" customHeight="1" x14ac:dyDescent="0.2">
      <c r="A91" s="428"/>
      <c r="B91" s="426"/>
      <c r="C91" s="433" t="s">
        <v>134</v>
      </c>
      <c r="D91" s="433" t="s">
        <v>135</v>
      </c>
      <c r="E91" s="430">
        <v>20</v>
      </c>
      <c r="F91" s="433" t="s">
        <v>303</v>
      </c>
      <c r="G91" s="43" t="s">
        <v>304</v>
      </c>
      <c r="H91" s="44">
        <v>10</v>
      </c>
      <c r="I91" s="44"/>
      <c r="J91" s="44">
        <v>10</v>
      </c>
      <c r="K91" s="44">
        <v>10</v>
      </c>
      <c r="L91" s="498">
        <f>MEDIAN(H91*I91+H92*I92,20,0)</f>
        <v>0</v>
      </c>
      <c r="M91" s="44"/>
      <c r="N91" s="430" t="s">
        <v>104</v>
      </c>
      <c r="O91" s="439" t="s">
        <v>305</v>
      </c>
      <c r="P91" s="448"/>
    </row>
    <row r="92" spans="1:18" ht="24" customHeight="1" x14ac:dyDescent="0.2">
      <c r="A92" s="428"/>
      <c r="B92" s="426"/>
      <c r="C92" s="434"/>
      <c r="D92" s="434"/>
      <c r="E92" s="431"/>
      <c r="F92" s="434"/>
      <c r="G92" s="43" t="s">
        <v>306</v>
      </c>
      <c r="H92" s="44">
        <v>5</v>
      </c>
      <c r="I92" s="44"/>
      <c r="J92" s="44">
        <v>5</v>
      </c>
      <c r="K92" s="44">
        <v>5</v>
      </c>
      <c r="L92" s="499"/>
      <c r="M92" s="44"/>
      <c r="N92" s="432"/>
      <c r="O92" s="440"/>
      <c r="P92" s="448"/>
    </row>
    <row r="93" spans="1:18" ht="21" customHeight="1" x14ac:dyDescent="0.2">
      <c r="A93" s="428"/>
      <c r="B93" s="426"/>
      <c r="C93" s="426" t="s">
        <v>139</v>
      </c>
      <c r="D93" s="426" t="s">
        <v>139</v>
      </c>
      <c r="E93" s="448">
        <v>20</v>
      </c>
      <c r="F93" s="433" t="s">
        <v>140</v>
      </c>
      <c r="G93" s="53" t="s">
        <v>307</v>
      </c>
      <c r="H93" s="22">
        <v>20</v>
      </c>
      <c r="I93" s="22"/>
      <c r="J93" s="22">
        <v>20</v>
      </c>
      <c r="K93" s="22">
        <v>20</v>
      </c>
      <c r="L93" s="500">
        <f>IF(I93=100%,20,IF(I93&gt;=25.4%,10,IF(I93&gt;=0,0,IF(I93&lt;0,-10,))))</f>
        <v>0</v>
      </c>
      <c r="M93" s="22"/>
      <c r="N93" s="430" t="s">
        <v>38</v>
      </c>
      <c r="O93" s="448" t="s">
        <v>308</v>
      </c>
      <c r="P93" s="94"/>
    </row>
    <row r="94" spans="1:18" ht="21" customHeight="1" x14ac:dyDescent="0.2">
      <c r="A94" s="428"/>
      <c r="B94" s="426"/>
      <c r="C94" s="426"/>
      <c r="D94" s="426"/>
      <c r="E94" s="448"/>
      <c r="F94" s="434"/>
      <c r="G94" s="53" t="s">
        <v>309</v>
      </c>
      <c r="H94" s="22">
        <v>10</v>
      </c>
      <c r="I94" s="22"/>
      <c r="J94" s="22">
        <v>10</v>
      </c>
      <c r="K94" s="22">
        <v>10</v>
      </c>
      <c r="L94" s="501"/>
      <c r="M94" s="22"/>
      <c r="N94" s="431"/>
      <c r="O94" s="448"/>
      <c r="P94" s="94"/>
    </row>
    <row r="95" spans="1:18" ht="21" customHeight="1" x14ac:dyDescent="0.2">
      <c r="A95" s="428"/>
      <c r="B95" s="426"/>
      <c r="C95" s="426"/>
      <c r="D95" s="426"/>
      <c r="E95" s="448"/>
      <c r="F95" s="434"/>
      <c r="G95" s="14" t="s">
        <v>310</v>
      </c>
      <c r="H95" s="22">
        <v>0</v>
      </c>
      <c r="I95" s="22"/>
      <c r="J95" s="22">
        <v>0</v>
      </c>
      <c r="K95" s="22">
        <v>0</v>
      </c>
      <c r="L95" s="501"/>
      <c r="M95" s="22"/>
      <c r="N95" s="431"/>
      <c r="O95" s="448"/>
      <c r="P95" s="94"/>
    </row>
    <row r="96" spans="1:18" ht="21" customHeight="1" x14ac:dyDescent="0.2">
      <c r="A96" s="429"/>
      <c r="B96" s="426"/>
      <c r="C96" s="426"/>
      <c r="D96" s="426"/>
      <c r="E96" s="448"/>
      <c r="F96" s="435"/>
      <c r="G96" s="33" t="s">
        <v>145</v>
      </c>
      <c r="H96" s="54">
        <v>-10</v>
      </c>
      <c r="I96" s="54"/>
      <c r="J96" s="54">
        <v>-10</v>
      </c>
      <c r="K96" s="54">
        <v>-10</v>
      </c>
      <c r="L96" s="502"/>
      <c r="M96" s="54"/>
      <c r="N96" s="432"/>
      <c r="O96" s="448"/>
      <c r="P96" s="95" t="s">
        <v>146</v>
      </c>
      <c r="Q96" s="77"/>
    </row>
    <row r="97" spans="1:17" ht="21" customHeight="1" x14ac:dyDescent="0.2">
      <c r="A97" s="427" t="s">
        <v>147</v>
      </c>
      <c r="B97" s="426">
        <v>110</v>
      </c>
      <c r="C97" s="426" t="s">
        <v>148</v>
      </c>
      <c r="D97" s="43" t="s">
        <v>149</v>
      </c>
      <c r="E97" s="430">
        <v>30</v>
      </c>
      <c r="F97" s="433" t="s">
        <v>150</v>
      </c>
      <c r="G97" s="46" t="s">
        <v>151</v>
      </c>
      <c r="H97" s="22">
        <v>10</v>
      </c>
      <c r="I97" s="22"/>
      <c r="J97" s="22">
        <v>10</v>
      </c>
      <c r="K97" s="22">
        <v>10</v>
      </c>
      <c r="L97" s="492">
        <f>MEDIAN(H97*I97+H98*I98,30,0)</f>
        <v>0</v>
      </c>
      <c r="M97" s="22"/>
      <c r="N97" s="430" t="s">
        <v>104</v>
      </c>
      <c r="O97" s="439" t="s">
        <v>38</v>
      </c>
      <c r="P97" s="448" t="s">
        <v>152</v>
      </c>
    </row>
    <row r="98" spans="1:17" ht="21" customHeight="1" x14ac:dyDescent="0.2">
      <c r="A98" s="428"/>
      <c r="B98" s="426"/>
      <c r="C98" s="426"/>
      <c r="D98" s="43" t="s">
        <v>153</v>
      </c>
      <c r="E98" s="431"/>
      <c r="F98" s="435"/>
      <c r="G98" s="46" t="s">
        <v>151</v>
      </c>
      <c r="H98" s="22">
        <v>5</v>
      </c>
      <c r="I98" s="22"/>
      <c r="J98" s="22">
        <v>5</v>
      </c>
      <c r="K98" s="22">
        <v>5</v>
      </c>
      <c r="L98" s="494"/>
      <c r="M98" s="17"/>
      <c r="N98" s="432"/>
      <c r="O98" s="440"/>
      <c r="P98" s="448"/>
    </row>
    <row r="99" spans="1:17" ht="21.75" customHeight="1" x14ac:dyDescent="0.2">
      <c r="A99" s="428"/>
      <c r="B99" s="426"/>
      <c r="C99" s="433" t="s">
        <v>154</v>
      </c>
      <c r="D99" s="433" t="s">
        <v>155</v>
      </c>
      <c r="E99" s="430">
        <v>10</v>
      </c>
      <c r="F99" s="433" t="s">
        <v>156</v>
      </c>
      <c r="G99" s="43" t="s">
        <v>311</v>
      </c>
      <c r="H99" s="22">
        <v>2</v>
      </c>
      <c r="I99" s="22"/>
      <c r="J99" s="22">
        <v>2</v>
      </c>
      <c r="K99" s="22">
        <v>2</v>
      </c>
      <c r="L99" s="492">
        <f>MEDIAN(H99*I99+I100*H100,10,0)</f>
        <v>0</v>
      </c>
      <c r="M99" s="22"/>
      <c r="N99" s="430" t="s">
        <v>112</v>
      </c>
      <c r="O99" s="14" t="s">
        <v>312</v>
      </c>
      <c r="P99" s="96"/>
    </row>
    <row r="100" spans="1:17" ht="18" customHeight="1" x14ac:dyDescent="0.2">
      <c r="A100" s="428"/>
      <c r="B100" s="426"/>
      <c r="C100" s="434"/>
      <c r="D100" s="434"/>
      <c r="E100" s="431"/>
      <c r="F100" s="434"/>
      <c r="G100" s="49" t="s">
        <v>159</v>
      </c>
      <c r="H100" s="22">
        <v>1</v>
      </c>
      <c r="I100" s="22"/>
      <c r="J100" s="22">
        <v>1</v>
      </c>
      <c r="K100" s="22">
        <v>1</v>
      </c>
      <c r="L100" s="494"/>
      <c r="M100" s="22"/>
      <c r="N100" s="432"/>
      <c r="O100" s="14" t="s">
        <v>38</v>
      </c>
      <c r="P100" s="96"/>
    </row>
    <row r="101" spans="1:17" ht="18" customHeight="1" x14ac:dyDescent="0.2">
      <c r="A101" s="428"/>
      <c r="B101" s="426"/>
      <c r="C101" s="426" t="s">
        <v>160</v>
      </c>
      <c r="D101" s="426" t="s">
        <v>161</v>
      </c>
      <c r="E101" s="448">
        <v>20</v>
      </c>
      <c r="F101" s="448" t="s">
        <v>162</v>
      </c>
      <c r="G101" s="43" t="s">
        <v>163</v>
      </c>
      <c r="H101" s="22">
        <v>2</v>
      </c>
      <c r="I101" s="22"/>
      <c r="J101" s="22">
        <v>2</v>
      </c>
      <c r="K101" s="22">
        <v>2</v>
      </c>
      <c r="L101" s="492">
        <f>MEDIAN(H101*I101+I102*H102+I103*H103,20,0)</f>
        <v>0</v>
      </c>
      <c r="M101" s="22"/>
      <c r="N101" s="430" t="s">
        <v>104</v>
      </c>
      <c r="O101" s="439" t="s">
        <v>38</v>
      </c>
      <c r="P101" s="430" t="s">
        <v>164</v>
      </c>
    </row>
    <row r="102" spans="1:17" ht="21" customHeight="1" x14ac:dyDescent="0.2">
      <c r="A102" s="428"/>
      <c r="B102" s="426"/>
      <c r="C102" s="426"/>
      <c r="D102" s="426"/>
      <c r="E102" s="448"/>
      <c r="F102" s="448"/>
      <c r="G102" s="43" t="s">
        <v>313</v>
      </c>
      <c r="H102" s="22">
        <v>5</v>
      </c>
      <c r="I102" s="22"/>
      <c r="J102" s="22">
        <v>5</v>
      </c>
      <c r="K102" s="22">
        <v>5</v>
      </c>
      <c r="L102" s="493"/>
      <c r="M102" s="22"/>
      <c r="N102" s="431"/>
      <c r="O102" s="440"/>
      <c r="P102" s="431"/>
    </row>
    <row r="103" spans="1:17" ht="21" customHeight="1" x14ac:dyDescent="0.2">
      <c r="A103" s="428"/>
      <c r="B103" s="426"/>
      <c r="C103" s="426"/>
      <c r="D103" s="426"/>
      <c r="E103" s="448"/>
      <c r="F103" s="448"/>
      <c r="G103" s="43" t="s">
        <v>314</v>
      </c>
      <c r="H103" s="22">
        <v>5</v>
      </c>
      <c r="I103" s="22"/>
      <c r="J103" s="22">
        <v>5</v>
      </c>
      <c r="K103" s="22">
        <v>5</v>
      </c>
      <c r="L103" s="494"/>
      <c r="M103" s="22"/>
      <c r="N103" s="432"/>
      <c r="O103" s="491"/>
      <c r="P103" s="431"/>
    </row>
    <row r="104" spans="1:17" ht="21" customHeight="1" x14ac:dyDescent="0.2">
      <c r="A104" s="428"/>
      <c r="B104" s="426"/>
      <c r="C104" s="14" t="s">
        <v>167</v>
      </c>
      <c r="D104" s="43" t="s">
        <v>167</v>
      </c>
      <c r="E104" s="22">
        <v>50</v>
      </c>
      <c r="F104" s="43" t="s">
        <v>168</v>
      </c>
      <c r="G104" s="43" t="s">
        <v>163</v>
      </c>
      <c r="H104" s="22">
        <v>10</v>
      </c>
      <c r="I104" s="22"/>
      <c r="J104" s="22">
        <v>10</v>
      </c>
      <c r="K104" s="22">
        <v>10</v>
      </c>
      <c r="L104" s="184">
        <f>MEDIAN(H104*I104,50,0)</f>
        <v>0</v>
      </c>
      <c r="M104" s="16"/>
      <c r="N104" s="22" t="s">
        <v>104</v>
      </c>
      <c r="O104" s="10" t="s">
        <v>38</v>
      </c>
      <c r="P104" s="431"/>
    </row>
    <row r="105" spans="1:17" ht="28.5" customHeight="1" x14ac:dyDescent="0.2">
      <c r="A105" s="428"/>
      <c r="B105" s="426"/>
      <c r="C105" s="43" t="s">
        <v>169</v>
      </c>
      <c r="D105" s="43" t="s">
        <v>170</v>
      </c>
      <c r="E105" s="22">
        <v>10</v>
      </c>
      <c r="F105" s="43" t="s">
        <v>171</v>
      </c>
      <c r="G105" s="43" t="s">
        <v>172</v>
      </c>
      <c r="H105" s="22">
        <v>10</v>
      </c>
      <c r="I105" s="22"/>
      <c r="J105" s="22">
        <v>10</v>
      </c>
      <c r="K105" s="22">
        <v>10</v>
      </c>
      <c r="L105" s="184">
        <f>MEDIAN(H105*I105,10,0)</f>
        <v>0</v>
      </c>
      <c r="M105" s="16"/>
      <c r="N105" s="22" t="s">
        <v>104</v>
      </c>
      <c r="O105" s="16" t="s">
        <v>173</v>
      </c>
      <c r="P105" s="16" t="s">
        <v>174</v>
      </c>
      <c r="Q105" s="77"/>
    </row>
    <row r="106" spans="1:17" s="1" customFormat="1" ht="28.5" customHeight="1" x14ac:dyDescent="0.35">
      <c r="A106" s="430" t="s">
        <v>315</v>
      </c>
      <c r="B106" s="426">
        <v>200</v>
      </c>
      <c r="C106" s="426" t="s">
        <v>177</v>
      </c>
      <c r="D106" s="43" t="s">
        <v>178</v>
      </c>
      <c r="E106" s="82">
        <f>20%*200</f>
        <v>40</v>
      </c>
      <c r="F106" s="56" t="s">
        <v>179</v>
      </c>
      <c r="G106" s="57" t="s">
        <v>180</v>
      </c>
      <c r="H106" s="16">
        <v>1</v>
      </c>
      <c r="I106" s="38"/>
      <c r="J106" s="38">
        <v>1</v>
      </c>
      <c r="K106" s="38">
        <v>1</v>
      </c>
      <c r="L106" s="185">
        <f>MEDIAN(H106*I106,40,0)</f>
        <v>0</v>
      </c>
      <c r="M106" s="479" t="s">
        <v>316</v>
      </c>
      <c r="N106" s="430" t="s">
        <v>317</v>
      </c>
      <c r="O106" s="97"/>
      <c r="P106" s="448" t="s">
        <v>182</v>
      </c>
      <c r="Q106" s="98"/>
    </row>
    <row r="107" spans="1:17" s="1" customFormat="1" ht="21.75" customHeight="1" x14ac:dyDescent="0.35">
      <c r="A107" s="431"/>
      <c r="B107" s="426"/>
      <c r="C107" s="426"/>
      <c r="D107" s="47" t="s">
        <v>183</v>
      </c>
      <c r="E107" s="11">
        <v>20</v>
      </c>
      <c r="F107" s="47" t="s">
        <v>184</v>
      </c>
      <c r="G107" s="47" t="s">
        <v>177</v>
      </c>
      <c r="H107" s="58">
        <v>8</v>
      </c>
      <c r="I107" s="39"/>
      <c r="J107" s="39">
        <v>8</v>
      </c>
      <c r="K107" s="39">
        <v>8</v>
      </c>
      <c r="L107" s="185">
        <f>MEDIAN(H107*I107,20,0)</f>
        <v>0</v>
      </c>
      <c r="M107" s="480"/>
      <c r="N107" s="431"/>
      <c r="O107" s="97"/>
      <c r="P107" s="448"/>
      <c r="Q107" s="98"/>
    </row>
    <row r="108" spans="1:17" s="1" customFormat="1" ht="30.75" customHeight="1" x14ac:dyDescent="0.35">
      <c r="A108" s="431"/>
      <c r="B108" s="426"/>
      <c r="C108" s="426" t="s">
        <v>186</v>
      </c>
      <c r="D108" s="43" t="s">
        <v>187</v>
      </c>
      <c r="E108" s="55">
        <v>30</v>
      </c>
      <c r="F108" s="43" t="s">
        <v>188</v>
      </c>
      <c r="G108" s="22" t="s">
        <v>189</v>
      </c>
      <c r="H108" s="14">
        <v>1.5</v>
      </c>
      <c r="I108" s="14"/>
      <c r="J108" s="14">
        <v>1.5</v>
      </c>
      <c r="K108" s="14">
        <v>1.5</v>
      </c>
      <c r="L108" s="185">
        <f>MEDIAN(H108*I108,30,0)</f>
        <v>0</v>
      </c>
      <c r="M108" s="8" t="s">
        <v>318</v>
      </c>
      <c r="N108" s="430" t="s">
        <v>317</v>
      </c>
      <c r="O108" s="97"/>
      <c r="P108" s="448"/>
      <c r="Q108" s="98"/>
    </row>
    <row r="109" spans="1:17" s="1" customFormat="1" ht="30.75" customHeight="1" x14ac:dyDescent="0.35">
      <c r="A109" s="431"/>
      <c r="B109" s="426"/>
      <c r="C109" s="426"/>
      <c r="D109" s="43" t="s">
        <v>191</v>
      </c>
      <c r="E109" s="55">
        <v>10</v>
      </c>
      <c r="F109" s="43" t="s">
        <v>192</v>
      </c>
      <c r="G109" s="22" t="s">
        <v>193</v>
      </c>
      <c r="H109" s="14">
        <v>0.5</v>
      </c>
      <c r="I109" s="14"/>
      <c r="J109" s="14">
        <v>0.5</v>
      </c>
      <c r="K109" s="14">
        <v>0.5</v>
      </c>
      <c r="L109" s="185">
        <f>MEDIAN(H109*I109,10,0)</f>
        <v>0</v>
      </c>
      <c r="M109" s="8" t="s">
        <v>319</v>
      </c>
      <c r="N109" s="431"/>
      <c r="O109" s="97"/>
      <c r="P109" s="448"/>
      <c r="Q109" s="98"/>
    </row>
    <row r="110" spans="1:17" s="3" customFormat="1" ht="42" customHeight="1" x14ac:dyDescent="0.35">
      <c r="A110" s="431"/>
      <c r="B110" s="436"/>
      <c r="C110" s="47" t="s">
        <v>195</v>
      </c>
      <c r="D110" s="47" t="s">
        <v>195</v>
      </c>
      <c r="E110" s="83">
        <f>5%*200</f>
        <v>10</v>
      </c>
      <c r="F110" s="47" t="s">
        <v>196</v>
      </c>
      <c r="G110" s="58" t="s">
        <v>197</v>
      </c>
      <c r="H110" s="13">
        <v>2</v>
      </c>
      <c r="I110" s="13"/>
      <c r="J110" s="13">
        <v>0</v>
      </c>
      <c r="K110" s="13">
        <v>0</v>
      </c>
      <c r="L110" s="185">
        <f>MEDIAN(H110*I110,10,0)</f>
        <v>0</v>
      </c>
      <c r="M110" s="62" t="s">
        <v>320</v>
      </c>
      <c r="N110" s="99" t="s">
        <v>317</v>
      </c>
      <c r="O110" s="100"/>
      <c r="P110" s="486"/>
      <c r="Q110" s="101" t="s">
        <v>321</v>
      </c>
    </row>
    <row r="111" spans="1:17" s="1" customFormat="1" ht="28.5" customHeight="1" x14ac:dyDescent="0.35">
      <c r="A111" s="431"/>
      <c r="B111" s="426"/>
      <c r="C111" s="426" t="s">
        <v>199</v>
      </c>
      <c r="D111" s="59" t="s">
        <v>200</v>
      </c>
      <c r="E111" s="83">
        <v>30</v>
      </c>
      <c r="F111" s="7" t="s">
        <v>201</v>
      </c>
      <c r="G111" s="22" t="s">
        <v>202</v>
      </c>
      <c r="H111" s="14">
        <v>1</v>
      </c>
      <c r="I111" s="14"/>
      <c r="J111" s="14">
        <v>8.5</v>
      </c>
      <c r="K111" s="14">
        <v>8.5</v>
      </c>
      <c r="L111" s="185">
        <f>MEDIAN(H111*I111,30,0)</f>
        <v>0</v>
      </c>
      <c r="M111" s="102" t="s">
        <v>322</v>
      </c>
      <c r="N111" s="487" t="s">
        <v>323</v>
      </c>
      <c r="O111" s="97"/>
      <c r="P111" s="448"/>
      <c r="Q111" s="98"/>
    </row>
    <row r="112" spans="1:17" s="1" customFormat="1" ht="30.75" customHeight="1" x14ac:dyDescent="0.35">
      <c r="A112" s="431"/>
      <c r="B112" s="426"/>
      <c r="C112" s="426"/>
      <c r="D112" s="59" t="s">
        <v>204</v>
      </c>
      <c r="E112" s="83">
        <f>5%*200</f>
        <v>10</v>
      </c>
      <c r="F112" s="7" t="s">
        <v>205</v>
      </c>
      <c r="G112" s="22" t="s">
        <v>202</v>
      </c>
      <c r="H112" s="14">
        <v>1</v>
      </c>
      <c r="I112" s="14"/>
      <c r="J112" s="14">
        <v>3</v>
      </c>
      <c r="K112" s="14">
        <v>3</v>
      </c>
      <c r="L112" s="185">
        <f>MEDIAN(H112*I112,10,0)</f>
        <v>0</v>
      </c>
      <c r="M112" s="86" t="s">
        <v>324</v>
      </c>
      <c r="N112" s="488"/>
      <c r="O112" s="97"/>
      <c r="P112" s="448"/>
      <c r="Q112" s="98"/>
    </row>
    <row r="113" spans="1:17" s="1" customFormat="1" ht="28.5" customHeight="1" x14ac:dyDescent="0.35">
      <c r="A113" s="431"/>
      <c r="B113" s="426"/>
      <c r="C113" s="426"/>
      <c r="D113" s="59" t="s">
        <v>207</v>
      </c>
      <c r="E113" s="83">
        <f>5%*200</f>
        <v>10</v>
      </c>
      <c r="F113" s="43" t="s">
        <v>208</v>
      </c>
      <c r="G113" s="22" t="s">
        <v>209</v>
      </c>
      <c r="H113" s="14">
        <v>2</v>
      </c>
      <c r="I113" s="14"/>
      <c r="J113" s="14">
        <v>2</v>
      </c>
      <c r="K113" s="14">
        <v>2</v>
      </c>
      <c r="L113" s="185">
        <f>MEDIAN(H113*I113,10,0)</f>
        <v>0</v>
      </c>
      <c r="M113" s="103"/>
      <c r="N113" s="489"/>
      <c r="O113" s="97"/>
      <c r="P113" s="448"/>
      <c r="Q113" s="98"/>
    </row>
    <row r="114" spans="1:17" s="1" customFormat="1" ht="67.5" customHeight="1" x14ac:dyDescent="0.35">
      <c r="A114" s="431"/>
      <c r="B114" s="426"/>
      <c r="C114" s="426"/>
      <c r="D114" s="43" t="s">
        <v>211</v>
      </c>
      <c r="E114" s="83">
        <f>5%*200</f>
        <v>10</v>
      </c>
      <c r="F114" s="84" t="s">
        <v>325</v>
      </c>
      <c r="G114" s="22" t="s">
        <v>197</v>
      </c>
      <c r="H114" s="14">
        <v>2</v>
      </c>
      <c r="I114" s="14"/>
      <c r="J114" s="14">
        <v>2</v>
      </c>
      <c r="K114" s="14">
        <v>2</v>
      </c>
      <c r="L114" s="185">
        <f>MEDIAN(H114*I114,10,0)</f>
        <v>0</v>
      </c>
      <c r="M114" s="8" t="s">
        <v>326</v>
      </c>
      <c r="N114" s="35" t="s">
        <v>327</v>
      </c>
      <c r="O114" s="97"/>
      <c r="P114" s="448"/>
      <c r="Q114" s="98"/>
    </row>
    <row r="115" spans="1:17" s="1" customFormat="1" ht="48" customHeight="1" x14ac:dyDescent="0.35">
      <c r="A115" s="431"/>
      <c r="B115" s="426"/>
      <c r="C115" s="426" t="s">
        <v>213</v>
      </c>
      <c r="D115" s="47" t="s">
        <v>214</v>
      </c>
      <c r="E115" s="85">
        <v>40</v>
      </c>
      <c r="F115" s="86" t="s">
        <v>215</v>
      </c>
      <c r="G115" s="22" t="s">
        <v>214</v>
      </c>
      <c r="H115" s="14">
        <v>2</v>
      </c>
      <c r="I115" s="14"/>
      <c r="J115" s="14">
        <v>2</v>
      </c>
      <c r="K115" s="14">
        <v>2</v>
      </c>
      <c r="L115" s="185">
        <f>MEDIAN(H115*I115,20,0)</f>
        <v>0</v>
      </c>
      <c r="M115" s="8" t="s">
        <v>328</v>
      </c>
      <c r="N115" s="36" t="s">
        <v>329</v>
      </c>
      <c r="O115" s="97"/>
      <c r="P115" s="448"/>
      <c r="Q115" s="98"/>
    </row>
    <row r="116" spans="1:17" s="1" customFormat="1" ht="51.75" customHeight="1" x14ac:dyDescent="0.35">
      <c r="A116" s="432"/>
      <c r="B116" s="426"/>
      <c r="C116" s="426"/>
      <c r="D116" s="47" t="s">
        <v>216</v>
      </c>
      <c r="E116" s="55">
        <f>5%*200</f>
        <v>10</v>
      </c>
      <c r="F116" s="87" t="s">
        <v>217</v>
      </c>
      <c r="G116" s="22" t="s">
        <v>218</v>
      </c>
      <c r="H116" s="31">
        <v>1</v>
      </c>
      <c r="I116" s="31"/>
      <c r="J116" s="31">
        <v>2</v>
      </c>
      <c r="K116" s="31">
        <v>2</v>
      </c>
      <c r="L116" s="185">
        <f>MEDIAN(H116*I116,10,0)</f>
        <v>0</v>
      </c>
      <c r="M116" s="8" t="s">
        <v>330</v>
      </c>
      <c r="N116" s="36" t="s">
        <v>331</v>
      </c>
      <c r="O116" s="97"/>
      <c r="P116" s="448"/>
      <c r="Q116" s="98"/>
    </row>
    <row r="117" spans="1:17" ht="49.5" customHeight="1" x14ac:dyDescent="0.2">
      <c r="A117" s="430" t="s">
        <v>332</v>
      </c>
      <c r="B117" s="437">
        <v>200</v>
      </c>
      <c r="C117" s="438" t="s">
        <v>221</v>
      </c>
      <c r="D117" s="47" t="s">
        <v>222</v>
      </c>
      <c r="E117" s="11">
        <v>60</v>
      </c>
      <c r="F117" s="60" t="s">
        <v>223</v>
      </c>
      <c r="G117" s="61" t="s">
        <v>180</v>
      </c>
      <c r="H117" s="24">
        <v>6</v>
      </c>
      <c r="I117" s="24"/>
      <c r="J117" s="24">
        <v>6</v>
      </c>
      <c r="K117" s="24">
        <v>6</v>
      </c>
      <c r="L117" s="186">
        <f>MEDIAN(H117*I117,60,0)</f>
        <v>0</v>
      </c>
      <c r="M117" s="479" t="s">
        <v>333</v>
      </c>
      <c r="N117" s="430" t="s">
        <v>334</v>
      </c>
      <c r="O117" s="14"/>
      <c r="P117" s="448"/>
    </row>
    <row r="118" spans="1:17" ht="28.5" customHeight="1" x14ac:dyDescent="0.2">
      <c r="A118" s="431"/>
      <c r="B118" s="437"/>
      <c r="C118" s="438"/>
      <c r="D118" s="47" t="s">
        <v>183</v>
      </c>
      <c r="E118" s="11">
        <v>20</v>
      </c>
      <c r="F118" s="47" t="s">
        <v>184</v>
      </c>
      <c r="G118" s="47" t="s">
        <v>177</v>
      </c>
      <c r="H118" s="58">
        <v>8</v>
      </c>
      <c r="I118" s="58"/>
      <c r="J118" s="58">
        <v>8</v>
      </c>
      <c r="K118" s="58">
        <v>8</v>
      </c>
      <c r="L118" s="186">
        <f>MEDIAN(H118*I118,20,0)</f>
        <v>0</v>
      </c>
      <c r="M118" s="480"/>
      <c r="N118" s="432"/>
      <c r="O118" s="14"/>
      <c r="P118" s="448"/>
    </row>
    <row r="119" spans="1:17" ht="51.75" customHeight="1" x14ac:dyDescent="0.2">
      <c r="A119" s="431"/>
      <c r="B119" s="437"/>
      <c r="C119" s="47" t="s">
        <v>226</v>
      </c>
      <c r="D119" s="59" t="s">
        <v>227</v>
      </c>
      <c r="E119" s="47">
        <v>20</v>
      </c>
      <c r="F119" s="47" t="s">
        <v>228</v>
      </c>
      <c r="G119" s="47" t="s">
        <v>177</v>
      </c>
      <c r="H119" s="62">
        <v>2</v>
      </c>
      <c r="I119" s="62"/>
      <c r="J119" s="62">
        <v>3</v>
      </c>
      <c r="K119" s="62">
        <v>3</v>
      </c>
      <c r="L119" s="186">
        <f>MEDIAN(H119*I119,20,0)</f>
        <v>0</v>
      </c>
      <c r="M119" s="62" t="s">
        <v>335</v>
      </c>
      <c r="N119" s="35" t="s">
        <v>334</v>
      </c>
      <c r="O119" s="14"/>
      <c r="P119" s="448"/>
    </row>
    <row r="120" spans="1:17" ht="28.5" customHeight="1" x14ac:dyDescent="0.2">
      <c r="A120" s="431"/>
      <c r="B120" s="437"/>
      <c r="C120" s="47" t="s">
        <v>195</v>
      </c>
      <c r="D120" s="59" t="s">
        <v>195</v>
      </c>
      <c r="E120" s="47">
        <v>30</v>
      </c>
      <c r="F120" s="47" t="s">
        <v>230</v>
      </c>
      <c r="G120" s="47" t="s">
        <v>336</v>
      </c>
      <c r="H120" s="58">
        <v>6</v>
      </c>
      <c r="I120" s="58"/>
      <c r="J120" s="58">
        <v>6</v>
      </c>
      <c r="K120" s="58">
        <v>6</v>
      </c>
      <c r="L120" s="186">
        <f>MEDIAN(H120*I120,30,0)</f>
        <v>0</v>
      </c>
      <c r="M120" s="58"/>
      <c r="N120" s="35" t="s">
        <v>337</v>
      </c>
      <c r="O120" s="14"/>
      <c r="P120" s="448"/>
    </row>
    <row r="121" spans="1:17" ht="28.5" customHeight="1" x14ac:dyDescent="0.2">
      <c r="A121" s="431"/>
      <c r="B121" s="437"/>
      <c r="C121" s="438" t="s">
        <v>199</v>
      </c>
      <c r="D121" s="59" t="s">
        <v>232</v>
      </c>
      <c r="E121" s="47">
        <v>10</v>
      </c>
      <c r="F121" s="47" t="s">
        <v>233</v>
      </c>
      <c r="G121" s="47" t="s">
        <v>197</v>
      </c>
      <c r="H121" s="62">
        <v>2</v>
      </c>
      <c r="I121" s="62"/>
      <c r="J121" s="62">
        <v>3</v>
      </c>
      <c r="K121" s="62">
        <v>3</v>
      </c>
      <c r="L121" s="186">
        <f>MEDIAN([1]过程数据!$G$8,10,)</f>
        <v>0</v>
      </c>
      <c r="M121" s="62" t="s">
        <v>338</v>
      </c>
      <c r="N121" s="35" t="s">
        <v>234</v>
      </c>
      <c r="O121" s="14"/>
      <c r="P121" s="448"/>
    </row>
    <row r="122" spans="1:17" ht="28.5" customHeight="1" x14ac:dyDescent="0.2">
      <c r="A122" s="431"/>
      <c r="B122" s="437"/>
      <c r="C122" s="438"/>
      <c r="D122" s="59" t="s">
        <v>235</v>
      </c>
      <c r="E122" s="47">
        <v>10</v>
      </c>
      <c r="F122" s="47" t="s">
        <v>236</v>
      </c>
      <c r="G122" s="47" t="s">
        <v>197</v>
      </c>
      <c r="H122" s="62">
        <v>2</v>
      </c>
      <c r="I122" s="62"/>
      <c r="J122" s="62">
        <v>3</v>
      </c>
      <c r="K122" s="62">
        <v>3</v>
      </c>
      <c r="L122" s="186">
        <f>MEDIAN([1]过程数据!$G$17,10,)</f>
        <v>0</v>
      </c>
      <c r="M122" s="62" t="s">
        <v>338</v>
      </c>
      <c r="N122" s="35" t="s">
        <v>234</v>
      </c>
      <c r="O122" s="14"/>
      <c r="P122" s="448"/>
    </row>
    <row r="123" spans="1:17" ht="28.5" customHeight="1" x14ac:dyDescent="0.2">
      <c r="A123" s="431"/>
      <c r="B123" s="437"/>
      <c r="C123" s="438"/>
      <c r="D123" s="59" t="s">
        <v>237</v>
      </c>
      <c r="E123" s="47">
        <v>10</v>
      </c>
      <c r="F123" s="47" t="s">
        <v>238</v>
      </c>
      <c r="G123" s="47" t="s">
        <v>197</v>
      </c>
      <c r="H123" s="62">
        <v>2</v>
      </c>
      <c r="I123" s="62"/>
      <c r="J123" s="62">
        <v>3</v>
      </c>
      <c r="K123" s="62">
        <v>3</v>
      </c>
      <c r="L123" s="186">
        <f>MEDIAN([1]过程数据!$G$26,10,)</f>
        <v>0</v>
      </c>
      <c r="M123" s="62" t="s">
        <v>338</v>
      </c>
      <c r="N123" s="35" t="s">
        <v>234</v>
      </c>
      <c r="O123" s="14"/>
      <c r="P123" s="448"/>
    </row>
    <row r="124" spans="1:17" ht="28.5" customHeight="1" x14ac:dyDescent="0.2">
      <c r="A124" s="431"/>
      <c r="B124" s="437"/>
      <c r="C124" s="438"/>
      <c r="D124" s="59" t="s">
        <v>204</v>
      </c>
      <c r="E124" s="47">
        <v>10</v>
      </c>
      <c r="F124" s="47" t="s">
        <v>239</v>
      </c>
      <c r="G124" s="47" t="s">
        <v>197</v>
      </c>
      <c r="H124" s="62">
        <v>2</v>
      </c>
      <c r="I124" s="62"/>
      <c r="J124" s="62">
        <v>3</v>
      </c>
      <c r="K124" s="62">
        <v>3</v>
      </c>
      <c r="L124" s="186">
        <f>MEDIAN([1]过程数据!$G$36,10,)</f>
        <v>0</v>
      </c>
      <c r="M124" s="62" t="s">
        <v>338</v>
      </c>
      <c r="N124" s="35" t="s">
        <v>234</v>
      </c>
      <c r="O124" s="14"/>
      <c r="P124" s="448"/>
    </row>
    <row r="125" spans="1:17" ht="30.95" customHeight="1" x14ac:dyDescent="0.2">
      <c r="A125" s="431"/>
      <c r="B125" s="437"/>
      <c r="C125" s="438"/>
      <c r="D125" s="59" t="s">
        <v>240</v>
      </c>
      <c r="E125" s="11">
        <v>20</v>
      </c>
      <c r="F125" s="47" t="s">
        <v>241</v>
      </c>
      <c r="G125" s="47" t="s">
        <v>197</v>
      </c>
      <c r="H125" s="62">
        <v>2</v>
      </c>
      <c r="I125" s="62"/>
      <c r="J125" s="62">
        <v>4</v>
      </c>
      <c r="K125" s="62">
        <v>4</v>
      </c>
      <c r="L125" s="186">
        <f>MEDIAN([1]过程数据!$G$46,10,)</f>
        <v>0</v>
      </c>
      <c r="M125" s="62" t="s">
        <v>339</v>
      </c>
      <c r="N125" s="35" t="s">
        <v>234</v>
      </c>
      <c r="O125" s="14"/>
      <c r="P125" s="448"/>
    </row>
    <row r="126" spans="1:17" ht="30.95" customHeight="1" x14ac:dyDescent="0.2">
      <c r="A126" s="431"/>
      <c r="B126" s="437"/>
      <c r="C126" s="438"/>
      <c r="D126" s="59" t="s">
        <v>242</v>
      </c>
      <c r="E126" s="47">
        <v>10</v>
      </c>
      <c r="F126" s="47" t="s">
        <v>243</v>
      </c>
      <c r="G126" s="47" t="s">
        <v>197</v>
      </c>
      <c r="H126" s="62">
        <v>2</v>
      </c>
      <c r="I126" s="62"/>
      <c r="J126" s="62">
        <v>5</v>
      </c>
      <c r="K126" s="62">
        <v>5</v>
      </c>
      <c r="L126" s="186">
        <f>MEDIAN([1]过程数据!$G$56,10,)</f>
        <v>0</v>
      </c>
      <c r="M126" s="62" t="s">
        <v>340</v>
      </c>
      <c r="N126" s="35" t="s">
        <v>234</v>
      </c>
      <c r="O126" s="14"/>
      <c r="P126" s="448"/>
    </row>
    <row r="127" spans="1:17" ht="28.5" customHeight="1" x14ac:dyDescent="0.2">
      <c r="A127" s="432"/>
      <c r="B127" s="437"/>
      <c r="C127" s="438"/>
      <c r="D127" s="47" t="s">
        <v>244</v>
      </c>
      <c r="E127" s="47">
        <v>10</v>
      </c>
      <c r="F127" s="47" t="s">
        <v>245</v>
      </c>
      <c r="G127" s="47" t="s">
        <v>197</v>
      </c>
      <c r="H127" s="62">
        <v>2</v>
      </c>
      <c r="I127" s="62"/>
      <c r="J127" s="62">
        <v>3</v>
      </c>
      <c r="K127" s="62">
        <v>3</v>
      </c>
      <c r="L127" s="187">
        <f>MEDIAN([1]过程数据!$G$66,10,)</f>
        <v>0</v>
      </c>
      <c r="M127" s="62" t="s">
        <v>338</v>
      </c>
      <c r="N127" s="35" t="s">
        <v>234</v>
      </c>
      <c r="O127" s="14"/>
      <c r="P127" s="448"/>
      <c r="Q127" s="104"/>
    </row>
    <row r="128" spans="1:17" ht="19.5" customHeight="1" x14ac:dyDescent="0.2">
      <c r="L128" s="182">
        <f>SUM(L4:L127)</f>
        <v>150</v>
      </c>
    </row>
  </sheetData>
  <autoFilter ref="A3:Q128"/>
  <mergeCells count="188">
    <mergeCell ref="P12:P14"/>
    <mergeCell ref="L65:L71"/>
    <mergeCell ref="L72:L78"/>
    <mergeCell ref="L79:L85"/>
    <mergeCell ref="L86:L90"/>
    <mergeCell ref="L91:L92"/>
    <mergeCell ref="L93:L96"/>
    <mergeCell ref="L97:L98"/>
    <mergeCell ref="L99:L100"/>
    <mergeCell ref="L101:L103"/>
    <mergeCell ref="P15:P18"/>
    <mergeCell ref="P19:P28"/>
    <mergeCell ref="P30:P84"/>
    <mergeCell ref="P86:P92"/>
    <mergeCell ref="P97:P98"/>
    <mergeCell ref="P101:P104"/>
    <mergeCell ref="N99:N100"/>
    <mergeCell ref="N101:N103"/>
    <mergeCell ref="M72:M78"/>
    <mergeCell ref="M79:M85"/>
    <mergeCell ref="P106:P127"/>
    <mergeCell ref="N108:N109"/>
    <mergeCell ref="N111:N113"/>
    <mergeCell ref="N117:N118"/>
    <mergeCell ref="O2:O3"/>
    <mergeCell ref="O12:O14"/>
    <mergeCell ref="O15:O18"/>
    <mergeCell ref="O19:O25"/>
    <mergeCell ref="O26:O28"/>
    <mergeCell ref="O30:O35"/>
    <mergeCell ref="O37:O42"/>
    <mergeCell ref="O44:O49"/>
    <mergeCell ref="O51:O56"/>
    <mergeCell ref="O58:O63"/>
    <mergeCell ref="O65:O70"/>
    <mergeCell ref="O72:O77"/>
    <mergeCell ref="O79:O84"/>
    <mergeCell ref="O86:O90"/>
    <mergeCell ref="O91:O92"/>
    <mergeCell ref="O93:O96"/>
    <mergeCell ref="O97:O98"/>
    <mergeCell ref="O101:O103"/>
    <mergeCell ref="P2:P3"/>
    <mergeCell ref="P4:P10"/>
    <mergeCell ref="M106:M107"/>
    <mergeCell ref="M117:M118"/>
    <mergeCell ref="N2:N3"/>
    <mergeCell ref="N4:N8"/>
    <mergeCell ref="N12:N14"/>
    <mergeCell ref="N15:N18"/>
    <mergeCell ref="N19:N22"/>
    <mergeCell ref="N23:N25"/>
    <mergeCell ref="N26:N29"/>
    <mergeCell ref="N30:N36"/>
    <mergeCell ref="N37:N43"/>
    <mergeCell ref="N44:N50"/>
    <mergeCell ref="N51:N57"/>
    <mergeCell ref="N58:N64"/>
    <mergeCell ref="N65:N71"/>
    <mergeCell ref="N72:N78"/>
    <mergeCell ref="N79:N85"/>
    <mergeCell ref="N86:N87"/>
    <mergeCell ref="N88:N90"/>
    <mergeCell ref="N91:N92"/>
    <mergeCell ref="N93:N96"/>
    <mergeCell ref="N97:N98"/>
    <mergeCell ref="N106:N107"/>
    <mergeCell ref="I2:I3"/>
    <mergeCell ref="I30:I36"/>
    <mergeCell ref="M2:M3"/>
    <mergeCell ref="M30:M36"/>
    <mergeCell ref="M37:M43"/>
    <mergeCell ref="M44:M50"/>
    <mergeCell ref="M51:M57"/>
    <mergeCell ref="M58:M64"/>
    <mergeCell ref="M65:M71"/>
    <mergeCell ref="J2:J3"/>
    <mergeCell ref="J30:J36"/>
    <mergeCell ref="K2:K3"/>
    <mergeCell ref="K30:K36"/>
    <mergeCell ref="L2:L3"/>
    <mergeCell ref="L4:L8"/>
    <mergeCell ref="L12:L14"/>
    <mergeCell ref="L15:L18"/>
    <mergeCell ref="L19:L25"/>
    <mergeCell ref="L26:L29"/>
    <mergeCell ref="L30:L36"/>
    <mergeCell ref="L37:L43"/>
    <mergeCell ref="L44:L50"/>
    <mergeCell ref="L51:L57"/>
    <mergeCell ref="L58:L64"/>
    <mergeCell ref="E99:E100"/>
    <mergeCell ref="E101:E103"/>
    <mergeCell ref="F2:F3"/>
    <mergeCell ref="F4:F8"/>
    <mergeCell ref="F12:F14"/>
    <mergeCell ref="F15:F18"/>
    <mergeCell ref="F19:F25"/>
    <mergeCell ref="F26:F29"/>
    <mergeCell ref="F30:F36"/>
    <mergeCell ref="F37:F43"/>
    <mergeCell ref="F44:F50"/>
    <mergeCell ref="F51:F57"/>
    <mergeCell ref="F58:F64"/>
    <mergeCell ref="F65:F71"/>
    <mergeCell ref="F72:F78"/>
    <mergeCell ref="F79:F85"/>
    <mergeCell ref="F86:F90"/>
    <mergeCell ref="F91:F92"/>
    <mergeCell ref="F93:F96"/>
    <mergeCell ref="F97:F98"/>
    <mergeCell ref="F99:F100"/>
    <mergeCell ref="F101:F103"/>
    <mergeCell ref="E51:E57"/>
    <mergeCell ref="E58:E64"/>
    <mergeCell ref="E65:E71"/>
    <mergeCell ref="E72:E78"/>
    <mergeCell ref="E79:E85"/>
    <mergeCell ref="E86:E90"/>
    <mergeCell ref="E91:E92"/>
    <mergeCell ref="E93:E96"/>
    <mergeCell ref="E97:E98"/>
    <mergeCell ref="E2:E3"/>
    <mergeCell ref="E4:E8"/>
    <mergeCell ref="E12:E14"/>
    <mergeCell ref="E15:E18"/>
    <mergeCell ref="E19:E25"/>
    <mergeCell ref="E26:E29"/>
    <mergeCell ref="E30:E36"/>
    <mergeCell ref="E37:E43"/>
    <mergeCell ref="E44:E50"/>
    <mergeCell ref="C108:C109"/>
    <mergeCell ref="C111:C114"/>
    <mergeCell ref="C115:C116"/>
    <mergeCell ref="C117:C118"/>
    <mergeCell ref="C121:C127"/>
    <mergeCell ref="D2:D3"/>
    <mergeCell ref="D4:D8"/>
    <mergeCell ref="D12:D14"/>
    <mergeCell ref="D15:D18"/>
    <mergeCell ref="D19:D25"/>
    <mergeCell ref="D26:D29"/>
    <mergeCell ref="D30:D36"/>
    <mergeCell ref="D37:D43"/>
    <mergeCell ref="D44:D50"/>
    <mergeCell ref="D51:D57"/>
    <mergeCell ref="D58:D64"/>
    <mergeCell ref="D65:D71"/>
    <mergeCell ref="D72:D78"/>
    <mergeCell ref="D79:D85"/>
    <mergeCell ref="D86:D90"/>
    <mergeCell ref="D91:D92"/>
    <mergeCell ref="D93:D96"/>
    <mergeCell ref="D99:D100"/>
    <mergeCell ref="D101:D103"/>
    <mergeCell ref="C44:C57"/>
    <mergeCell ref="C58:C85"/>
    <mergeCell ref="C86:C90"/>
    <mergeCell ref="C91:C92"/>
    <mergeCell ref="C93:C96"/>
    <mergeCell ref="C97:C98"/>
    <mergeCell ref="C99:C100"/>
    <mergeCell ref="C101:C103"/>
    <mergeCell ref="C106:C107"/>
    <mergeCell ref="A1:G1"/>
    <mergeCell ref="G2:H2"/>
    <mergeCell ref="A2:A3"/>
    <mergeCell ref="A4:A18"/>
    <mergeCell ref="A19:A29"/>
    <mergeCell ref="A30:A96"/>
    <mergeCell ref="A97:A105"/>
    <mergeCell ref="A106:A116"/>
    <mergeCell ref="A117:A127"/>
    <mergeCell ref="B2:B3"/>
    <mergeCell ref="B4:B18"/>
    <mergeCell ref="B19:B29"/>
    <mergeCell ref="B30:B96"/>
    <mergeCell ref="B97:B105"/>
    <mergeCell ref="B106:B116"/>
    <mergeCell ref="B117:B127"/>
    <mergeCell ref="C2:C3"/>
    <mergeCell ref="C4:C10"/>
    <mergeCell ref="C12:C14"/>
    <mergeCell ref="C15:C18"/>
    <mergeCell ref="C19:C25"/>
    <mergeCell ref="C26:C29"/>
    <mergeCell ref="C30:C36"/>
    <mergeCell ref="C37:C43"/>
  </mergeCells>
  <phoneticPr fontId="23"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8"/>
  <sheetViews>
    <sheetView zoomScale="110" zoomScaleNormal="110" workbookViewId="0">
      <pane xSplit="6" ySplit="3" topLeftCell="G100" activePane="bottomRight" state="frozen"/>
      <selection activeCell="G56" sqref="G56:G61"/>
      <selection pane="topRight" activeCell="G56" sqref="G56:G61"/>
      <selection pane="bottomLeft" activeCell="G56" sqref="G56:G61"/>
      <selection pane="bottomRight" activeCell="G56" sqref="G56:G61"/>
    </sheetView>
  </sheetViews>
  <sheetFormatPr defaultColWidth="9" defaultRowHeight="12.75" x14ac:dyDescent="0.2"/>
  <cols>
    <col min="1" max="1" width="5.25" style="2" customWidth="1"/>
    <col min="2" max="2" width="4.5" style="2" customWidth="1"/>
    <col min="3" max="3" width="8.25" style="2" customWidth="1"/>
    <col min="4" max="4" width="12.125" style="2" customWidth="1"/>
    <col min="5" max="5" width="6.25" style="2" customWidth="1"/>
    <col min="6" max="6" width="18.125" style="2" customWidth="1"/>
    <col min="7" max="7" width="14.75" style="2" customWidth="1"/>
    <col min="8" max="8" width="7.5" style="2" customWidth="1"/>
    <col min="9" max="10" width="10.25" style="2" customWidth="1"/>
    <col min="11" max="11" width="9.5" style="182" customWidth="1"/>
    <col min="12" max="12" width="14.375" style="2" customWidth="1"/>
    <col min="13" max="13" width="23.625" style="4" customWidth="1"/>
    <col min="14" max="14" width="10.25" style="2" hidden="1" customWidth="1"/>
    <col min="15" max="15" width="12" style="4" hidden="1" customWidth="1"/>
    <col min="16" max="16" width="18.25" style="64" customWidth="1"/>
    <col min="17" max="16384" width="9" style="2"/>
  </cols>
  <sheetData>
    <row r="1" spans="1:15" s="64" customFormat="1" ht="21" customHeight="1" x14ac:dyDescent="0.2">
      <c r="A1" s="422" t="s">
        <v>246</v>
      </c>
      <c r="B1" s="422"/>
      <c r="C1" s="422"/>
      <c r="D1" s="422"/>
      <c r="E1" s="422"/>
      <c r="F1" s="422"/>
      <c r="G1" s="422"/>
      <c r="H1" s="6"/>
      <c r="I1" s="6"/>
      <c r="J1" s="6"/>
      <c r="K1" s="182"/>
      <c r="L1" s="6"/>
      <c r="M1" s="4"/>
      <c r="N1" s="2"/>
      <c r="O1" s="4"/>
    </row>
    <row r="2" spans="1:15" s="64" customFormat="1" ht="16.5" customHeight="1" x14ac:dyDescent="0.2">
      <c r="A2" s="503" t="s">
        <v>371</v>
      </c>
      <c r="B2" s="423" t="s">
        <v>2</v>
      </c>
      <c r="C2" s="504" t="s">
        <v>372</v>
      </c>
      <c r="D2" s="423" t="s">
        <v>4</v>
      </c>
      <c r="E2" s="449" t="s">
        <v>5</v>
      </c>
      <c r="F2" s="423" t="s">
        <v>6</v>
      </c>
      <c r="G2" s="505" t="s">
        <v>351</v>
      </c>
      <c r="H2" s="506"/>
      <c r="I2" s="456" t="s">
        <v>247</v>
      </c>
      <c r="J2" s="71"/>
      <c r="K2" s="467" t="s">
        <v>344</v>
      </c>
      <c r="L2" s="456" t="s">
        <v>248</v>
      </c>
      <c r="M2" s="481" t="s">
        <v>8</v>
      </c>
      <c r="N2" s="490" t="s">
        <v>9</v>
      </c>
      <c r="O2" s="481" t="s">
        <v>10</v>
      </c>
    </row>
    <row r="3" spans="1:15" s="64" customFormat="1" ht="18.75" customHeight="1" x14ac:dyDescent="0.2">
      <c r="A3" s="425"/>
      <c r="B3" s="423"/>
      <c r="C3" s="423"/>
      <c r="D3" s="423"/>
      <c r="E3" s="449"/>
      <c r="F3" s="423"/>
      <c r="G3" s="41" t="s">
        <v>11</v>
      </c>
      <c r="H3" s="199" t="s">
        <v>352</v>
      </c>
      <c r="I3" s="457"/>
      <c r="J3" s="72"/>
      <c r="K3" s="468"/>
      <c r="L3" s="457"/>
      <c r="M3" s="482"/>
      <c r="N3" s="490"/>
      <c r="O3" s="482"/>
    </row>
    <row r="4" spans="1:15" s="64" customFormat="1" ht="18" customHeight="1" x14ac:dyDescent="0.2">
      <c r="A4" s="507" t="s">
        <v>354</v>
      </c>
      <c r="B4" s="426">
        <v>110</v>
      </c>
      <c r="C4" s="507" t="s">
        <v>373</v>
      </c>
      <c r="D4" s="426" t="s">
        <v>15</v>
      </c>
      <c r="E4" s="437">
        <v>30</v>
      </c>
      <c r="F4" s="426" t="s">
        <v>16</v>
      </c>
      <c r="G4" s="43" t="s">
        <v>17</v>
      </c>
      <c r="H4" s="44">
        <v>10</v>
      </c>
      <c r="I4" s="44">
        <v>10</v>
      </c>
      <c r="J4" s="44"/>
      <c r="K4" s="469">
        <f>IF(G4="高中及以下",10,IF(G4="中专",10,IF(G4="大专非统招",15,IF(G4="大专统招",20,IF(G4="本科非统招",25,IF(G4="本科以上非统招",25,IF(G4="本科统招",30,IF(G4="本科以上统招",30,))))))))</f>
        <v>0</v>
      </c>
      <c r="L4" s="44"/>
      <c r="M4" s="430" t="s">
        <v>38</v>
      </c>
      <c r="N4" s="73"/>
      <c r="O4" s="430" t="s">
        <v>19</v>
      </c>
    </row>
    <row r="5" spans="1:15" s="64" customFormat="1" ht="18" customHeight="1" x14ac:dyDescent="0.2">
      <c r="A5" s="426"/>
      <c r="B5" s="426"/>
      <c r="C5" s="426"/>
      <c r="D5" s="426"/>
      <c r="E5" s="437"/>
      <c r="F5" s="426"/>
      <c r="G5" s="43" t="s">
        <v>20</v>
      </c>
      <c r="H5" s="44">
        <v>15</v>
      </c>
      <c r="I5" s="44">
        <v>15</v>
      </c>
      <c r="J5" s="44"/>
      <c r="K5" s="469"/>
      <c r="L5" s="44"/>
      <c r="M5" s="431"/>
      <c r="N5" s="74"/>
      <c r="O5" s="431"/>
    </row>
    <row r="6" spans="1:15" s="64" customFormat="1" ht="18" customHeight="1" x14ac:dyDescent="0.2">
      <c r="A6" s="426"/>
      <c r="B6" s="426"/>
      <c r="C6" s="426"/>
      <c r="D6" s="426"/>
      <c r="E6" s="437"/>
      <c r="F6" s="426"/>
      <c r="G6" s="43" t="s">
        <v>22</v>
      </c>
      <c r="H6" s="44">
        <v>20</v>
      </c>
      <c r="I6" s="44">
        <v>20</v>
      </c>
      <c r="J6" s="44"/>
      <c r="K6" s="469"/>
      <c r="L6" s="44"/>
      <c r="M6" s="431"/>
      <c r="N6" s="74"/>
      <c r="O6" s="431"/>
    </row>
    <row r="7" spans="1:15" s="64" customFormat="1" ht="24.75" customHeight="1" x14ac:dyDescent="0.2">
      <c r="A7" s="426"/>
      <c r="B7" s="426"/>
      <c r="C7" s="426"/>
      <c r="D7" s="426"/>
      <c r="E7" s="437"/>
      <c r="F7" s="426"/>
      <c r="G7" s="43" t="s">
        <v>249</v>
      </c>
      <c r="H7" s="44">
        <v>25</v>
      </c>
      <c r="I7" s="44">
        <v>25</v>
      </c>
      <c r="J7" s="44"/>
      <c r="K7" s="469"/>
      <c r="L7" s="44"/>
      <c r="M7" s="431"/>
      <c r="N7" s="74"/>
      <c r="O7" s="431"/>
    </row>
    <row r="8" spans="1:15" s="64" customFormat="1" ht="18" customHeight="1" x14ac:dyDescent="0.2">
      <c r="A8" s="426"/>
      <c r="B8" s="426"/>
      <c r="C8" s="426"/>
      <c r="D8" s="426"/>
      <c r="E8" s="437"/>
      <c r="F8" s="426"/>
      <c r="G8" s="43" t="s">
        <v>250</v>
      </c>
      <c r="H8" s="44">
        <v>30</v>
      </c>
      <c r="I8" s="44">
        <v>30</v>
      </c>
      <c r="J8" s="44"/>
      <c r="K8" s="469"/>
      <c r="L8" s="44"/>
      <c r="M8" s="431"/>
      <c r="N8" s="74"/>
      <c r="O8" s="431"/>
    </row>
    <row r="9" spans="1:15" s="64" customFormat="1" ht="29.25" customHeight="1" x14ac:dyDescent="0.2">
      <c r="A9" s="426"/>
      <c r="B9" s="426"/>
      <c r="C9" s="426"/>
      <c r="D9" s="43" t="s">
        <v>28</v>
      </c>
      <c r="E9" s="14">
        <v>5</v>
      </c>
      <c r="F9" s="43" t="s">
        <v>251</v>
      </c>
      <c r="G9" s="43" t="s">
        <v>252</v>
      </c>
      <c r="H9" s="44">
        <v>5</v>
      </c>
      <c r="I9" s="44">
        <v>5</v>
      </c>
      <c r="J9" s="44"/>
      <c r="K9" s="183">
        <f>IF(G9="特长生",5,0)</f>
        <v>0</v>
      </c>
      <c r="L9" s="44"/>
      <c r="M9" s="22" t="s">
        <v>38</v>
      </c>
      <c r="N9" s="75" t="s">
        <v>31</v>
      </c>
      <c r="O9" s="431"/>
    </row>
    <row r="10" spans="1:15" s="64" customFormat="1" ht="21.75" customHeight="1" x14ac:dyDescent="0.2">
      <c r="A10" s="426"/>
      <c r="B10" s="426"/>
      <c r="C10" s="426"/>
      <c r="D10" s="201" t="s">
        <v>355</v>
      </c>
      <c r="E10" s="14">
        <v>10</v>
      </c>
      <c r="F10" s="43" t="s">
        <v>251</v>
      </c>
      <c r="G10" s="43" t="s">
        <v>33</v>
      </c>
      <c r="H10" s="44">
        <v>5</v>
      </c>
      <c r="I10" s="44">
        <v>10</v>
      </c>
      <c r="J10" s="44"/>
      <c r="K10" s="183">
        <f>IF(G10="退伍军人",5,IF(G10="党员",5,IF(G10="退伍军人，党员",10,)))</f>
        <v>0</v>
      </c>
      <c r="L10" s="44"/>
      <c r="M10" s="22" t="s">
        <v>38</v>
      </c>
      <c r="N10" s="76"/>
      <c r="O10" s="432"/>
    </row>
    <row r="11" spans="1:15" s="64" customFormat="1" ht="34.5" customHeight="1" x14ac:dyDescent="0.2">
      <c r="A11" s="426"/>
      <c r="B11" s="426"/>
      <c r="C11" s="200" t="s">
        <v>374</v>
      </c>
      <c r="D11" s="200" t="s">
        <v>356</v>
      </c>
      <c r="E11" s="65">
        <v>40</v>
      </c>
      <c r="F11" s="52" t="s">
        <v>36</v>
      </c>
      <c r="G11" s="54" t="s">
        <v>37</v>
      </c>
      <c r="H11" s="66">
        <v>6</v>
      </c>
      <c r="I11" s="66">
        <v>1</v>
      </c>
      <c r="J11" s="66"/>
      <c r="K11" s="183" t="e">
        <f>MEDIAN(G11/12*F11,30,0)</f>
        <v>#VALUE!</v>
      </c>
      <c r="L11" s="172" t="s">
        <v>370</v>
      </c>
      <c r="M11" s="54" t="s">
        <v>38</v>
      </c>
      <c r="N11" s="52" t="s">
        <v>39</v>
      </c>
      <c r="O11" s="54" t="s">
        <v>19</v>
      </c>
    </row>
    <row r="12" spans="1:15" s="64" customFormat="1" ht="18" customHeight="1" x14ac:dyDescent="0.2">
      <c r="A12" s="426"/>
      <c r="B12" s="426"/>
      <c r="C12" s="426" t="s">
        <v>40</v>
      </c>
      <c r="D12" s="426" t="s">
        <v>41</v>
      </c>
      <c r="E12" s="450">
        <v>10</v>
      </c>
      <c r="F12" s="426" t="s">
        <v>42</v>
      </c>
      <c r="G12" s="43" t="s">
        <v>253</v>
      </c>
      <c r="H12" s="44">
        <v>10</v>
      </c>
      <c r="I12" s="44">
        <v>5</v>
      </c>
      <c r="J12" s="44"/>
      <c r="K12" s="469">
        <f>IF(G12="杭州经纪人证",10,IF(G12="全国协理证",15,IF(G12="全国经纪人证",20,)))</f>
        <v>0</v>
      </c>
      <c r="L12" s="44"/>
      <c r="M12" s="430" t="s">
        <v>38</v>
      </c>
      <c r="N12" s="439" t="s">
        <v>38</v>
      </c>
      <c r="O12" s="430" t="s">
        <v>19</v>
      </c>
    </row>
    <row r="13" spans="1:15" s="64" customFormat="1" ht="18" customHeight="1" x14ac:dyDescent="0.2">
      <c r="A13" s="426"/>
      <c r="B13" s="426"/>
      <c r="C13" s="426"/>
      <c r="D13" s="426"/>
      <c r="E13" s="450"/>
      <c r="F13" s="426"/>
      <c r="G13" s="43" t="s">
        <v>254</v>
      </c>
      <c r="H13" s="44">
        <v>15</v>
      </c>
      <c r="I13" s="44">
        <v>8</v>
      </c>
      <c r="J13" s="44"/>
      <c r="K13" s="469"/>
      <c r="L13" s="44"/>
      <c r="M13" s="431"/>
      <c r="N13" s="440"/>
      <c r="O13" s="431"/>
    </row>
    <row r="14" spans="1:15" s="64" customFormat="1" ht="18" customHeight="1" x14ac:dyDescent="0.2">
      <c r="A14" s="426"/>
      <c r="B14" s="426"/>
      <c r="C14" s="426"/>
      <c r="D14" s="426"/>
      <c r="E14" s="450"/>
      <c r="F14" s="426"/>
      <c r="G14" s="43" t="s">
        <v>255</v>
      </c>
      <c r="H14" s="44">
        <v>20</v>
      </c>
      <c r="I14" s="44">
        <v>10</v>
      </c>
      <c r="J14" s="44"/>
      <c r="K14" s="469"/>
      <c r="L14" s="44"/>
      <c r="M14" s="432"/>
      <c r="N14" s="491"/>
      <c r="O14" s="432"/>
    </row>
    <row r="15" spans="1:15" s="64" customFormat="1" ht="18" customHeight="1" x14ac:dyDescent="0.2">
      <c r="A15" s="426"/>
      <c r="B15" s="426"/>
      <c r="C15" s="426" t="s">
        <v>46</v>
      </c>
      <c r="D15" s="426" t="s">
        <v>47</v>
      </c>
      <c r="E15" s="448">
        <v>15</v>
      </c>
      <c r="F15" s="426" t="s">
        <v>48</v>
      </c>
      <c r="G15" s="43" t="s">
        <v>256</v>
      </c>
      <c r="H15" s="44">
        <v>20</v>
      </c>
      <c r="I15" s="44">
        <v>15</v>
      </c>
      <c r="J15" s="44"/>
      <c r="K15" s="469">
        <f>IF(G15&gt;90,20,IF(G15&gt;=80,0,-10))</f>
        <v>20</v>
      </c>
      <c r="L15" s="44"/>
      <c r="M15" s="430" t="s">
        <v>50</v>
      </c>
      <c r="N15" s="430" t="s">
        <v>51</v>
      </c>
      <c r="O15" s="430" t="s">
        <v>52</v>
      </c>
    </row>
    <row r="16" spans="1:15" s="64" customFormat="1" ht="35.25" customHeight="1" x14ac:dyDescent="0.2">
      <c r="A16" s="426"/>
      <c r="B16" s="426"/>
      <c r="C16" s="426"/>
      <c r="D16" s="426"/>
      <c r="E16" s="448"/>
      <c r="F16" s="426"/>
      <c r="G16" s="67" t="s">
        <v>257</v>
      </c>
      <c r="H16" s="44" t="s">
        <v>258</v>
      </c>
      <c r="I16" s="9">
        <v>10</v>
      </c>
      <c r="J16" s="9"/>
      <c r="K16" s="469"/>
      <c r="L16" s="9" t="s">
        <v>259</v>
      </c>
      <c r="M16" s="431"/>
      <c r="N16" s="431"/>
      <c r="O16" s="431"/>
    </row>
    <row r="17" spans="1:16" ht="18" customHeight="1" x14ac:dyDescent="0.2">
      <c r="A17" s="426"/>
      <c r="B17" s="426"/>
      <c r="C17" s="426"/>
      <c r="D17" s="426"/>
      <c r="E17" s="448"/>
      <c r="F17" s="426"/>
      <c r="G17" s="43" t="s">
        <v>53</v>
      </c>
      <c r="H17" s="44">
        <v>0</v>
      </c>
      <c r="I17" s="44">
        <v>0</v>
      </c>
      <c r="J17" s="44"/>
      <c r="K17" s="469"/>
      <c r="L17" s="44"/>
      <c r="M17" s="431"/>
      <c r="N17" s="431"/>
      <c r="O17" s="431"/>
    </row>
    <row r="18" spans="1:16" ht="18" customHeight="1" x14ac:dyDescent="0.2">
      <c r="A18" s="426"/>
      <c r="B18" s="426"/>
      <c r="C18" s="426"/>
      <c r="D18" s="426"/>
      <c r="E18" s="448"/>
      <c r="F18" s="426"/>
      <c r="G18" s="43" t="s">
        <v>55</v>
      </c>
      <c r="H18" s="44">
        <v>-10</v>
      </c>
      <c r="I18" s="44">
        <v>-10</v>
      </c>
      <c r="J18" s="44"/>
      <c r="K18" s="469"/>
      <c r="L18" s="44"/>
      <c r="M18" s="432"/>
      <c r="N18" s="432"/>
      <c r="O18" s="432"/>
    </row>
    <row r="19" spans="1:16" ht="18" customHeight="1" x14ac:dyDescent="0.2">
      <c r="A19" s="427" t="s">
        <v>57</v>
      </c>
      <c r="B19" s="433">
        <v>100</v>
      </c>
      <c r="C19" s="433" t="s">
        <v>58</v>
      </c>
      <c r="D19" s="439" t="s">
        <v>59</v>
      </c>
      <c r="E19" s="451">
        <v>40</v>
      </c>
      <c r="F19" s="426" t="s">
        <v>60</v>
      </c>
      <c r="G19" s="47" t="s">
        <v>61</v>
      </c>
      <c r="H19" s="48">
        <v>-2</v>
      </c>
      <c r="I19" s="48">
        <v>-2</v>
      </c>
      <c r="J19" s="188"/>
      <c r="K19" s="470" t="e">
        <f>C19+F19*G19+F20*G20+F21*G21+F22*G22+F23*G23+F24*G24+F25*G25</f>
        <v>#VALUE!</v>
      </c>
      <c r="L19" s="48"/>
      <c r="M19" s="483" t="s">
        <v>63</v>
      </c>
      <c r="N19" s="430" t="s">
        <v>64</v>
      </c>
      <c r="O19" s="430" t="s">
        <v>65</v>
      </c>
    </row>
    <row r="20" spans="1:16" ht="18" customHeight="1" x14ac:dyDescent="0.2">
      <c r="A20" s="428"/>
      <c r="B20" s="434"/>
      <c r="C20" s="434"/>
      <c r="D20" s="440"/>
      <c r="E20" s="452"/>
      <c r="F20" s="426"/>
      <c r="G20" s="47" t="s">
        <v>66</v>
      </c>
      <c r="H20" s="48">
        <v>-5</v>
      </c>
      <c r="I20" s="48">
        <v>-5</v>
      </c>
      <c r="J20" s="189"/>
      <c r="K20" s="471"/>
      <c r="L20" s="48"/>
      <c r="M20" s="484"/>
      <c r="N20" s="431"/>
      <c r="O20" s="431"/>
    </row>
    <row r="21" spans="1:16" ht="21.75" customHeight="1" x14ac:dyDescent="0.2">
      <c r="A21" s="428"/>
      <c r="B21" s="434"/>
      <c r="C21" s="434"/>
      <c r="D21" s="440"/>
      <c r="E21" s="452"/>
      <c r="F21" s="426"/>
      <c r="G21" s="47" t="s">
        <v>68</v>
      </c>
      <c r="H21" s="48">
        <v>-10</v>
      </c>
      <c r="I21" s="48">
        <v>-10</v>
      </c>
      <c r="J21" s="189"/>
      <c r="K21" s="471"/>
      <c r="L21" s="48"/>
      <c r="M21" s="484"/>
      <c r="N21" s="431"/>
      <c r="O21" s="431"/>
    </row>
    <row r="22" spans="1:16" ht="21.75" customHeight="1" x14ac:dyDescent="0.2">
      <c r="A22" s="428"/>
      <c r="B22" s="434"/>
      <c r="C22" s="434"/>
      <c r="D22" s="440"/>
      <c r="E22" s="452"/>
      <c r="F22" s="426"/>
      <c r="G22" s="47" t="s">
        <v>69</v>
      </c>
      <c r="H22" s="48">
        <v>-10</v>
      </c>
      <c r="I22" s="48">
        <v>-10</v>
      </c>
      <c r="J22" s="189"/>
      <c r="K22" s="471"/>
      <c r="L22" s="48"/>
      <c r="M22" s="485"/>
      <c r="N22" s="431"/>
      <c r="O22" s="431"/>
    </row>
    <row r="23" spans="1:16" ht="18" customHeight="1" x14ac:dyDescent="0.2">
      <c r="A23" s="428"/>
      <c r="B23" s="434"/>
      <c r="C23" s="434"/>
      <c r="D23" s="440"/>
      <c r="E23" s="452"/>
      <c r="F23" s="426"/>
      <c r="G23" s="13" t="s">
        <v>70</v>
      </c>
      <c r="H23" s="48">
        <v>-10</v>
      </c>
      <c r="I23" s="48">
        <v>-10</v>
      </c>
      <c r="J23" s="189"/>
      <c r="K23" s="471"/>
      <c r="L23" s="48"/>
      <c r="M23" s="483" t="s">
        <v>63</v>
      </c>
      <c r="N23" s="431"/>
      <c r="O23" s="431"/>
    </row>
    <row r="24" spans="1:16" ht="18" customHeight="1" x14ac:dyDescent="0.2">
      <c r="A24" s="428"/>
      <c r="B24" s="434"/>
      <c r="C24" s="434"/>
      <c r="D24" s="440"/>
      <c r="E24" s="452"/>
      <c r="F24" s="426"/>
      <c r="G24" s="13" t="s">
        <v>71</v>
      </c>
      <c r="H24" s="48">
        <v>-10</v>
      </c>
      <c r="I24" s="48">
        <v>-10</v>
      </c>
      <c r="J24" s="189"/>
      <c r="K24" s="471"/>
      <c r="L24" s="48"/>
      <c r="M24" s="484"/>
      <c r="N24" s="431"/>
      <c r="O24" s="431"/>
    </row>
    <row r="25" spans="1:16" ht="18" customHeight="1" x14ac:dyDescent="0.2">
      <c r="A25" s="428"/>
      <c r="B25" s="434"/>
      <c r="C25" s="435"/>
      <c r="D25" s="440"/>
      <c r="E25" s="453"/>
      <c r="F25" s="426"/>
      <c r="G25" s="47" t="s">
        <v>72</v>
      </c>
      <c r="H25" s="48">
        <v>-20</v>
      </c>
      <c r="I25" s="48">
        <v>-20</v>
      </c>
      <c r="J25" s="190"/>
      <c r="K25" s="472"/>
      <c r="L25" s="48"/>
      <c r="M25" s="485"/>
      <c r="N25" s="431"/>
      <c r="O25" s="431"/>
    </row>
    <row r="26" spans="1:16" ht="18" customHeight="1" x14ac:dyDescent="0.2">
      <c r="A26" s="428"/>
      <c r="B26" s="434"/>
      <c r="C26" s="433" t="s">
        <v>74</v>
      </c>
      <c r="D26" s="433" t="s">
        <v>74</v>
      </c>
      <c r="E26" s="430">
        <v>60</v>
      </c>
      <c r="F26" s="434" t="s">
        <v>60</v>
      </c>
      <c r="G26" s="13" t="s">
        <v>75</v>
      </c>
      <c r="H26" s="48">
        <v>-10</v>
      </c>
      <c r="I26" s="48">
        <v>-10</v>
      </c>
      <c r="J26" s="188"/>
      <c r="K26" s="473" t="e">
        <f>C26+F26*G26+F27*G27+F28*G28+F29*G29</f>
        <v>#VALUE!</v>
      </c>
      <c r="L26" s="48"/>
      <c r="M26" s="483" t="s">
        <v>77</v>
      </c>
      <c r="N26" s="430" t="s">
        <v>78</v>
      </c>
      <c r="O26" s="431"/>
    </row>
    <row r="27" spans="1:16" ht="18" customHeight="1" x14ac:dyDescent="0.2">
      <c r="A27" s="428"/>
      <c r="B27" s="434"/>
      <c r="C27" s="434"/>
      <c r="D27" s="434"/>
      <c r="E27" s="431"/>
      <c r="F27" s="434"/>
      <c r="G27" s="13" t="s">
        <v>79</v>
      </c>
      <c r="H27" s="48">
        <v>-15</v>
      </c>
      <c r="I27" s="48">
        <v>-15</v>
      </c>
      <c r="J27" s="189"/>
      <c r="K27" s="474"/>
      <c r="L27" s="48"/>
      <c r="M27" s="484"/>
      <c r="N27" s="431"/>
      <c r="O27" s="431"/>
    </row>
    <row r="28" spans="1:16" ht="18" customHeight="1" x14ac:dyDescent="0.2">
      <c r="A28" s="428"/>
      <c r="B28" s="434"/>
      <c r="C28" s="434"/>
      <c r="D28" s="434"/>
      <c r="E28" s="431"/>
      <c r="F28" s="434"/>
      <c r="G28" s="47" t="s">
        <v>81</v>
      </c>
      <c r="H28" s="48">
        <v>-20</v>
      </c>
      <c r="I28" s="48">
        <v>-20</v>
      </c>
      <c r="J28" s="189"/>
      <c r="K28" s="474"/>
      <c r="L28" s="48"/>
      <c r="M28" s="484"/>
      <c r="N28" s="432"/>
      <c r="O28" s="432"/>
    </row>
    <row r="29" spans="1:16" ht="18" customHeight="1" x14ac:dyDescent="0.2">
      <c r="A29" s="429"/>
      <c r="B29" s="435"/>
      <c r="C29" s="435"/>
      <c r="D29" s="435"/>
      <c r="E29" s="432"/>
      <c r="F29" s="435"/>
      <c r="G29" s="50" t="s">
        <v>82</v>
      </c>
      <c r="H29" s="48">
        <v>-10</v>
      </c>
      <c r="I29" s="48">
        <v>-10</v>
      </c>
      <c r="J29" s="190"/>
      <c r="K29" s="475"/>
      <c r="L29" s="48"/>
      <c r="M29" s="485"/>
      <c r="N29" s="22" t="s">
        <v>83</v>
      </c>
      <c r="O29" s="17"/>
      <c r="P29" s="77"/>
    </row>
    <row r="30" spans="1:16" ht="15" customHeight="1" x14ac:dyDescent="0.2">
      <c r="A30" s="508" t="s">
        <v>375</v>
      </c>
      <c r="B30" s="433">
        <v>100</v>
      </c>
      <c r="C30" s="426" t="s">
        <v>123</v>
      </c>
      <c r="D30" s="444" t="s">
        <v>124</v>
      </c>
      <c r="E30" s="437">
        <v>60</v>
      </c>
      <c r="F30" s="454" t="s">
        <v>125</v>
      </c>
      <c r="G30" s="43" t="s">
        <v>126</v>
      </c>
      <c r="H30" s="44">
        <v>-5</v>
      </c>
      <c r="I30" s="44">
        <v>-5</v>
      </c>
      <c r="J30" s="192"/>
      <c r="K30" s="476">
        <f>MEDIAN([1]官网6个月!$G$8,20,0)</f>
        <v>0</v>
      </c>
      <c r="L30" s="44"/>
      <c r="M30" s="430" t="s">
        <v>63</v>
      </c>
      <c r="N30" s="433" t="s">
        <v>127</v>
      </c>
      <c r="O30" s="448" t="s">
        <v>128</v>
      </c>
    </row>
    <row r="31" spans="1:16" ht="15" customHeight="1" x14ac:dyDescent="0.2">
      <c r="A31" s="434"/>
      <c r="B31" s="434"/>
      <c r="C31" s="426"/>
      <c r="D31" s="444"/>
      <c r="E31" s="437"/>
      <c r="F31" s="455"/>
      <c r="G31" s="43" t="s">
        <v>129</v>
      </c>
      <c r="H31" s="44">
        <v>-8</v>
      </c>
      <c r="I31" s="44">
        <v>-8</v>
      </c>
      <c r="J31" s="193"/>
      <c r="K31" s="477"/>
      <c r="L31" s="44"/>
      <c r="M31" s="432"/>
      <c r="N31" s="434"/>
      <c r="O31" s="448"/>
    </row>
    <row r="32" spans="1:16" ht="15" customHeight="1" x14ac:dyDescent="0.2">
      <c r="A32" s="434"/>
      <c r="B32" s="434"/>
      <c r="C32" s="426"/>
      <c r="D32" s="444"/>
      <c r="E32" s="437"/>
      <c r="F32" s="455"/>
      <c r="G32" s="43" t="s">
        <v>131</v>
      </c>
      <c r="H32" s="44">
        <v>-10</v>
      </c>
      <c r="I32" s="44">
        <v>-10</v>
      </c>
      <c r="J32" s="193"/>
      <c r="K32" s="477"/>
      <c r="L32" s="44"/>
      <c r="M32" s="483" t="s">
        <v>77</v>
      </c>
      <c r="N32" s="434"/>
      <c r="O32" s="448"/>
    </row>
    <row r="33" spans="1:16" ht="15" customHeight="1" x14ac:dyDescent="0.2">
      <c r="A33" s="434"/>
      <c r="B33" s="434"/>
      <c r="C33" s="426"/>
      <c r="D33" s="444"/>
      <c r="E33" s="437"/>
      <c r="F33" s="455"/>
      <c r="G33" s="43" t="s">
        <v>132</v>
      </c>
      <c r="H33" s="44">
        <v>-15</v>
      </c>
      <c r="I33" s="44">
        <v>-15</v>
      </c>
      <c r="J33" s="193"/>
      <c r="K33" s="477"/>
      <c r="L33" s="44"/>
      <c r="M33" s="484"/>
      <c r="N33" s="434"/>
      <c r="O33" s="448"/>
    </row>
    <row r="34" spans="1:16" ht="15" customHeight="1" x14ac:dyDescent="0.2">
      <c r="A34" s="434"/>
      <c r="B34" s="434"/>
      <c r="C34" s="426"/>
      <c r="D34" s="444"/>
      <c r="E34" s="437"/>
      <c r="F34" s="455"/>
      <c r="G34" s="43" t="s">
        <v>133</v>
      </c>
      <c r="H34" s="44">
        <v>-20</v>
      </c>
      <c r="I34" s="44">
        <v>-20</v>
      </c>
      <c r="J34" s="193"/>
      <c r="K34" s="477"/>
      <c r="L34" s="44"/>
      <c r="M34" s="485"/>
      <c r="N34" s="434"/>
      <c r="O34" s="448"/>
    </row>
    <row r="35" spans="1:16" ht="21" customHeight="1" x14ac:dyDescent="0.2">
      <c r="A35" s="434"/>
      <c r="B35" s="434"/>
      <c r="C35" s="433" t="s">
        <v>134</v>
      </c>
      <c r="D35" s="433" t="s">
        <v>135</v>
      </c>
      <c r="E35" s="430">
        <v>20</v>
      </c>
      <c r="F35" s="433" t="s">
        <v>303</v>
      </c>
      <c r="G35" s="43" t="s">
        <v>304</v>
      </c>
      <c r="H35" s="44">
        <v>10</v>
      </c>
      <c r="I35" s="44">
        <v>10</v>
      </c>
      <c r="J35" s="193"/>
      <c r="K35" s="477"/>
      <c r="L35" s="44"/>
      <c r="M35" s="430" t="s">
        <v>104</v>
      </c>
      <c r="N35" s="439" t="s">
        <v>305</v>
      </c>
      <c r="O35" s="448"/>
    </row>
    <row r="36" spans="1:16" ht="24" customHeight="1" x14ac:dyDescent="0.2">
      <c r="A36" s="434"/>
      <c r="B36" s="434"/>
      <c r="C36" s="434"/>
      <c r="D36" s="434"/>
      <c r="E36" s="431"/>
      <c r="F36" s="434"/>
      <c r="G36" s="43" t="s">
        <v>306</v>
      </c>
      <c r="H36" s="44">
        <v>5</v>
      </c>
      <c r="I36" s="44">
        <v>5</v>
      </c>
      <c r="J36" s="194"/>
      <c r="K36" s="478"/>
      <c r="L36" s="44"/>
      <c r="M36" s="432"/>
      <c r="N36" s="440"/>
      <c r="O36" s="448"/>
    </row>
    <row r="37" spans="1:16" ht="21" customHeight="1" x14ac:dyDescent="0.2">
      <c r="A37" s="434"/>
      <c r="B37" s="434"/>
      <c r="C37" s="426" t="s">
        <v>139</v>
      </c>
      <c r="D37" s="426" t="s">
        <v>139</v>
      </c>
      <c r="E37" s="448">
        <v>20</v>
      </c>
      <c r="F37" s="433" t="s">
        <v>140</v>
      </c>
      <c r="G37" s="53" t="s">
        <v>307</v>
      </c>
      <c r="H37" s="22">
        <v>20</v>
      </c>
      <c r="I37" s="22">
        <v>20</v>
      </c>
      <c r="J37" s="16"/>
      <c r="K37" s="476">
        <f>MEDIAN([1]官网6个月!$G$17,20,0)</f>
        <v>0</v>
      </c>
      <c r="L37" s="22"/>
      <c r="M37" s="430" t="s">
        <v>38</v>
      </c>
      <c r="N37" s="448" t="s">
        <v>308</v>
      </c>
      <c r="O37" s="94"/>
    </row>
    <row r="38" spans="1:16" ht="21" customHeight="1" x14ac:dyDescent="0.2">
      <c r="A38" s="434"/>
      <c r="B38" s="434"/>
      <c r="C38" s="426"/>
      <c r="D38" s="426"/>
      <c r="E38" s="448"/>
      <c r="F38" s="434"/>
      <c r="G38" s="53" t="s">
        <v>309</v>
      </c>
      <c r="H38" s="22">
        <v>10</v>
      </c>
      <c r="I38" s="22">
        <v>10</v>
      </c>
      <c r="J38" s="17"/>
      <c r="K38" s="477"/>
      <c r="L38" s="22"/>
      <c r="M38" s="431"/>
      <c r="N38" s="448"/>
      <c r="O38" s="94"/>
    </row>
    <row r="39" spans="1:16" ht="21" customHeight="1" x14ac:dyDescent="0.2">
      <c r="A39" s="434"/>
      <c r="B39" s="434"/>
      <c r="C39" s="426"/>
      <c r="D39" s="426"/>
      <c r="E39" s="448"/>
      <c r="F39" s="434"/>
      <c r="G39" s="14" t="s">
        <v>310</v>
      </c>
      <c r="H39" s="22">
        <v>0</v>
      </c>
      <c r="I39" s="22">
        <v>0</v>
      </c>
      <c r="J39" s="17"/>
      <c r="K39" s="477"/>
      <c r="L39" s="22"/>
      <c r="M39" s="431"/>
      <c r="N39" s="448"/>
      <c r="O39" s="94"/>
    </row>
    <row r="40" spans="1:16" ht="21" customHeight="1" x14ac:dyDescent="0.2">
      <c r="A40" s="435"/>
      <c r="B40" s="435"/>
      <c r="C40" s="426"/>
      <c r="D40" s="426"/>
      <c r="E40" s="448"/>
      <c r="F40" s="435"/>
      <c r="G40" s="33" t="s">
        <v>145</v>
      </c>
      <c r="H40" s="54">
        <v>-10</v>
      </c>
      <c r="I40" s="54">
        <v>-10</v>
      </c>
      <c r="J40" s="210"/>
      <c r="K40" s="477"/>
      <c r="L40" s="54"/>
      <c r="M40" s="432"/>
      <c r="N40" s="448"/>
      <c r="O40" s="95" t="s">
        <v>146</v>
      </c>
      <c r="P40" s="77"/>
    </row>
    <row r="41" spans="1:16" ht="21" customHeight="1" x14ac:dyDescent="0.2">
      <c r="A41" s="427" t="s">
        <v>147</v>
      </c>
      <c r="B41" s="426">
        <v>100</v>
      </c>
      <c r="C41" s="426" t="s">
        <v>148</v>
      </c>
      <c r="D41" s="43" t="s">
        <v>149</v>
      </c>
      <c r="E41" s="430">
        <v>30</v>
      </c>
      <c r="F41" s="433" t="s">
        <v>150</v>
      </c>
      <c r="G41" s="46" t="s">
        <v>151</v>
      </c>
      <c r="H41" s="22">
        <v>10</v>
      </c>
      <c r="I41" s="22">
        <v>10</v>
      </c>
      <c r="J41" s="17"/>
      <c r="K41" s="477"/>
      <c r="L41" s="22"/>
      <c r="M41" s="430" t="s">
        <v>104</v>
      </c>
      <c r="N41" s="439" t="s">
        <v>38</v>
      </c>
      <c r="O41" s="448" t="s">
        <v>152</v>
      </c>
    </row>
    <row r="42" spans="1:16" ht="21" customHeight="1" x14ac:dyDescent="0.2">
      <c r="A42" s="428"/>
      <c r="B42" s="426"/>
      <c r="C42" s="426"/>
      <c r="D42" s="43" t="s">
        <v>153</v>
      </c>
      <c r="E42" s="431"/>
      <c r="F42" s="435"/>
      <c r="G42" s="46" t="s">
        <v>151</v>
      </c>
      <c r="H42" s="22">
        <v>5</v>
      </c>
      <c r="I42" s="22">
        <v>5</v>
      </c>
      <c r="J42" s="17"/>
      <c r="K42" s="477"/>
      <c r="L42" s="17"/>
      <c r="M42" s="432"/>
      <c r="N42" s="440"/>
      <c r="O42" s="448"/>
    </row>
    <row r="43" spans="1:16" ht="21.75" customHeight="1" x14ac:dyDescent="0.2">
      <c r="A43" s="428"/>
      <c r="B43" s="426"/>
      <c r="C43" s="433" t="s">
        <v>154</v>
      </c>
      <c r="D43" s="433" t="s">
        <v>155</v>
      </c>
      <c r="E43" s="430">
        <v>10</v>
      </c>
      <c r="F43" s="433" t="s">
        <v>156</v>
      </c>
      <c r="G43" s="43" t="s">
        <v>311</v>
      </c>
      <c r="H43" s="22">
        <v>2</v>
      </c>
      <c r="I43" s="22">
        <v>2</v>
      </c>
      <c r="J43" s="18"/>
      <c r="K43" s="478"/>
      <c r="L43" s="22"/>
      <c r="M43" s="430" t="s">
        <v>112</v>
      </c>
      <c r="N43" s="14" t="s">
        <v>312</v>
      </c>
      <c r="O43" s="96"/>
    </row>
    <row r="44" spans="1:16" ht="18" customHeight="1" x14ac:dyDescent="0.2">
      <c r="A44" s="428"/>
      <c r="B44" s="426"/>
      <c r="C44" s="434"/>
      <c r="D44" s="434"/>
      <c r="E44" s="431"/>
      <c r="F44" s="434"/>
      <c r="G44" s="49" t="s">
        <v>159</v>
      </c>
      <c r="H44" s="22">
        <v>1</v>
      </c>
      <c r="I44" s="22">
        <v>1</v>
      </c>
      <c r="J44" s="16"/>
      <c r="K44" s="476">
        <f>MEDIAN([1]官网6个月!$G$26,20,0)</f>
        <v>0</v>
      </c>
      <c r="L44" s="22"/>
      <c r="M44" s="432"/>
      <c r="N44" s="14" t="s">
        <v>38</v>
      </c>
      <c r="O44" s="96"/>
    </row>
    <row r="45" spans="1:16" ht="18" customHeight="1" x14ac:dyDescent="0.2">
      <c r="A45" s="428"/>
      <c r="B45" s="426"/>
      <c r="C45" s="426" t="s">
        <v>160</v>
      </c>
      <c r="D45" s="426" t="s">
        <v>161</v>
      </c>
      <c r="E45" s="448">
        <v>20</v>
      </c>
      <c r="F45" s="448" t="s">
        <v>162</v>
      </c>
      <c r="G45" s="43" t="s">
        <v>163</v>
      </c>
      <c r="H45" s="22">
        <v>2</v>
      </c>
      <c r="I45" s="22">
        <v>2</v>
      </c>
      <c r="J45" s="17"/>
      <c r="K45" s="477"/>
      <c r="L45" s="22"/>
      <c r="M45" s="430" t="s">
        <v>104</v>
      </c>
      <c r="N45" s="439" t="s">
        <v>38</v>
      </c>
      <c r="O45" s="430" t="s">
        <v>164</v>
      </c>
    </row>
    <row r="46" spans="1:16" ht="21" customHeight="1" x14ac:dyDescent="0.2">
      <c r="A46" s="428"/>
      <c r="B46" s="426"/>
      <c r="C46" s="426"/>
      <c r="D46" s="426"/>
      <c r="E46" s="448"/>
      <c r="F46" s="448"/>
      <c r="G46" s="43" t="s">
        <v>313</v>
      </c>
      <c r="H46" s="22">
        <v>5</v>
      </c>
      <c r="I46" s="22">
        <v>5</v>
      </c>
      <c r="J46" s="17"/>
      <c r="K46" s="477"/>
      <c r="L46" s="22"/>
      <c r="M46" s="431"/>
      <c r="N46" s="440"/>
      <c r="O46" s="431"/>
    </row>
    <row r="47" spans="1:16" ht="21" customHeight="1" x14ac:dyDescent="0.2">
      <c r="A47" s="428"/>
      <c r="B47" s="426"/>
      <c r="C47" s="426"/>
      <c r="D47" s="426"/>
      <c r="E47" s="448"/>
      <c r="F47" s="448"/>
      <c r="G47" s="43" t="s">
        <v>314</v>
      </c>
      <c r="H47" s="22">
        <v>5</v>
      </c>
      <c r="I47" s="22">
        <v>5</v>
      </c>
      <c r="J47" s="17"/>
      <c r="K47" s="477"/>
      <c r="L47" s="22"/>
      <c r="M47" s="432"/>
      <c r="N47" s="491"/>
      <c r="O47" s="431"/>
    </row>
    <row r="48" spans="1:16" ht="21" customHeight="1" x14ac:dyDescent="0.2">
      <c r="A48" s="428"/>
      <c r="B48" s="426"/>
      <c r="C48" s="14" t="s">
        <v>167</v>
      </c>
      <c r="D48" s="43" t="s">
        <v>167</v>
      </c>
      <c r="E48" s="22">
        <v>30</v>
      </c>
      <c r="F48" s="43" t="s">
        <v>168</v>
      </c>
      <c r="G48" s="43" t="s">
        <v>163</v>
      </c>
      <c r="H48" s="22">
        <v>10</v>
      </c>
      <c r="I48" s="22">
        <v>10</v>
      </c>
      <c r="J48" s="17"/>
      <c r="K48" s="477"/>
      <c r="L48" s="16"/>
      <c r="M48" s="22" t="s">
        <v>104</v>
      </c>
      <c r="N48" s="10" t="s">
        <v>38</v>
      </c>
      <c r="O48" s="431"/>
    </row>
    <row r="49" spans="1:16" ht="28.5" customHeight="1" x14ac:dyDescent="0.2">
      <c r="A49" s="428"/>
      <c r="B49" s="426"/>
      <c r="C49" s="43" t="s">
        <v>169</v>
      </c>
      <c r="D49" s="43" t="s">
        <v>170</v>
      </c>
      <c r="E49" s="22">
        <v>10</v>
      </c>
      <c r="F49" s="43" t="s">
        <v>171</v>
      </c>
      <c r="G49" s="43" t="s">
        <v>172</v>
      </c>
      <c r="H49" s="22">
        <v>10</v>
      </c>
      <c r="I49" s="22">
        <v>10</v>
      </c>
      <c r="J49" s="17"/>
      <c r="K49" s="477"/>
      <c r="L49" s="16"/>
      <c r="M49" s="22" t="s">
        <v>104</v>
      </c>
      <c r="N49" s="16" t="s">
        <v>173</v>
      </c>
      <c r="O49" s="16" t="s">
        <v>174</v>
      </c>
      <c r="P49" s="77"/>
    </row>
    <row r="50" spans="1:16" ht="15" customHeight="1" x14ac:dyDescent="0.2">
      <c r="A50" s="196" t="s">
        <v>84</v>
      </c>
      <c r="B50" s="433">
        <v>280</v>
      </c>
      <c r="C50" s="433" t="s">
        <v>96</v>
      </c>
      <c r="D50" s="508" t="s">
        <v>380</v>
      </c>
      <c r="E50" s="433">
        <v>30</v>
      </c>
      <c r="F50" s="433" t="s">
        <v>266</v>
      </c>
      <c r="G50" s="14" t="s">
        <v>267</v>
      </c>
      <c r="H50" s="32"/>
      <c r="I50" s="32" t="s">
        <v>268</v>
      </c>
      <c r="J50" s="211"/>
      <c r="K50" s="478"/>
      <c r="L50" s="462" t="s">
        <v>269</v>
      </c>
      <c r="M50" s="430"/>
      <c r="N50" s="433" t="s">
        <v>100</v>
      </c>
      <c r="O50" s="431"/>
    </row>
    <row r="51" spans="1:16" ht="15" customHeight="1" x14ac:dyDescent="0.2">
      <c r="A51" s="197"/>
      <c r="B51" s="434"/>
      <c r="C51" s="434"/>
      <c r="D51" s="434"/>
      <c r="E51" s="434"/>
      <c r="F51" s="434"/>
      <c r="G51" s="14"/>
      <c r="H51" s="32"/>
      <c r="I51" s="32"/>
      <c r="J51" s="191"/>
      <c r="K51" s="476">
        <f>MEDIAN([1]官网6个月!$G$35,20,0)</f>
        <v>0</v>
      </c>
      <c r="L51" s="462"/>
      <c r="M51" s="431"/>
      <c r="N51" s="434"/>
      <c r="O51" s="431"/>
    </row>
    <row r="52" spans="1:16" ht="15" customHeight="1" x14ac:dyDescent="0.2">
      <c r="A52" s="197"/>
      <c r="B52" s="434"/>
      <c r="C52" s="434"/>
      <c r="D52" s="434"/>
      <c r="E52" s="434"/>
      <c r="F52" s="434"/>
      <c r="G52" s="14"/>
      <c r="H52" s="32"/>
      <c r="I52" s="32"/>
      <c r="J52" s="173"/>
      <c r="K52" s="477"/>
      <c r="L52" s="462"/>
      <c r="M52" s="431"/>
      <c r="N52" s="434"/>
      <c r="O52" s="431"/>
    </row>
    <row r="53" spans="1:16" ht="15" customHeight="1" x14ac:dyDescent="0.2">
      <c r="A53" s="197"/>
      <c r="B53" s="434"/>
      <c r="C53" s="434"/>
      <c r="D53" s="434"/>
      <c r="E53" s="434"/>
      <c r="F53" s="434"/>
      <c r="G53" s="14"/>
      <c r="H53" s="32"/>
      <c r="I53" s="32"/>
      <c r="J53" s="173"/>
      <c r="K53" s="477"/>
      <c r="L53" s="462"/>
      <c r="M53" s="431"/>
      <c r="N53" s="434"/>
      <c r="O53" s="431"/>
    </row>
    <row r="54" spans="1:16" ht="15" customHeight="1" x14ac:dyDescent="0.2">
      <c r="A54" s="197"/>
      <c r="B54" s="434"/>
      <c r="C54" s="434"/>
      <c r="D54" s="434"/>
      <c r="E54" s="434"/>
      <c r="F54" s="434"/>
      <c r="G54" s="14"/>
      <c r="H54" s="32"/>
      <c r="I54" s="32"/>
      <c r="J54" s="173"/>
      <c r="K54" s="477"/>
      <c r="L54" s="462"/>
      <c r="M54" s="431"/>
      <c r="N54" s="434"/>
      <c r="O54" s="431"/>
    </row>
    <row r="55" spans="1:16" ht="15" customHeight="1" x14ac:dyDescent="0.2">
      <c r="A55" s="197"/>
      <c r="B55" s="434"/>
      <c r="C55" s="434"/>
      <c r="D55" s="434"/>
      <c r="E55" s="434"/>
      <c r="F55" s="434"/>
      <c r="G55" s="14"/>
      <c r="H55" s="32"/>
      <c r="I55" s="32"/>
      <c r="J55" s="173"/>
      <c r="K55" s="477"/>
      <c r="L55" s="462"/>
      <c r="M55" s="431"/>
      <c r="N55" s="435"/>
      <c r="O55" s="431"/>
    </row>
    <row r="56" spans="1:16" ht="15" customHeight="1" x14ac:dyDescent="0.2">
      <c r="A56" s="197"/>
      <c r="B56" s="434"/>
      <c r="C56" s="435"/>
      <c r="D56" s="435"/>
      <c r="E56" s="435"/>
      <c r="F56" s="435"/>
      <c r="G56" s="14"/>
      <c r="H56" s="68"/>
      <c r="I56" s="68"/>
      <c r="J56" s="174"/>
      <c r="K56" s="477"/>
      <c r="L56" s="462"/>
      <c r="M56" s="432"/>
      <c r="N56" s="49"/>
      <c r="O56" s="431"/>
      <c r="P56" s="79"/>
    </row>
    <row r="57" spans="1:16" ht="15" customHeight="1" x14ac:dyDescent="0.2">
      <c r="A57" s="197"/>
      <c r="B57" s="434"/>
      <c r="C57" s="433" t="s">
        <v>101</v>
      </c>
      <c r="D57" s="508" t="s">
        <v>349</v>
      </c>
      <c r="E57" s="433">
        <v>20</v>
      </c>
      <c r="F57" s="433" t="s">
        <v>272</v>
      </c>
      <c r="G57" s="34" t="s">
        <v>273</v>
      </c>
      <c r="H57" s="69">
        <v>3</v>
      </c>
      <c r="I57" s="80">
        <v>20</v>
      </c>
      <c r="J57" s="212"/>
      <c r="K57" s="478"/>
      <c r="L57" s="458" t="s">
        <v>274</v>
      </c>
      <c r="M57" s="433" t="s">
        <v>275</v>
      </c>
      <c r="N57" s="433" t="s">
        <v>276</v>
      </c>
      <c r="O57" s="431"/>
    </row>
    <row r="58" spans="1:16" ht="15" customHeight="1" x14ac:dyDescent="0.2">
      <c r="A58" s="197"/>
      <c r="B58" s="434"/>
      <c r="C58" s="434"/>
      <c r="D58" s="434"/>
      <c r="E58" s="434"/>
      <c r="F58" s="434"/>
      <c r="G58" s="34" t="s">
        <v>277</v>
      </c>
      <c r="H58" s="69">
        <v>2.5</v>
      </c>
      <c r="I58" s="80">
        <v>10</v>
      </c>
      <c r="J58" s="175"/>
      <c r="K58" s="476">
        <f>MEDIAN([1]官网6个月!$G$45,10,0)</f>
        <v>0</v>
      </c>
      <c r="L58" s="459"/>
      <c r="M58" s="434"/>
      <c r="N58" s="434"/>
      <c r="O58" s="431"/>
    </row>
    <row r="59" spans="1:16" ht="15" customHeight="1" x14ac:dyDescent="0.2">
      <c r="A59" s="197"/>
      <c r="B59" s="434"/>
      <c r="C59" s="434"/>
      <c r="D59" s="434"/>
      <c r="E59" s="434"/>
      <c r="F59" s="434"/>
      <c r="G59" s="34" t="s">
        <v>278</v>
      </c>
      <c r="H59" s="69">
        <v>2</v>
      </c>
      <c r="I59" s="80">
        <v>5</v>
      </c>
      <c r="J59" s="176"/>
      <c r="K59" s="477"/>
      <c r="L59" s="459"/>
      <c r="M59" s="434"/>
      <c r="N59" s="434"/>
      <c r="O59" s="431"/>
    </row>
    <row r="60" spans="1:16" ht="15" customHeight="1" x14ac:dyDescent="0.2">
      <c r="A60" s="197"/>
      <c r="B60" s="434"/>
      <c r="C60" s="434"/>
      <c r="D60" s="434"/>
      <c r="E60" s="434"/>
      <c r="F60" s="434"/>
      <c r="G60" s="34"/>
      <c r="H60" s="69"/>
      <c r="I60" s="80"/>
      <c r="J60" s="176"/>
      <c r="K60" s="477"/>
      <c r="L60" s="459"/>
      <c r="M60" s="434"/>
      <c r="N60" s="434"/>
      <c r="O60" s="431"/>
    </row>
    <row r="61" spans="1:16" ht="15" customHeight="1" x14ac:dyDescent="0.2">
      <c r="A61" s="197"/>
      <c r="B61" s="434"/>
      <c r="C61" s="434"/>
      <c r="D61" s="434"/>
      <c r="E61" s="434"/>
      <c r="F61" s="434"/>
      <c r="G61" s="34" t="s">
        <v>279</v>
      </c>
      <c r="H61" s="69">
        <v>1</v>
      </c>
      <c r="I61" s="80">
        <v>0</v>
      </c>
      <c r="J61" s="176"/>
      <c r="K61" s="477"/>
      <c r="L61" s="459"/>
      <c r="M61" s="434"/>
      <c r="N61" s="434"/>
      <c r="O61" s="431"/>
    </row>
    <row r="62" spans="1:16" ht="15" customHeight="1" x14ac:dyDescent="0.2">
      <c r="A62" s="197"/>
      <c r="B62" s="434"/>
      <c r="C62" s="434"/>
      <c r="D62" s="434"/>
      <c r="E62" s="434"/>
      <c r="F62" s="434"/>
      <c r="G62" s="14"/>
      <c r="H62" s="32">
        <v>0.5</v>
      </c>
      <c r="I62" s="37">
        <v>1</v>
      </c>
      <c r="J62" s="177"/>
      <c r="K62" s="477"/>
      <c r="L62" s="459"/>
      <c r="M62" s="434"/>
      <c r="N62" s="435"/>
      <c r="O62" s="431"/>
    </row>
    <row r="63" spans="1:16" ht="15" customHeight="1" x14ac:dyDescent="0.2">
      <c r="A63" s="197"/>
      <c r="B63" s="434"/>
      <c r="C63" s="434"/>
      <c r="D63" s="435"/>
      <c r="E63" s="435"/>
      <c r="F63" s="435"/>
      <c r="G63" s="14"/>
      <c r="H63" s="68">
        <v>0</v>
      </c>
      <c r="I63" s="68">
        <v>0</v>
      </c>
      <c r="J63" s="174"/>
      <c r="K63" s="477"/>
      <c r="L63" s="460"/>
      <c r="M63" s="435"/>
      <c r="N63" s="49"/>
      <c r="O63" s="431"/>
      <c r="P63" s="79"/>
    </row>
    <row r="64" spans="1:16" ht="15" customHeight="1" x14ac:dyDescent="0.2">
      <c r="A64" s="197"/>
      <c r="B64" s="434"/>
      <c r="C64" s="434"/>
      <c r="D64" s="508" t="s">
        <v>350</v>
      </c>
      <c r="E64" s="433">
        <v>30</v>
      </c>
      <c r="F64" s="433" t="s">
        <v>107</v>
      </c>
      <c r="G64" s="34" t="s">
        <v>273</v>
      </c>
      <c r="H64" s="69">
        <v>3</v>
      </c>
      <c r="I64" s="80">
        <v>20</v>
      </c>
      <c r="J64" s="176"/>
      <c r="K64" s="477"/>
      <c r="L64" s="458" t="s">
        <v>274</v>
      </c>
      <c r="M64" s="433" t="s">
        <v>275</v>
      </c>
      <c r="N64" s="426" t="s">
        <v>280</v>
      </c>
      <c r="O64" s="431"/>
    </row>
    <row r="65" spans="1:16" ht="15" customHeight="1" x14ac:dyDescent="0.2">
      <c r="A65" s="197"/>
      <c r="B65" s="434"/>
      <c r="C65" s="434"/>
      <c r="D65" s="434"/>
      <c r="E65" s="434"/>
      <c r="F65" s="434"/>
      <c r="G65" s="34" t="s">
        <v>277</v>
      </c>
      <c r="H65" s="69">
        <v>2.5</v>
      </c>
      <c r="I65" s="80">
        <v>10</v>
      </c>
      <c r="J65" s="175"/>
      <c r="K65" s="476">
        <f>MEDIAN([1]官网6个月!$G$55,10,0)</f>
        <v>0</v>
      </c>
      <c r="L65" s="459"/>
      <c r="M65" s="434"/>
      <c r="N65" s="426"/>
      <c r="O65" s="431"/>
    </row>
    <row r="66" spans="1:16" ht="15" customHeight="1" x14ac:dyDescent="0.2">
      <c r="A66" s="197"/>
      <c r="B66" s="434"/>
      <c r="C66" s="434"/>
      <c r="D66" s="434"/>
      <c r="E66" s="434"/>
      <c r="F66" s="434"/>
      <c r="G66" s="34" t="s">
        <v>281</v>
      </c>
      <c r="H66" s="69">
        <v>2</v>
      </c>
      <c r="I66" s="80">
        <v>5</v>
      </c>
      <c r="J66" s="176"/>
      <c r="K66" s="477"/>
      <c r="L66" s="459"/>
      <c r="M66" s="434"/>
      <c r="N66" s="426"/>
      <c r="O66" s="431"/>
    </row>
    <row r="67" spans="1:16" ht="15" customHeight="1" x14ac:dyDescent="0.2">
      <c r="A67" s="197"/>
      <c r="B67" s="434"/>
      <c r="C67" s="434"/>
      <c r="D67" s="434"/>
      <c r="E67" s="434"/>
      <c r="F67" s="434"/>
      <c r="G67" s="34"/>
      <c r="H67" s="69"/>
      <c r="I67" s="80">
        <v>3</v>
      </c>
      <c r="J67" s="176"/>
      <c r="K67" s="477"/>
      <c r="L67" s="459"/>
      <c r="M67" s="434"/>
      <c r="N67" s="426"/>
      <c r="O67" s="431"/>
    </row>
    <row r="68" spans="1:16" ht="15" customHeight="1" x14ac:dyDescent="0.2">
      <c r="A68" s="197"/>
      <c r="B68" s="434"/>
      <c r="C68" s="434"/>
      <c r="D68" s="434"/>
      <c r="E68" s="434"/>
      <c r="F68" s="434"/>
      <c r="G68" s="34" t="s">
        <v>282</v>
      </c>
      <c r="H68" s="69">
        <v>1</v>
      </c>
      <c r="I68" s="80"/>
      <c r="J68" s="176"/>
      <c r="K68" s="477"/>
      <c r="L68" s="459"/>
      <c r="M68" s="434"/>
      <c r="N68" s="426"/>
      <c r="O68" s="431"/>
    </row>
    <row r="69" spans="1:16" ht="15" customHeight="1" x14ac:dyDescent="0.2">
      <c r="A69" s="197"/>
      <c r="B69" s="434"/>
      <c r="C69" s="434"/>
      <c r="D69" s="434"/>
      <c r="E69" s="434"/>
      <c r="F69" s="434"/>
      <c r="G69" s="14"/>
      <c r="H69" s="32">
        <v>0.5</v>
      </c>
      <c r="I69" s="37">
        <v>1</v>
      </c>
      <c r="J69" s="177"/>
      <c r="K69" s="477"/>
      <c r="L69" s="459"/>
      <c r="M69" s="434"/>
      <c r="N69" s="426"/>
      <c r="O69" s="431"/>
    </row>
    <row r="70" spans="1:16" ht="15" customHeight="1" x14ac:dyDescent="0.2">
      <c r="A70" s="197"/>
      <c r="B70" s="434"/>
      <c r="C70" s="434"/>
      <c r="D70" s="435"/>
      <c r="E70" s="435"/>
      <c r="F70" s="435"/>
      <c r="G70" s="14"/>
      <c r="H70" s="68">
        <v>0</v>
      </c>
      <c r="I70" s="68">
        <v>0</v>
      </c>
      <c r="J70" s="174"/>
      <c r="K70" s="477"/>
      <c r="L70" s="460"/>
      <c r="M70" s="435"/>
      <c r="N70" s="49"/>
      <c r="O70" s="431"/>
      <c r="P70" s="79"/>
    </row>
    <row r="71" spans="1:16" ht="15" customHeight="1" x14ac:dyDescent="0.2">
      <c r="A71" s="197"/>
      <c r="B71" s="434"/>
      <c r="C71" s="434" t="s">
        <v>109</v>
      </c>
      <c r="D71" s="509" t="s">
        <v>347</v>
      </c>
      <c r="E71" s="441">
        <v>15</v>
      </c>
      <c r="F71" s="441" t="s">
        <v>284</v>
      </c>
      <c r="G71" s="34"/>
      <c r="H71" s="69">
        <v>1.5</v>
      </c>
      <c r="I71" s="80">
        <v>3</v>
      </c>
      <c r="J71" s="212"/>
      <c r="K71" s="478"/>
      <c r="L71" s="463" t="s">
        <v>274</v>
      </c>
      <c r="M71" s="441" t="s">
        <v>275</v>
      </c>
      <c r="N71" s="433" t="s">
        <v>285</v>
      </c>
      <c r="O71" s="431"/>
      <c r="P71" s="81" t="s">
        <v>286</v>
      </c>
    </row>
    <row r="72" spans="1:16" ht="15" customHeight="1" x14ac:dyDescent="0.2">
      <c r="A72" s="197"/>
      <c r="B72" s="434"/>
      <c r="C72" s="434"/>
      <c r="D72" s="442"/>
      <c r="E72" s="442"/>
      <c r="F72" s="442"/>
      <c r="G72" s="34"/>
      <c r="H72" s="69">
        <v>1.4</v>
      </c>
      <c r="I72" s="80">
        <v>2.5</v>
      </c>
      <c r="J72" s="175"/>
      <c r="K72" s="476">
        <f>MEDIAN([1]官网6个月!$G$64,45,0)</f>
        <v>0</v>
      </c>
      <c r="L72" s="464"/>
      <c r="M72" s="442"/>
      <c r="N72" s="434"/>
      <c r="O72" s="431"/>
    </row>
    <row r="73" spans="1:16" ht="15" customHeight="1" x14ac:dyDescent="0.2">
      <c r="A73" s="197"/>
      <c r="B73" s="434"/>
      <c r="C73" s="434"/>
      <c r="D73" s="442"/>
      <c r="E73" s="442"/>
      <c r="F73" s="442"/>
      <c r="G73" s="34"/>
      <c r="H73" s="69">
        <v>1</v>
      </c>
      <c r="I73" s="80">
        <v>2</v>
      </c>
      <c r="J73" s="176"/>
      <c r="K73" s="477"/>
      <c r="L73" s="464"/>
      <c r="M73" s="442"/>
      <c r="N73" s="434"/>
      <c r="O73" s="431"/>
    </row>
    <row r="74" spans="1:16" ht="15" customHeight="1" x14ac:dyDescent="0.2">
      <c r="A74" s="197"/>
      <c r="B74" s="434"/>
      <c r="C74" s="434"/>
      <c r="D74" s="442"/>
      <c r="E74" s="442"/>
      <c r="F74" s="442"/>
      <c r="G74" s="34"/>
      <c r="H74" s="69">
        <v>0.8</v>
      </c>
      <c r="I74" s="80">
        <v>1.5</v>
      </c>
      <c r="J74" s="176"/>
      <c r="K74" s="477"/>
      <c r="L74" s="464"/>
      <c r="M74" s="442"/>
      <c r="N74" s="434"/>
      <c r="O74" s="431"/>
    </row>
    <row r="75" spans="1:16" ht="15" customHeight="1" x14ac:dyDescent="0.2">
      <c r="A75" s="197"/>
      <c r="B75" s="434"/>
      <c r="C75" s="434"/>
      <c r="D75" s="442"/>
      <c r="E75" s="442"/>
      <c r="F75" s="442"/>
      <c r="G75" s="34"/>
      <c r="H75" s="69">
        <v>0.5</v>
      </c>
      <c r="I75" s="80">
        <v>1</v>
      </c>
      <c r="J75" s="176"/>
      <c r="K75" s="477"/>
      <c r="L75" s="464"/>
      <c r="M75" s="442"/>
      <c r="N75" s="434"/>
      <c r="O75" s="431"/>
    </row>
    <row r="76" spans="1:16" ht="15" customHeight="1" x14ac:dyDescent="0.2">
      <c r="A76" s="197"/>
      <c r="B76" s="434"/>
      <c r="C76" s="434"/>
      <c r="D76" s="442"/>
      <c r="E76" s="442"/>
      <c r="F76" s="442"/>
      <c r="G76" s="34"/>
      <c r="H76" s="69">
        <v>0.2</v>
      </c>
      <c r="I76" s="80">
        <v>0.5</v>
      </c>
      <c r="J76" s="176"/>
      <c r="K76" s="477"/>
      <c r="L76" s="464"/>
      <c r="M76" s="442"/>
      <c r="N76" s="435"/>
      <c r="O76" s="431"/>
    </row>
    <row r="77" spans="1:16" ht="15" customHeight="1" x14ac:dyDescent="0.2">
      <c r="A77" s="197"/>
      <c r="B77" s="434"/>
      <c r="C77" s="434"/>
      <c r="D77" s="443"/>
      <c r="E77" s="443"/>
      <c r="F77" s="443"/>
      <c r="G77" s="34"/>
      <c r="H77" s="70">
        <v>0</v>
      </c>
      <c r="I77" s="70">
        <v>0</v>
      </c>
      <c r="J77" s="181"/>
      <c r="K77" s="477"/>
      <c r="L77" s="465"/>
      <c r="M77" s="443"/>
      <c r="N77" s="49"/>
      <c r="O77" s="431"/>
      <c r="P77" s="79"/>
    </row>
    <row r="78" spans="1:16" ht="15" customHeight="1" x14ac:dyDescent="0.2">
      <c r="A78" s="197"/>
      <c r="B78" s="434"/>
      <c r="C78" s="434"/>
      <c r="D78" s="441" t="s">
        <v>114</v>
      </c>
      <c r="E78" s="441">
        <v>20</v>
      </c>
      <c r="F78" s="441" t="s">
        <v>288</v>
      </c>
      <c r="G78" s="34"/>
      <c r="H78" s="69">
        <v>1.5</v>
      </c>
      <c r="I78" s="80">
        <v>3</v>
      </c>
      <c r="J78" s="212"/>
      <c r="K78" s="478"/>
      <c r="L78" s="463" t="s">
        <v>274</v>
      </c>
      <c r="M78" s="441" t="s">
        <v>275</v>
      </c>
      <c r="N78" s="433" t="s">
        <v>289</v>
      </c>
      <c r="O78" s="431"/>
      <c r="P78" s="88" t="s">
        <v>286</v>
      </c>
    </row>
    <row r="79" spans="1:16" ht="15" customHeight="1" x14ac:dyDescent="0.2">
      <c r="A79" s="197"/>
      <c r="B79" s="434"/>
      <c r="C79" s="434"/>
      <c r="D79" s="442"/>
      <c r="E79" s="442"/>
      <c r="F79" s="442"/>
      <c r="G79" s="34"/>
      <c r="H79" s="69">
        <v>1.4</v>
      </c>
      <c r="I79" s="80">
        <v>2.5</v>
      </c>
      <c r="J79" s="175"/>
      <c r="K79" s="476">
        <f>MEDIAN([1]官网6个月!$G$74,15,0)</f>
        <v>0</v>
      </c>
      <c r="L79" s="464"/>
      <c r="M79" s="442"/>
      <c r="N79" s="434"/>
      <c r="O79" s="431"/>
    </row>
    <row r="80" spans="1:16" ht="15" customHeight="1" x14ac:dyDescent="0.2">
      <c r="A80" s="197"/>
      <c r="B80" s="434"/>
      <c r="C80" s="434"/>
      <c r="D80" s="442"/>
      <c r="E80" s="442"/>
      <c r="F80" s="442"/>
      <c r="G80" s="34"/>
      <c r="H80" s="69">
        <v>1</v>
      </c>
      <c r="I80" s="80">
        <v>2</v>
      </c>
      <c r="J80" s="176"/>
      <c r="K80" s="477"/>
      <c r="L80" s="464"/>
      <c r="M80" s="442"/>
      <c r="N80" s="434"/>
      <c r="O80" s="431"/>
    </row>
    <row r="81" spans="1:17" ht="15" customHeight="1" x14ac:dyDescent="0.2">
      <c r="A81" s="197"/>
      <c r="B81" s="434"/>
      <c r="C81" s="434"/>
      <c r="D81" s="442"/>
      <c r="E81" s="442"/>
      <c r="F81" s="442"/>
      <c r="G81" s="34"/>
      <c r="H81" s="69">
        <v>0.8</v>
      </c>
      <c r="I81" s="80">
        <v>1.5</v>
      </c>
      <c r="J81" s="176"/>
      <c r="K81" s="477"/>
      <c r="L81" s="464"/>
      <c r="M81" s="442"/>
      <c r="N81" s="434"/>
      <c r="O81" s="431"/>
    </row>
    <row r="82" spans="1:17" ht="15" customHeight="1" x14ac:dyDescent="0.2">
      <c r="A82" s="197"/>
      <c r="B82" s="434"/>
      <c r="C82" s="434"/>
      <c r="D82" s="442"/>
      <c r="E82" s="442"/>
      <c r="F82" s="442"/>
      <c r="G82" s="34"/>
      <c r="H82" s="69">
        <v>0.5</v>
      </c>
      <c r="I82" s="80">
        <v>1</v>
      </c>
      <c r="J82" s="176"/>
      <c r="K82" s="477"/>
      <c r="L82" s="464"/>
      <c r="M82" s="442"/>
      <c r="N82" s="434"/>
      <c r="O82" s="431"/>
    </row>
    <row r="83" spans="1:17" ht="15" customHeight="1" x14ac:dyDescent="0.2">
      <c r="A83" s="197"/>
      <c r="B83" s="434"/>
      <c r="C83" s="434"/>
      <c r="D83" s="442"/>
      <c r="E83" s="442"/>
      <c r="F83" s="442"/>
      <c r="G83" s="34"/>
      <c r="H83" s="69">
        <v>0.2</v>
      </c>
      <c r="I83" s="80">
        <v>0.5</v>
      </c>
      <c r="J83" s="176"/>
      <c r="K83" s="477"/>
      <c r="L83" s="464"/>
      <c r="M83" s="442"/>
      <c r="N83" s="435"/>
      <c r="O83" s="431"/>
    </row>
    <row r="84" spans="1:17" ht="15" customHeight="1" x14ac:dyDescent="0.2">
      <c r="A84" s="197"/>
      <c r="B84" s="434"/>
      <c r="C84" s="434"/>
      <c r="D84" s="443"/>
      <c r="E84" s="443"/>
      <c r="F84" s="443"/>
      <c r="G84" s="34">
        <v>0</v>
      </c>
      <c r="H84" s="70">
        <v>0</v>
      </c>
      <c r="I84" s="70">
        <v>0</v>
      </c>
      <c r="J84" s="181"/>
      <c r="K84" s="477"/>
      <c r="L84" s="465"/>
      <c r="M84" s="443"/>
      <c r="N84" s="49"/>
      <c r="O84" s="431"/>
      <c r="P84" s="79"/>
    </row>
    <row r="85" spans="1:17" ht="15" customHeight="1" x14ac:dyDescent="0.2">
      <c r="A85" s="197"/>
      <c r="B85" s="434"/>
      <c r="C85" s="434"/>
      <c r="D85" s="433" t="s">
        <v>117</v>
      </c>
      <c r="E85" s="433">
        <v>45</v>
      </c>
      <c r="F85" s="433" t="s">
        <v>290</v>
      </c>
      <c r="G85" s="14" t="s">
        <v>88</v>
      </c>
      <c r="H85" s="32">
        <v>7</v>
      </c>
      <c r="I85" s="37">
        <v>13</v>
      </c>
      <c r="J85" s="213"/>
      <c r="K85" s="478"/>
      <c r="L85" s="458" t="s">
        <v>291</v>
      </c>
      <c r="M85" s="433" t="s">
        <v>275</v>
      </c>
      <c r="N85" s="433" t="s">
        <v>292</v>
      </c>
      <c r="O85" s="431"/>
      <c r="P85" s="89" t="s">
        <v>293</v>
      </c>
      <c r="Q85" s="89">
        <v>60</v>
      </c>
    </row>
    <row r="86" spans="1:17" ht="15" customHeight="1" x14ac:dyDescent="0.2">
      <c r="A86" s="197"/>
      <c r="B86" s="434"/>
      <c r="C86" s="434"/>
      <c r="D86" s="434"/>
      <c r="E86" s="434"/>
      <c r="F86" s="434"/>
      <c r="G86" s="14" t="s">
        <v>91</v>
      </c>
      <c r="H86" s="32">
        <v>6</v>
      </c>
      <c r="I86" s="37">
        <v>11.5</v>
      </c>
      <c r="J86" s="179"/>
      <c r="K86" s="495" t="e">
        <f>C86+F86*G86+F87*G87+F88*G88+F89*G89+F90*G90</f>
        <v>#VALUE!</v>
      </c>
      <c r="L86" s="459"/>
      <c r="M86" s="434"/>
      <c r="N86" s="434"/>
      <c r="O86" s="431"/>
      <c r="P86" s="90" t="s">
        <v>294</v>
      </c>
      <c r="Q86" s="89">
        <v>50</v>
      </c>
    </row>
    <row r="87" spans="1:17" ht="15" customHeight="1" x14ac:dyDescent="0.2">
      <c r="A87" s="197"/>
      <c r="B87" s="434"/>
      <c r="C87" s="434"/>
      <c r="D87" s="434"/>
      <c r="E87" s="434"/>
      <c r="F87" s="434"/>
      <c r="G87" s="14" t="s">
        <v>92</v>
      </c>
      <c r="H87" s="32">
        <v>5</v>
      </c>
      <c r="I87" s="37">
        <v>10</v>
      </c>
      <c r="J87" s="177"/>
      <c r="K87" s="496"/>
      <c r="L87" s="459"/>
      <c r="M87" s="434"/>
      <c r="N87" s="434"/>
      <c r="O87" s="431"/>
      <c r="P87" s="90" t="s">
        <v>295</v>
      </c>
      <c r="Q87" s="89">
        <v>40</v>
      </c>
    </row>
    <row r="88" spans="1:17" ht="15" customHeight="1" x14ac:dyDescent="0.2">
      <c r="A88" s="197"/>
      <c r="B88" s="434"/>
      <c r="C88" s="434"/>
      <c r="D88" s="434"/>
      <c r="E88" s="434"/>
      <c r="F88" s="434"/>
      <c r="G88" s="14" t="s">
        <v>93</v>
      </c>
      <c r="H88" s="32">
        <v>4</v>
      </c>
      <c r="I88" s="37">
        <v>8.5</v>
      </c>
      <c r="J88" s="177"/>
      <c r="K88" s="496"/>
      <c r="L88" s="459"/>
      <c r="M88" s="434"/>
      <c r="N88" s="434"/>
      <c r="O88" s="431"/>
      <c r="P88" s="90" t="s">
        <v>296</v>
      </c>
      <c r="Q88" s="89">
        <v>30</v>
      </c>
    </row>
    <row r="89" spans="1:17" ht="15" customHeight="1" x14ac:dyDescent="0.2">
      <c r="A89" s="197"/>
      <c r="B89" s="434"/>
      <c r="C89" s="434"/>
      <c r="D89" s="434"/>
      <c r="E89" s="434"/>
      <c r="F89" s="434"/>
      <c r="G89" s="14" t="s">
        <v>94</v>
      </c>
      <c r="H89" s="32">
        <v>2</v>
      </c>
      <c r="I89" s="37">
        <v>4.5</v>
      </c>
      <c r="J89" s="177"/>
      <c r="K89" s="496"/>
      <c r="L89" s="459"/>
      <c r="M89" s="434"/>
      <c r="N89" s="434"/>
      <c r="O89" s="431"/>
      <c r="P89" s="89"/>
      <c r="Q89" s="89"/>
    </row>
    <row r="90" spans="1:17" ht="15" customHeight="1" x14ac:dyDescent="0.2">
      <c r="A90" s="197"/>
      <c r="B90" s="434"/>
      <c r="C90" s="434"/>
      <c r="D90" s="434"/>
      <c r="E90" s="434"/>
      <c r="F90" s="434"/>
      <c r="G90" s="14" t="s">
        <v>95</v>
      </c>
      <c r="H90" s="32">
        <v>1</v>
      </c>
      <c r="I90" s="37">
        <v>1.5</v>
      </c>
      <c r="J90" s="213"/>
      <c r="K90" s="497"/>
      <c r="L90" s="459"/>
      <c r="M90" s="434"/>
      <c r="N90" s="435"/>
      <c r="O90" s="431"/>
      <c r="P90" s="89"/>
      <c r="Q90" s="89"/>
    </row>
    <row r="91" spans="1:17" ht="15" customHeight="1" x14ac:dyDescent="0.2">
      <c r="A91" s="197"/>
      <c r="B91" s="434"/>
      <c r="C91" s="434"/>
      <c r="D91" s="435"/>
      <c r="E91" s="435"/>
      <c r="F91" s="435"/>
      <c r="G91" s="14">
        <v>0</v>
      </c>
      <c r="H91" s="68">
        <v>0</v>
      </c>
      <c r="I91" s="68">
        <v>0</v>
      </c>
      <c r="J91" s="214"/>
      <c r="K91" s="498" t="e">
        <f>MEDIAN(F91*G91+F92*G92,20,0)</f>
        <v>#VALUE!</v>
      </c>
      <c r="L91" s="460"/>
      <c r="M91" s="435"/>
      <c r="N91" s="49"/>
      <c r="O91" s="431"/>
      <c r="P91" s="91" t="s">
        <v>297</v>
      </c>
      <c r="Q91" s="89">
        <v>0</v>
      </c>
    </row>
    <row r="92" spans="1:17" ht="15" customHeight="1" x14ac:dyDescent="0.2">
      <c r="A92" s="197"/>
      <c r="B92" s="434"/>
      <c r="C92" s="434"/>
      <c r="D92" s="433" t="s">
        <v>120</v>
      </c>
      <c r="E92" s="445">
        <v>20</v>
      </c>
      <c r="F92" s="441" t="s">
        <v>299</v>
      </c>
      <c r="G92" s="34" t="s">
        <v>88</v>
      </c>
      <c r="H92" s="69">
        <v>2.2999999999999998</v>
      </c>
      <c r="I92" s="70">
        <v>4.5</v>
      </c>
      <c r="J92" s="178"/>
      <c r="K92" s="499"/>
      <c r="L92" s="463" t="s">
        <v>291</v>
      </c>
      <c r="M92" s="441" t="s">
        <v>275</v>
      </c>
      <c r="N92" s="433" t="s">
        <v>122</v>
      </c>
      <c r="O92" s="431"/>
      <c r="P92" s="92"/>
      <c r="Q92" s="92"/>
    </row>
    <row r="93" spans="1:17" ht="15" customHeight="1" x14ac:dyDescent="0.2">
      <c r="A93" s="197"/>
      <c r="B93" s="434"/>
      <c r="C93" s="434"/>
      <c r="D93" s="434"/>
      <c r="E93" s="446"/>
      <c r="F93" s="442"/>
      <c r="G93" s="34" t="s">
        <v>91</v>
      </c>
      <c r="H93" s="69">
        <v>1.8</v>
      </c>
      <c r="I93" s="70">
        <v>3.5</v>
      </c>
      <c r="J93" s="180"/>
      <c r="K93" s="500">
        <f>IF(G93=100%,20,IF(G93&gt;=25.4%,10,IF(G93&gt;=0,0,IF(G93&lt;0,-10,))))</f>
        <v>10</v>
      </c>
      <c r="L93" s="464"/>
      <c r="M93" s="442"/>
      <c r="N93" s="434"/>
      <c r="O93" s="431"/>
      <c r="P93" s="93"/>
      <c r="Q93" s="92"/>
    </row>
    <row r="94" spans="1:17" ht="15" customHeight="1" x14ac:dyDescent="0.2">
      <c r="A94" s="197"/>
      <c r="B94" s="434"/>
      <c r="C94" s="434"/>
      <c r="D94" s="434"/>
      <c r="E94" s="446"/>
      <c r="F94" s="442"/>
      <c r="G94" s="34" t="s">
        <v>92</v>
      </c>
      <c r="H94" s="69">
        <v>1.4</v>
      </c>
      <c r="I94" s="70">
        <v>2.5</v>
      </c>
      <c r="J94" s="181"/>
      <c r="K94" s="501"/>
      <c r="L94" s="464"/>
      <c r="M94" s="442"/>
      <c r="N94" s="434"/>
      <c r="O94" s="431"/>
      <c r="P94" s="90" t="s">
        <v>300</v>
      </c>
      <c r="Q94" s="89">
        <v>40</v>
      </c>
    </row>
    <row r="95" spans="1:17" ht="15" customHeight="1" x14ac:dyDescent="0.2">
      <c r="A95" s="197"/>
      <c r="B95" s="434"/>
      <c r="C95" s="434"/>
      <c r="D95" s="434"/>
      <c r="E95" s="446"/>
      <c r="F95" s="442"/>
      <c r="G95" s="34" t="s">
        <v>93</v>
      </c>
      <c r="H95" s="69">
        <v>1</v>
      </c>
      <c r="I95" s="70">
        <v>1.8</v>
      </c>
      <c r="J95" s="181"/>
      <c r="K95" s="501"/>
      <c r="L95" s="464"/>
      <c r="M95" s="442"/>
      <c r="N95" s="434"/>
      <c r="O95" s="431"/>
      <c r="P95" s="90" t="s">
        <v>301</v>
      </c>
      <c r="Q95" s="89">
        <v>30</v>
      </c>
    </row>
    <row r="96" spans="1:17" ht="15" customHeight="1" x14ac:dyDescent="0.2">
      <c r="A96" s="197"/>
      <c r="B96" s="434"/>
      <c r="C96" s="434"/>
      <c r="D96" s="434"/>
      <c r="E96" s="446"/>
      <c r="F96" s="442"/>
      <c r="G96" s="34" t="s">
        <v>94</v>
      </c>
      <c r="H96" s="69">
        <v>0.5</v>
      </c>
      <c r="I96" s="70">
        <v>1</v>
      </c>
      <c r="J96" s="178"/>
      <c r="K96" s="502"/>
      <c r="L96" s="464"/>
      <c r="M96" s="442"/>
      <c r="N96" s="434"/>
      <c r="O96" s="431"/>
      <c r="P96" s="89" t="s">
        <v>302</v>
      </c>
      <c r="Q96" s="89">
        <v>20</v>
      </c>
    </row>
    <row r="97" spans="1:17" ht="15" customHeight="1" x14ac:dyDescent="0.2">
      <c r="A97" s="197"/>
      <c r="B97" s="434"/>
      <c r="C97" s="434"/>
      <c r="D97" s="434"/>
      <c r="E97" s="446"/>
      <c r="F97" s="442"/>
      <c r="G97" s="34" t="s">
        <v>95</v>
      </c>
      <c r="H97" s="69">
        <v>0.2</v>
      </c>
      <c r="I97" s="70">
        <v>0.5</v>
      </c>
      <c r="J97" s="180"/>
      <c r="K97" s="492" t="e">
        <f>MEDIAN(F97*G97+F98*G98,30,0)</f>
        <v>#VALUE!</v>
      </c>
      <c r="L97" s="464"/>
      <c r="M97" s="442"/>
      <c r="N97" s="435"/>
      <c r="O97" s="432"/>
      <c r="P97" s="89"/>
      <c r="Q97" s="89"/>
    </row>
    <row r="98" spans="1:17" ht="15" customHeight="1" x14ac:dyDescent="0.2">
      <c r="A98" s="197"/>
      <c r="B98" s="435"/>
      <c r="C98" s="435"/>
      <c r="D98" s="435"/>
      <c r="E98" s="447"/>
      <c r="F98" s="443"/>
      <c r="G98" s="34">
        <v>0</v>
      </c>
      <c r="H98" s="70">
        <v>0</v>
      </c>
      <c r="I98" s="70">
        <v>0</v>
      </c>
      <c r="J98" s="178"/>
      <c r="K98" s="494"/>
      <c r="L98" s="465"/>
      <c r="M98" s="443"/>
      <c r="N98" s="49"/>
      <c r="O98" s="18"/>
      <c r="P98" s="91"/>
      <c r="Q98" s="89"/>
    </row>
    <row r="99" spans="1:17" s="1" customFormat="1" ht="28.5" customHeight="1" x14ac:dyDescent="0.35">
      <c r="A99" s="430" t="s">
        <v>315</v>
      </c>
      <c r="B99" s="426">
        <v>210</v>
      </c>
      <c r="C99" s="426" t="s">
        <v>177</v>
      </c>
      <c r="D99" s="43" t="s">
        <v>178</v>
      </c>
      <c r="E99" s="82">
        <f>20%*200</f>
        <v>40</v>
      </c>
      <c r="F99" s="56" t="s">
        <v>179</v>
      </c>
      <c r="G99" s="57" t="s">
        <v>180</v>
      </c>
      <c r="H99" s="16">
        <v>1</v>
      </c>
      <c r="I99" s="38">
        <v>1</v>
      </c>
      <c r="J99" s="38"/>
      <c r="K99" s="492" t="e">
        <f>MEDIAN(F99*G99+G100*F100,10,0)</f>
        <v>#VALUE!</v>
      </c>
      <c r="L99" s="510" t="s">
        <v>353</v>
      </c>
      <c r="M99" s="430" t="s">
        <v>317</v>
      </c>
      <c r="N99" s="97"/>
      <c r="O99" s="448" t="s">
        <v>182</v>
      </c>
      <c r="P99" s="98"/>
    </row>
    <row r="100" spans="1:17" s="1" customFormat="1" ht="21.75" customHeight="1" x14ac:dyDescent="0.35">
      <c r="A100" s="431"/>
      <c r="B100" s="426"/>
      <c r="C100" s="426"/>
      <c r="D100" s="47" t="s">
        <v>183</v>
      </c>
      <c r="E100" s="11">
        <v>20</v>
      </c>
      <c r="F100" s="47" t="s">
        <v>184</v>
      </c>
      <c r="G100" s="47" t="s">
        <v>177</v>
      </c>
      <c r="H100" s="58">
        <v>8</v>
      </c>
      <c r="I100" s="39">
        <v>8</v>
      </c>
      <c r="J100" s="39"/>
      <c r="K100" s="494"/>
      <c r="L100" s="480"/>
      <c r="M100" s="431"/>
      <c r="N100" s="97"/>
      <c r="O100" s="448"/>
      <c r="P100" s="98"/>
    </row>
    <row r="101" spans="1:17" s="1" customFormat="1" ht="30.75" customHeight="1" x14ac:dyDescent="0.35">
      <c r="A101" s="431"/>
      <c r="B101" s="426"/>
      <c r="C101" s="426" t="s">
        <v>186</v>
      </c>
      <c r="D101" s="43" t="s">
        <v>187</v>
      </c>
      <c r="E101" s="55">
        <v>30</v>
      </c>
      <c r="F101" s="43" t="s">
        <v>188</v>
      </c>
      <c r="G101" s="22" t="s">
        <v>189</v>
      </c>
      <c r="H101" s="14">
        <v>1.5</v>
      </c>
      <c r="I101" s="14">
        <v>1.5</v>
      </c>
      <c r="J101" s="10"/>
      <c r="K101" s="492" t="e">
        <f>MEDIAN(F101*G101+G102*F102+G103*F103,20,0)</f>
        <v>#VALUE!</v>
      </c>
      <c r="L101" s="8" t="s">
        <v>318</v>
      </c>
      <c r="M101" s="430" t="s">
        <v>317</v>
      </c>
      <c r="N101" s="97"/>
      <c r="O101" s="448"/>
      <c r="P101" s="98"/>
    </row>
    <row r="102" spans="1:17" s="1" customFormat="1" ht="30.75" customHeight="1" x14ac:dyDescent="0.35">
      <c r="A102" s="431"/>
      <c r="B102" s="426"/>
      <c r="C102" s="426"/>
      <c r="D102" s="43" t="s">
        <v>191</v>
      </c>
      <c r="E102" s="55">
        <v>10</v>
      </c>
      <c r="F102" s="43" t="s">
        <v>192</v>
      </c>
      <c r="G102" s="22" t="s">
        <v>193</v>
      </c>
      <c r="H102" s="14">
        <v>0.5</v>
      </c>
      <c r="I102" s="14">
        <v>0.5</v>
      </c>
      <c r="J102" s="12"/>
      <c r="K102" s="493"/>
      <c r="L102" s="8" t="s">
        <v>319</v>
      </c>
      <c r="M102" s="431"/>
      <c r="N102" s="97"/>
      <c r="O102" s="448"/>
      <c r="P102" s="98"/>
    </row>
    <row r="103" spans="1:17" s="3" customFormat="1" ht="42" customHeight="1" x14ac:dyDescent="0.35">
      <c r="A103" s="431"/>
      <c r="B103" s="436"/>
      <c r="C103" s="47" t="s">
        <v>195</v>
      </c>
      <c r="D103" s="202" t="s">
        <v>368</v>
      </c>
      <c r="E103" s="83">
        <v>0</v>
      </c>
      <c r="F103" s="202" t="s">
        <v>369</v>
      </c>
      <c r="G103" s="58" t="s">
        <v>197</v>
      </c>
      <c r="H103" s="13">
        <v>2</v>
      </c>
      <c r="I103" s="13">
        <v>0</v>
      </c>
      <c r="J103" s="215"/>
      <c r="K103" s="494"/>
      <c r="L103" s="62" t="s">
        <v>320</v>
      </c>
      <c r="M103" s="99" t="s">
        <v>317</v>
      </c>
      <c r="N103" s="100"/>
      <c r="O103" s="486"/>
      <c r="P103" s="101" t="s">
        <v>321</v>
      </c>
    </row>
    <row r="104" spans="1:17" s="1" customFormat="1" ht="28.5" customHeight="1" x14ac:dyDescent="0.35">
      <c r="A104" s="431"/>
      <c r="B104" s="426"/>
      <c r="C104" s="507" t="s">
        <v>364</v>
      </c>
      <c r="D104" s="205" t="s">
        <v>365</v>
      </c>
      <c r="E104" s="83">
        <v>30</v>
      </c>
      <c r="F104" s="7" t="s">
        <v>201</v>
      </c>
      <c r="G104" s="22" t="s">
        <v>202</v>
      </c>
      <c r="H104" s="14">
        <v>1</v>
      </c>
      <c r="I104" s="14">
        <v>8.5</v>
      </c>
      <c r="J104" s="10"/>
      <c r="K104" s="184" t="e">
        <f>MEDIAN(F104*G104,50,0)</f>
        <v>#VALUE!</v>
      </c>
      <c r="L104" s="102" t="s">
        <v>322</v>
      </c>
      <c r="M104" s="487" t="s">
        <v>323</v>
      </c>
      <c r="N104" s="97"/>
      <c r="O104" s="448"/>
      <c r="P104" s="98"/>
    </row>
    <row r="105" spans="1:17" s="1" customFormat="1" ht="30.75" customHeight="1" x14ac:dyDescent="0.35">
      <c r="A105" s="431"/>
      <c r="B105" s="426"/>
      <c r="C105" s="426"/>
      <c r="D105" s="205" t="s">
        <v>366</v>
      </c>
      <c r="E105" s="83">
        <f>5%*200</f>
        <v>10</v>
      </c>
      <c r="F105" s="7" t="s">
        <v>205</v>
      </c>
      <c r="G105" s="22" t="s">
        <v>202</v>
      </c>
      <c r="H105" s="14">
        <v>1</v>
      </c>
      <c r="I105" s="14">
        <v>3</v>
      </c>
      <c r="J105" s="10"/>
      <c r="K105" s="184" t="e">
        <f>MEDIAN(F105*G105,10,0)</f>
        <v>#VALUE!</v>
      </c>
      <c r="L105" s="86" t="s">
        <v>324</v>
      </c>
      <c r="M105" s="488"/>
      <c r="N105" s="97"/>
      <c r="O105" s="448"/>
      <c r="P105" s="98"/>
    </row>
    <row r="106" spans="1:17" s="1" customFormat="1" ht="28.5" customHeight="1" x14ac:dyDescent="0.35">
      <c r="A106" s="431"/>
      <c r="B106" s="426"/>
      <c r="C106" s="426"/>
      <c r="D106" s="205" t="s">
        <v>367</v>
      </c>
      <c r="E106" s="83">
        <f>5%*200</f>
        <v>10</v>
      </c>
      <c r="F106" s="43" t="s">
        <v>208</v>
      </c>
      <c r="G106" s="22" t="s">
        <v>209</v>
      </c>
      <c r="H106" s="14">
        <v>2</v>
      </c>
      <c r="I106" s="14">
        <v>2</v>
      </c>
      <c r="J106" s="10"/>
      <c r="K106" s="185" t="e">
        <f>MEDIAN(F106*G106,40,0)</f>
        <v>#VALUE!</v>
      </c>
      <c r="L106" s="103"/>
      <c r="M106" s="489"/>
      <c r="N106" s="97"/>
      <c r="O106" s="448"/>
      <c r="P106" s="98"/>
    </row>
    <row r="107" spans="1:17" s="1" customFormat="1" ht="67.5" customHeight="1" x14ac:dyDescent="0.35">
      <c r="A107" s="431"/>
      <c r="B107" s="426"/>
      <c r="C107" s="426"/>
      <c r="D107" s="43" t="s">
        <v>211</v>
      </c>
      <c r="E107" s="83">
        <f>5%*200</f>
        <v>10</v>
      </c>
      <c r="F107" s="203" t="s">
        <v>360</v>
      </c>
      <c r="G107" s="22" t="s">
        <v>197</v>
      </c>
      <c r="H107" s="14">
        <v>2</v>
      </c>
      <c r="I107" s="14">
        <v>2</v>
      </c>
      <c r="J107" s="10"/>
      <c r="K107" s="185" t="e">
        <f>MEDIAN(F107*G107,20,0)</f>
        <v>#VALUE!</v>
      </c>
      <c r="L107" s="8" t="s">
        <v>326</v>
      </c>
      <c r="M107" s="35" t="s">
        <v>327</v>
      </c>
      <c r="N107" s="97"/>
      <c r="O107" s="448"/>
      <c r="P107" s="98"/>
    </row>
    <row r="108" spans="1:17" s="1" customFormat="1" ht="48" customHeight="1" x14ac:dyDescent="0.35">
      <c r="A108" s="431"/>
      <c r="B108" s="426"/>
      <c r="C108" s="507" t="s">
        <v>363</v>
      </c>
      <c r="D108" s="47" t="s">
        <v>214</v>
      </c>
      <c r="E108" s="85">
        <v>40</v>
      </c>
      <c r="F108" s="204" t="s">
        <v>361</v>
      </c>
      <c r="G108" s="22" t="s">
        <v>214</v>
      </c>
      <c r="H108" s="14">
        <v>2</v>
      </c>
      <c r="I108" s="14">
        <v>2</v>
      </c>
      <c r="J108" s="10"/>
      <c r="K108" s="185" t="e">
        <f>MEDIAN(F108*G108,30,0)</f>
        <v>#VALUE!</v>
      </c>
      <c r="L108" s="8" t="s">
        <v>328</v>
      </c>
      <c r="M108" s="36" t="s">
        <v>329</v>
      </c>
      <c r="N108" s="97"/>
      <c r="O108" s="448"/>
      <c r="P108" s="98"/>
    </row>
    <row r="109" spans="1:17" s="1" customFormat="1" ht="51.75" customHeight="1" x14ac:dyDescent="0.35">
      <c r="A109" s="432"/>
      <c r="B109" s="426"/>
      <c r="C109" s="426"/>
      <c r="D109" s="202" t="s">
        <v>362</v>
      </c>
      <c r="E109" s="55">
        <f>5%*200</f>
        <v>10</v>
      </c>
      <c r="F109" s="87" t="s">
        <v>217</v>
      </c>
      <c r="G109" s="22" t="s">
        <v>218</v>
      </c>
      <c r="H109" s="31">
        <v>1</v>
      </c>
      <c r="I109" s="31">
        <v>2</v>
      </c>
      <c r="J109" s="78"/>
      <c r="K109" s="185" t="e">
        <f>MEDIAN(F109*G109,10,0)</f>
        <v>#VALUE!</v>
      </c>
      <c r="L109" s="8" t="s">
        <v>330</v>
      </c>
      <c r="M109" s="36" t="s">
        <v>331</v>
      </c>
      <c r="N109" s="97"/>
      <c r="O109" s="448"/>
      <c r="P109" s="98"/>
    </row>
    <row r="110" spans="1:17" ht="49.5" customHeight="1" x14ac:dyDescent="0.2">
      <c r="A110" s="430" t="s">
        <v>332</v>
      </c>
      <c r="B110" s="437">
        <v>210</v>
      </c>
      <c r="C110" s="438" t="s">
        <v>221</v>
      </c>
      <c r="D110" s="47" t="s">
        <v>222</v>
      </c>
      <c r="E110" s="11">
        <v>60</v>
      </c>
      <c r="F110" s="60" t="s">
        <v>223</v>
      </c>
      <c r="G110" s="61" t="s">
        <v>180</v>
      </c>
      <c r="H110" s="24">
        <v>6</v>
      </c>
      <c r="I110" s="24">
        <v>6</v>
      </c>
      <c r="J110" s="24"/>
      <c r="K110" s="185" t="e">
        <f>MEDIAN(F110*G110,10,0)</f>
        <v>#VALUE!</v>
      </c>
      <c r="L110" s="479" t="s">
        <v>333</v>
      </c>
      <c r="M110" s="430" t="s">
        <v>334</v>
      </c>
      <c r="N110" s="14"/>
      <c r="O110" s="448"/>
    </row>
    <row r="111" spans="1:17" ht="28.5" customHeight="1" x14ac:dyDescent="0.2">
      <c r="A111" s="431"/>
      <c r="B111" s="437"/>
      <c r="C111" s="438"/>
      <c r="D111" s="47" t="s">
        <v>183</v>
      </c>
      <c r="E111" s="11">
        <v>20</v>
      </c>
      <c r="F111" s="47" t="s">
        <v>184</v>
      </c>
      <c r="G111" s="47" t="s">
        <v>177</v>
      </c>
      <c r="H111" s="58">
        <v>8</v>
      </c>
      <c r="I111" s="58">
        <v>8</v>
      </c>
      <c r="J111" s="24"/>
      <c r="K111" s="185" t="e">
        <f>MEDIAN(F111*G111,30,0)</f>
        <v>#VALUE!</v>
      </c>
      <c r="L111" s="480"/>
      <c r="M111" s="432"/>
      <c r="N111" s="14"/>
      <c r="O111" s="448"/>
    </row>
    <row r="112" spans="1:17" ht="51.75" customHeight="1" x14ac:dyDescent="0.2">
      <c r="A112" s="431"/>
      <c r="B112" s="437"/>
      <c r="C112" s="47" t="s">
        <v>226</v>
      </c>
      <c r="D112" s="59" t="s">
        <v>227</v>
      </c>
      <c r="E112" s="47">
        <v>30</v>
      </c>
      <c r="F112" s="47" t="s">
        <v>228</v>
      </c>
      <c r="G112" s="47" t="s">
        <v>177</v>
      </c>
      <c r="H112" s="62">
        <v>2</v>
      </c>
      <c r="I112" s="62">
        <v>4</v>
      </c>
      <c r="J112" s="195"/>
      <c r="K112" s="185" t="e">
        <f>MEDIAN(F112*G112,10,0)</f>
        <v>#VALUE!</v>
      </c>
      <c r="L112" s="198" t="s">
        <v>348</v>
      </c>
      <c r="M112" s="35" t="s">
        <v>334</v>
      </c>
      <c r="N112" s="14"/>
      <c r="O112" s="448"/>
    </row>
    <row r="113" spans="1:16" ht="28.5" customHeight="1" x14ac:dyDescent="0.2">
      <c r="A113" s="431"/>
      <c r="B113" s="437"/>
      <c r="C113" s="47" t="s">
        <v>195</v>
      </c>
      <c r="D113" s="59" t="s">
        <v>195</v>
      </c>
      <c r="E113" s="47">
        <v>30</v>
      </c>
      <c r="F113" s="47" t="s">
        <v>230</v>
      </c>
      <c r="G113" s="47" t="s">
        <v>336</v>
      </c>
      <c r="H113" s="58">
        <v>6</v>
      </c>
      <c r="I113" s="58">
        <v>6</v>
      </c>
      <c r="J113" s="24"/>
      <c r="K113" s="185" t="e">
        <f>MEDIAN(F113*G113,10,0)</f>
        <v>#VALUE!</v>
      </c>
      <c r="L113" s="58"/>
      <c r="M113" s="35" t="s">
        <v>337</v>
      </c>
      <c r="N113" s="14"/>
      <c r="O113" s="448"/>
    </row>
    <row r="114" spans="1:16" ht="28.5" customHeight="1" x14ac:dyDescent="0.2">
      <c r="A114" s="431"/>
      <c r="B114" s="437"/>
      <c r="C114" s="438" t="s">
        <v>199</v>
      </c>
      <c r="D114" s="59" t="s">
        <v>232</v>
      </c>
      <c r="E114" s="47">
        <v>10</v>
      </c>
      <c r="F114" s="47" t="s">
        <v>233</v>
      </c>
      <c r="G114" s="47" t="s">
        <v>197</v>
      </c>
      <c r="H114" s="62">
        <v>2</v>
      </c>
      <c r="I114" s="62">
        <v>3</v>
      </c>
      <c r="J114" s="195"/>
      <c r="K114" s="185" t="e">
        <f>MEDIAN(F114*G114,10,0)</f>
        <v>#VALUE!</v>
      </c>
      <c r="L114" s="62" t="s">
        <v>338</v>
      </c>
      <c r="M114" s="35" t="s">
        <v>234</v>
      </c>
      <c r="N114" s="14"/>
      <c r="O114" s="448"/>
    </row>
    <row r="115" spans="1:16" ht="28.5" customHeight="1" x14ac:dyDescent="0.2">
      <c r="A115" s="431"/>
      <c r="B115" s="437"/>
      <c r="C115" s="438"/>
      <c r="D115" s="59" t="s">
        <v>235</v>
      </c>
      <c r="E115" s="47">
        <v>10</v>
      </c>
      <c r="F115" s="47" t="s">
        <v>236</v>
      </c>
      <c r="G115" s="47" t="s">
        <v>197</v>
      </c>
      <c r="H115" s="62">
        <v>2</v>
      </c>
      <c r="I115" s="62">
        <v>3</v>
      </c>
      <c r="J115" s="195"/>
      <c r="K115" s="185" t="e">
        <f>MEDIAN(F115*G115,20,0)</f>
        <v>#VALUE!</v>
      </c>
      <c r="L115" s="62" t="s">
        <v>338</v>
      </c>
      <c r="M115" s="35" t="s">
        <v>234</v>
      </c>
      <c r="N115" s="14"/>
      <c r="O115" s="448"/>
    </row>
    <row r="116" spans="1:16" ht="28.5" customHeight="1" x14ac:dyDescent="0.2">
      <c r="A116" s="431"/>
      <c r="B116" s="437"/>
      <c r="C116" s="438"/>
      <c r="D116" s="59" t="s">
        <v>237</v>
      </c>
      <c r="E116" s="47">
        <v>10</v>
      </c>
      <c r="F116" s="47" t="s">
        <v>238</v>
      </c>
      <c r="G116" s="47" t="s">
        <v>197</v>
      </c>
      <c r="H116" s="62">
        <v>2</v>
      </c>
      <c r="I116" s="62">
        <v>3</v>
      </c>
      <c r="J116" s="195"/>
      <c r="K116" s="185" t="e">
        <f>MEDIAN(F116*G116,10,0)</f>
        <v>#VALUE!</v>
      </c>
      <c r="L116" s="62" t="s">
        <v>338</v>
      </c>
      <c r="M116" s="35" t="s">
        <v>234</v>
      </c>
      <c r="N116" s="14"/>
      <c r="O116" s="448"/>
    </row>
    <row r="117" spans="1:16" ht="28.5" customHeight="1" x14ac:dyDescent="0.2">
      <c r="A117" s="431"/>
      <c r="B117" s="437"/>
      <c r="C117" s="438"/>
      <c r="D117" s="59" t="s">
        <v>204</v>
      </c>
      <c r="E117" s="47">
        <v>10</v>
      </c>
      <c r="F117" s="47" t="s">
        <v>239</v>
      </c>
      <c r="G117" s="47" t="s">
        <v>197</v>
      </c>
      <c r="H117" s="62">
        <v>2</v>
      </c>
      <c r="I117" s="62">
        <v>3</v>
      </c>
      <c r="J117" s="195"/>
      <c r="K117" s="186" t="e">
        <f>MEDIAN(F117*G117,60,0)</f>
        <v>#VALUE!</v>
      </c>
      <c r="L117" s="62" t="s">
        <v>338</v>
      </c>
      <c r="M117" s="35" t="s">
        <v>234</v>
      </c>
      <c r="N117" s="14"/>
      <c r="O117" s="448"/>
    </row>
    <row r="118" spans="1:16" ht="30.95" customHeight="1" x14ac:dyDescent="0.2">
      <c r="A118" s="431"/>
      <c r="B118" s="437"/>
      <c r="C118" s="438"/>
      <c r="D118" s="59" t="s">
        <v>240</v>
      </c>
      <c r="E118" s="11">
        <v>20</v>
      </c>
      <c r="F118" s="202" t="s">
        <v>357</v>
      </c>
      <c r="G118" s="47" t="s">
        <v>197</v>
      </c>
      <c r="H118" s="62">
        <v>2</v>
      </c>
      <c r="I118" s="62">
        <v>4</v>
      </c>
      <c r="J118" s="195"/>
      <c r="K118" s="186" t="e">
        <f>MEDIAN(F118*G118,20,0)</f>
        <v>#VALUE!</v>
      </c>
      <c r="L118" s="62" t="s">
        <v>339</v>
      </c>
      <c r="M118" s="35" t="s">
        <v>234</v>
      </c>
      <c r="N118" s="14"/>
      <c r="O118" s="448"/>
    </row>
    <row r="119" spans="1:16" ht="30.95" customHeight="1" x14ac:dyDescent="0.2">
      <c r="A119" s="431"/>
      <c r="B119" s="437"/>
      <c r="C119" s="438"/>
      <c r="D119" s="59" t="s">
        <v>242</v>
      </c>
      <c r="E119" s="47">
        <v>10</v>
      </c>
      <c r="F119" s="47" t="s">
        <v>243</v>
      </c>
      <c r="G119" s="47" t="s">
        <v>197</v>
      </c>
      <c r="H119" s="62">
        <v>2</v>
      </c>
      <c r="I119" s="62">
        <v>5</v>
      </c>
      <c r="J119" s="195"/>
      <c r="K119" s="186" t="e">
        <f>MEDIAN(F119*G119,20,0)</f>
        <v>#VALUE!</v>
      </c>
      <c r="L119" s="62" t="s">
        <v>340</v>
      </c>
      <c r="M119" s="35" t="s">
        <v>234</v>
      </c>
      <c r="N119" s="14"/>
      <c r="O119" s="448"/>
    </row>
    <row r="120" spans="1:16" ht="28.5" customHeight="1" x14ac:dyDescent="0.2">
      <c r="A120" s="432"/>
      <c r="B120" s="437"/>
      <c r="C120" s="438"/>
      <c r="D120" s="202" t="s">
        <v>358</v>
      </c>
      <c r="E120" s="47">
        <v>0</v>
      </c>
      <c r="F120" s="202" t="s">
        <v>359</v>
      </c>
      <c r="G120" s="47" t="s">
        <v>197</v>
      </c>
      <c r="H120" s="62">
        <v>2</v>
      </c>
      <c r="I120" s="62">
        <v>3</v>
      </c>
      <c r="J120" s="195"/>
      <c r="K120" s="186" t="e">
        <f>MEDIAN(F120*G120,30,0)</f>
        <v>#VALUE!</v>
      </c>
      <c r="L120" s="62" t="s">
        <v>338</v>
      </c>
      <c r="M120" s="35" t="s">
        <v>234</v>
      </c>
      <c r="N120" s="14"/>
      <c r="O120" s="448"/>
      <c r="P120" s="104"/>
    </row>
    <row r="121" spans="1:16" ht="19.5" customHeight="1" x14ac:dyDescent="0.2">
      <c r="E121" s="206" t="s">
        <v>376</v>
      </c>
      <c r="K121" s="186">
        <f>MEDIAN([1]过程数据!$G$8,10,)</f>
        <v>0</v>
      </c>
    </row>
    <row r="122" spans="1:16" ht="16.5" x14ac:dyDescent="0.2">
      <c r="K122" s="186">
        <f>MEDIAN([1]过程数据!$G$17,10,)</f>
        <v>0</v>
      </c>
    </row>
    <row r="123" spans="1:16" ht="16.5" x14ac:dyDescent="0.2">
      <c r="K123" s="186">
        <f>MEDIAN([1]过程数据!$G$26,10,)</f>
        <v>0</v>
      </c>
    </row>
    <row r="124" spans="1:16" ht="16.5" x14ac:dyDescent="0.2">
      <c r="K124" s="186">
        <f>MEDIAN([1]过程数据!$G$36,10,)</f>
        <v>0</v>
      </c>
    </row>
    <row r="125" spans="1:16" ht="16.5" x14ac:dyDescent="0.2">
      <c r="K125" s="186">
        <f>MEDIAN([1]过程数据!$G$46,10,)</f>
        <v>0</v>
      </c>
    </row>
    <row r="126" spans="1:16" ht="16.5" x14ac:dyDescent="0.2">
      <c r="K126" s="186">
        <f>MEDIAN([1]过程数据!$G$56,10,)</f>
        <v>0</v>
      </c>
    </row>
    <row r="127" spans="1:16" ht="16.5" x14ac:dyDescent="0.2">
      <c r="K127" s="187">
        <f>MEDIAN([1]过程数据!$G$66,10,)</f>
        <v>0</v>
      </c>
    </row>
    <row r="128" spans="1:16" x14ac:dyDescent="0.2">
      <c r="K128" s="182" t="e">
        <f>SUM(K4:K127)</f>
        <v>#VALUE!</v>
      </c>
    </row>
  </sheetData>
  <autoFilter ref="A3:P121"/>
  <mergeCells count="177">
    <mergeCell ref="K19:K25"/>
    <mergeCell ref="K26:K29"/>
    <mergeCell ref="A30:A40"/>
    <mergeCell ref="B30:B40"/>
    <mergeCell ref="B50:B98"/>
    <mergeCell ref="M101:M102"/>
    <mergeCell ref="C104:C107"/>
    <mergeCell ref="M104:M106"/>
    <mergeCell ref="C108:C109"/>
    <mergeCell ref="F85:F91"/>
    <mergeCell ref="L85:L91"/>
    <mergeCell ref="A110:A120"/>
    <mergeCell ref="B110:B120"/>
    <mergeCell ref="C110:C111"/>
    <mergeCell ref="L110:L111"/>
    <mergeCell ref="M110:M111"/>
    <mergeCell ref="C114:C120"/>
    <mergeCell ref="M45:M47"/>
    <mergeCell ref="F78:F84"/>
    <mergeCell ref="L78:L84"/>
    <mergeCell ref="M78:M84"/>
    <mergeCell ref="M57:M63"/>
    <mergeCell ref="K91:K92"/>
    <mergeCell ref="K93:K96"/>
    <mergeCell ref="K97:K98"/>
    <mergeCell ref="K99:K100"/>
    <mergeCell ref="K101:K103"/>
    <mergeCell ref="D64:D70"/>
    <mergeCell ref="E64:E70"/>
    <mergeCell ref="F64:F70"/>
    <mergeCell ref="L64:L70"/>
    <mergeCell ref="M64:M70"/>
    <mergeCell ref="C57:C70"/>
    <mergeCell ref="C71:C98"/>
    <mergeCell ref="E85:E91"/>
    <mergeCell ref="O45:O48"/>
    <mergeCell ref="A99:A109"/>
    <mergeCell ref="B99:B109"/>
    <mergeCell ref="C99:C100"/>
    <mergeCell ref="L99:L100"/>
    <mergeCell ref="M99:M100"/>
    <mergeCell ref="O99:O120"/>
    <mergeCell ref="C101:C102"/>
    <mergeCell ref="A41:A49"/>
    <mergeCell ref="B41:B49"/>
    <mergeCell ref="M85:M91"/>
    <mergeCell ref="N85:N90"/>
    <mergeCell ref="D92:D98"/>
    <mergeCell ref="E92:E98"/>
    <mergeCell ref="F92:F98"/>
    <mergeCell ref="L92:L98"/>
    <mergeCell ref="M92:M98"/>
    <mergeCell ref="N92:N97"/>
    <mergeCell ref="K79:K85"/>
    <mergeCell ref="K86:K90"/>
    <mergeCell ref="N71:N76"/>
    <mergeCell ref="D78:D84"/>
    <mergeCell ref="E78:E84"/>
    <mergeCell ref="N41:N42"/>
    <mergeCell ref="O41:O42"/>
    <mergeCell ref="C43:C44"/>
    <mergeCell ref="D43:D44"/>
    <mergeCell ref="E43:E44"/>
    <mergeCell ref="F43:F44"/>
    <mergeCell ref="M43:M44"/>
    <mergeCell ref="K37:K43"/>
    <mergeCell ref="K44:K50"/>
    <mergeCell ref="C41:C42"/>
    <mergeCell ref="E41:E42"/>
    <mergeCell ref="F41:F42"/>
    <mergeCell ref="M41:M42"/>
    <mergeCell ref="C45:C47"/>
    <mergeCell ref="D45:D47"/>
    <mergeCell ref="E45:E47"/>
    <mergeCell ref="F45:F47"/>
    <mergeCell ref="C37:C40"/>
    <mergeCell ref="D37:D40"/>
    <mergeCell ref="E37:E40"/>
    <mergeCell ref="F37:F40"/>
    <mergeCell ref="M37:M40"/>
    <mergeCell ref="N37:N40"/>
    <mergeCell ref="N45:N47"/>
    <mergeCell ref="C50:C56"/>
    <mergeCell ref="O30:O36"/>
    <mergeCell ref="M32:M34"/>
    <mergeCell ref="C35:C36"/>
    <mergeCell ref="D35:D36"/>
    <mergeCell ref="E35:E36"/>
    <mergeCell ref="F35:F36"/>
    <mergeCell ref="M35:M36"/>
    <mergeCell ref="N35:N36"/>
    <mergeCell ref="K30:K36"/>
    <mergeCell ref="C30:C34"/>
    <mergeCell ref="D30:D34"/>
    <mergeCell ref="E30:E34"/>
    <mergeCell ref="F30:F34"/>
    <mergeCell ref="M30:M31"/>
    <mergeCell ref="N30:N34"/>
    <mergeCell ref="N64:N69"/>
    <mergeCell ref="K58:K64"/>
    <mergeCell ref="D57:D63"/>
    <mergeCell ref="E57:E63"/>
    <mergeCell ref="F57:F63"/>
    <mergeCell ref="L57:L63"/>
    <mergeCell ref="N57:N62"/>
    <mergeCell ref="K51:K57"/>
    <mergeCell ref="O50:O97"/>
    <mergeCell ref="D50:D56"/>
    <mergeCell ref="E50:E56"/>
    <mergeCell ref="F50:F56"/>
    <mergeCell ref="L50:L56"/>
    <mergeCell ref="M50:M56"/>
    <mergeCell ref="N50:N55"/>
    <mergeCell ref="N78:N83"/>
    <mergeCell ref="K65:K71"/>
    <mergeCell ref="K72:K78"/>
    <mergeCell ref="D71:D77"/>
    <mergeCell ref="E71:E77"/>
    <mergeCell ref="F71:F77"/>
    <mergeCell ref="L71:L77"/>
    <mergeCell ref="M71:M77"/>
    <mergeCell ref="D85:D91"/>
    <mergeCell ref="N26:N28"/>
    <mergeCell ref="M23:M25"/>
    <mergeCell ref="C26:C29"/>
    <mergeCell ref="D26:D29"/>
    <mergeCell ref="E26:E29"/>
    <mergeCell ref="F26:F29"/>
    <mergeCell ref="M26:M29"/>
    <mergeCell ref="O15:O18"/>
    <mergeCell ref="A19:A29"/>
    <mergeCell ref="B19:B29"/>
    <mergeCell ref="C19:C25"/>
    <mergeCell ref="D19:D25"/>
    <mergeCell ref="E19:E25"/>
    <mergeCell ref="F19:F25"/>
    <mergeCell ref="M19:M22"/>
    <mergeCell ref="N19:N25"/>
    <mergeCell ref="O19:O28"/>
    <mergeCell ref="C15:C18"/>
    <mergeCell ref="D15:D18"/>
    <mergeCell ref="E15:E18"/>
    <mergeCell ref="F15:F18"/>
    <mergeCell ref="M15:M18"/>
    <mergeCell ref="N15:N18"/>
    <mergeCell ref="K15:K18"/>
    <mergeCell ref="L2:L3"/>
    <mergeCell ref="M2:M3"/>
    <mergeCell ref="N2:N3"/>
    <mergeCell ref="O2:O3"/>
    <mergeCell ref="A4:A18"/>
    <mergeCell ref="B4:B18"/>
    <mergeCell ref="C4:C10"/>
    <mergeCell ref="D4:D8"/>
    <mergeCell ref="E4:E8"/>
    <mergeCell ref="F4:F8"/>
    <mergeCell ref="M4:M8"/>
    <mergeCell ref="O4:O10"/>
    <mergeCell ref="C12:C14"/>
    <mergeCell ref="D12:D14"/>
    <mergeCell ref="E12:E14"/>
    <mergeCell ref="F12:F14"/>
    <mergeCell ref="M12:M14"/>
    <mergeCell ref="N12:N14"/>
    <mergeCell ref="O12:O14"/>
    <mergeCell ref="K2:K3"/>
    <mergeCell ref="K4:K8"/>
    <mergeCell ref="K12:K14"/>
    <mergeCell ref="A1:G1"/>
    <mergeCell ref="A2:A3"/>
    <mergeCell ref="B2:B3"/>
    <mergeCell ref="C2:C3"/>
    <mergeCell ref="D2:D3"/>
    <mergeCell ref="E2:E3"/>
    <mergeCell ref="F2:F3"/>
    <mergeCell ref="G2:H2"/>
    <mergeCell ref="I2:I3"/>
  </mergeCells>
  <phoneticPr fontId="2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0"/>
  <sheetViews>
    <sheetView topLeftCell="L46" workbookViewId="0">
      <selection activeCell="G56" sqref="G56:G61"/>
    </sheetView>
  </sheetViews>
  <sheetFormatPr defaultColWidth="9" defaultRowHeight="12.75" x14ac:dyDescent="0.2"/>
  <cols>
    <col min="1" max="1" width="3.625" style="2" customWidth="1"/>
    <col min="2" max="2" width="4.75" style="2" customWidth="1"/>
    <col min="3" max="3" width="7.5" style="2" customWidth="1"/>
    <col min="4" max="4" width="12.125" style="2" customWidth="1"/>
    <col min="5" max="5" width="6" style="2" customWidth="1"/>
    <col min="6" max="6" width="19.375" style="2" customWidth="1"/>
    <col min="7" max="7" width="12.625" style="2" customWidth="1"/>
    <col min="8" max="8" width="7.5" style="2" customWidth="1"/>
    <col min="9" max="9" width="8" style="4" customWidth="1"/>
    <col min="10" max="10" width="7.5" style="40" customWidth="1"/>
    <col min="11" max="11" width="14" style="2" customWidth="1"/>
    <col min="12" max="12" width="7.5" style="2" customWidth="1"/>
    <col min="13" max="13" width="7.875" style="4" customWidth="1"/>
    <col min="14" max="14" width="7.375" style="5" customWidth="1"/>
    <col min="15" max="15" width="15.875" style="4" customWidth="1"/>
    <col min="16" max="16" width="8.875" style="2" customWidth="1"/>
    <col min="17" max="17" width="5.875" style="2" customWidth="1"/>
    <col min="18" max="18" width="10.125" style="2" customWidth="1"/>
    <col min="19" max="19" width="9.25" style="2" customWidth="1"/>
    <col min="20" max="20" width="11.75" style="2" customWidth="1"/>
    <col min="21" max="16384" width="9" style="2"/>
  </cols>
  <sheetData>
    <row r="1" spans="1:19" ht="21" customHeight="1" x14ac:dyDescent="0.2">
      <c r="A1" s="422" t="s">
        <v>0</v>
      </c>
      <c r="B1" s="422"/>
      <c r="C1" s="422"/>
      <c r="D1" s="422"/>
      <c r="E1" s="422"/>
      <c r="F1" s="422"/>
      <c r="G1" s="422"/>
      <c r="H1" s="6"/>
      <c r="I1" s="558" t="s">
        <v>412</v>
      </c>
      <c r="J1" s="558"/>
      <c r="K1" s="5"/>
      <c r="L1" s="609" t="s">
        <v>411</v>
      </c>
      <c r="M1" s="609"/>
      <c r="N1" s="609"/>
      <c r="Q1" s="279"/>
      <c r="R1" s="279"/>
      <c r="S1" s="279"/>
    </row>
    <row r="2" spans="1:19" ht="16.5" customHeight="1" x14ac:dyDescent="0.2">
      <c r="A2" s="424" t="s">
        <v>1</v>
      </c>
      <c r="B2" s="423" t="s">
        <v>2</v>
      </c>
      <c r="C2" s="423" t="s">
        <v>3</v>
      </c>
      <c r="D2" s="423" t="s">
        <v>4</v>
      </c>
      <c r="E2" s="449" t="s">
        <v>5</v>
      </c>
      <c r="F2" s="423" t="s">
        <v>6</v>
      </c>
      <c r="G2" s="423" t="s">
        <v>7</v>
      </c>
      <c r="H2" s="423"/>
      <c r="I2" s="592" t="s">
        <v>341</v>
      </c>
      <c r="J2" s="537" t="s">
        <v>342</v>
      </c>
      <c r="K2" s="19"/>
      <c r="L2" s="229"/>
      <c r="M2" s="539" t="s">
        <v>341</v>
      </c>
      <c r="N2" s="541" t="s">
        <v>342</v>
      </c>
      <c r="O2" s="481" t="s">
        <v>8</v>
      </c>
    </row>
    <row r="3" spans="1:19" ht="18.75" customHeight="1" x14ac:dyDescent="0.2">
      <c r="A3" s="425"/>
      <c r="B3" s="423"/>
      <c r="C3" s="423"/>
      <c r="D3" s="423"/>
      <c r="E3" s="449"/>
      <c r="F3" s="423"/>
      <c r="G3" s="41" t="s">
        <v>11</v>
      </c>
      <c r="H3" s="42" t="s">
        <v>12</v>
      </c>
      <c r="I3" s="593"/>
      <c r="J3" s="538"/>
      <c r="K3" s="41" t="s">
        <v>11</v>
      </c>
      <c r="L3" s="226" t="s">
        <v>12</v>
      </c>
      <c r="M3" s="540"/>
      <c r="N3" s="542"/>
      <c r="O3" s="482"/>
    </row>
    <row r="4" spans="1:19" ht="18" customHeight="1" x14ac:dyDescent="0.2">
      <c r="A4" s="426" t="s">
        <v>13</v>
      </c>
      <c r="B4" s="426">
        <v>120</v>
      </c>
      <c r="C4" s="426" t="s">
        <v>14</v>
      </c>
      <c r="D4" s="426" t="s">
        <v>15</v>
      </c>
      <c r="E4" s="437">
        <v>30</v>
      </c>
      <c r="F4" s="426" t="s">
        <v>16</v>
      </c>
      <c r="G4" s="43" t="s">
        <v>17</v>
      </c>
      <c r="H4" s="264">
        <v>10</v>
      </c>
      <c r="I4" s="544"/>
      <c r="J4" s="545">
        <f>IF(I4="高中",10,IF(I4="中专",10,IF(I4="大专非统招",15,IF(I4="大专统招",20,IF(I4="本科非统招",25,IF(I4="本科以上非统招",25,IF(I4="本科统招",30,IF(I4="本科以上统招",30,))))))))</f>
        <v>0</v>
      </c>
      <c r="K4" s="43" t="s">
        <v>17</v>
      </c>
      <c r="L4" s="44">
        <v>10</v>
      </c>
      <c r="M4" s="548"/>
      <c r="N4" s="547">
        <f>IF(M4="高中",10,IF(M4="中专",10,IF(M4="大专非统招",15,IF(M4="大专统招",20,IF(M4="本科非统招",25,IF(M4="本科以上非统招",25,IF(M4="本科统招",30,IF(M4="本科以上统招",30,))))))))</f>
        <v>0</v>
      </c>
      <c r="O4" s="430" t="s">
        <v>38</v>
      </c>
    </row>
    <row r="5" spans="1:19" ht="18" customHeight="1" x14ac:dyDescent="0.2">
      <c r="A5" s="426"/>
      <c r="B5" s="426"/>
      <c r="C5" s="426"/>
      <c r="D5" s="426"/>
      <c r="E5" s="437"/>
      <c r="F5" s="426"/>
      <c r="G5" s="43" t="s">
        <v>20</v>
      </c>
      <c r="H5" s="264">
        <v>15</v>
      </c>
      <c r="I5" s="544"/>
      <c r="J5" s="545"/>
      <c r="K5" s="43" t="s">
        <v>20</v>
      </c>
      <c r="L5" s="44">
        <v>15</v>
      </c>
      <c r="M5" s="546"/>
      <c r="N5" s="547"/>
      <c r="O5" s="431"/>
    </row>
    <row r="6" spans="1:19" ht="18" customHeight="1" x14ac:dyDescent="0.2">
      <c r="A6" s="426"/>
      <c r="B6" s="426"/>
      <c r="C6" s="426"/>
      <c r="D6" s="426"/>
      <c r="E6" s="437"/>
      <c r="F6" s="426"/>
      <c r="G6" s="43" t="s">
        <v>22</v>
      </c>
      <c r="H6" s="264">
        <v>20</v>
      </c>
      <c r="I6" s="544"/>
      <c r="J6" s="545"/>
      <c r="K6" s="43" t="s">
        <v>22</v>
      </c>
      <c r="L6" s="44">
        <v>20</v>
      </c>
      <c r="M6" s="546"/>
      <c r="N6" s="547"/>
      <c r="O6" s="431"/>
    </row>
    <row r="7" spans="1:19" ht="24.75" customHeight="1" x14ac:dyDescent="0.2">
      <c r="A7" s="426"/>
      <c r="B7" s="426"/>
      <c r="C7" s="426"/>
      <c r="D7" s="426"/>
      <c r="E7" s="437"/>
      <c r="F7" s="426"/>
      <c r="G7" s="43" t="s">
        <v>249</v>
      </c>
      <c r="H7" s="264">
        <v>25</v>
      </c>
      <c r="I7" s="544"/>
      <c r="J7" s="545"/>
      <c r="K7" s="43" t="s">
        <v>249</v>
      </c>
      <c r="L7" s="44">
        <v>25</v>
      </c>
      <c r="M7" s="546"/>
      <c r="N7" s="547"/>
      <c r="O7" s="431"/>
    </row>
    <row r="8" spans="1:19" ht="18" customHeight="1" x14ac:dyDescent="0.2">
      <c r="A8" s="426"/>
      <c r="B8" s="426"/>
      <c r="C8" s="426"/>
      <c r="D8" s="426"/>
      <c r="E8" s="437"/>
      <c r="F8" s="426"/>
      <c r="G8" s="43" t="s">
        <v>250</v>
      </c>
      <c r="H8" s="264">
        <v>30</v>
      </c>
      <c r="I8" s="544"/>
      <c r="J8" s="545"/>
      <c r="K8" s="43" t="s">
        <v>250</v>
      </c>
      <c r="L8" s="44">
        <v>30</v>
      </c>
      <c r="M8" s="546"/>
      <c r="N8" s="547"/>
      <c r="O8" s="431"/>
    </row>
    <row r="9" spans="1:19" ht="21.75" customHeight="1" x14ac:dyDescent="0.2">
      <c r="A9" s="426"/>
      <c r="B9" s="426"/>
      <c r="C9" s="426"/>
      <c r="D9" s="43" t="s">
        <v>28</v>
      </c>
      <c r="E9" s="14">
        <v>5</v>
      </c>
      <c r="F9" s="43" t="s">
        <v>251</v>
      </c>
      <c r="G9" s="43" t="s">
        <v>252</v>
      </c>
      <c r="H9" s="264">
        <v>5</v>
      </c>
      <c r="I9" s="256"/>
      <c r="J9" s="251">
        <f>IF(I9="特长生",5,0)</f>
        <v>0</v>
      </c>
      <c r="K9" s="43" t="s">
        <v>252</v>
      </c>
      <c r="L9" s="44">
        <v>5</v>
      </c>
      <c r="M9" s="20"/>
      <c r="N9" s="21">
        <f>IF(M9="特长生",5,0)</f>
        <v>0</v>
      </c>
      <c r="O9" s="22" t="s">
        <v>38</v>
      </c>
    </row>
    <row r="10" spans="1:19" ht="29.25" customHeight="1" x14ac:dyDescent="0.2">
      <c r="A10" s="426"/>
      <c r="B10" s="426"/>
      <c r="C10" s="426"/>
      <c r="D10" s="43" t="s">
        <v>32</v>
      </c>
      <c r="E10" s="217">
        <v>10</v>
      </c>
      <c r="F10" s="43" t="s">
        <v>417</v>
      </c>
      <c r="G10" s="43" t="s">
        <v>33</v>
      </c>
      <c r="H10" s="264">
        <v>10</v>
      </c>
      <c r="I10" s="256"/>
      <c r="J10" s="251">
        <f>IF(I10="退伍军人",10,IF(I10="党员",5,IF(I10="退伍军人，党员",15,)))</f>
        <v>0</v>
      </c>
      <c r="K10" s="43" t="s">
        <v>33</v>
      </c>
      <c r="L10" s="44">
        <v>10</v>
      </c>
      <c r="M10" s="20"/>
      <c r="N10" s="21">
        <f>IF(M10="退伍军人",10,IF(M10="党员",5,IF(M10="退伍军人，党员",15,)))</f>
        <v>0</v>
      </c>
      <c r="O10" s="22" t="s">
        <v>38</v>
      </c>
    </row>
    <row r="11" spans="1:19" ht="33.75" customHeight="1" x14ac:dyDescent="0.2">
      <c r="A11" s="426"/>
      <c r="B11" s="426"/>
      <c r="C11" s="43" t="s">
        <v>34</v>
      </c>
      <c r="D11" s="248" t="s">
        <v>35</v>
      </c>
      <c r="E11" s="247">
        <v>45</v>
      </c>
      <c r="F11" s="43" t="s">
        <v>415</v>
      </c>
      <c r="G11" s="22" t="s">
        <v>416</v>
      </c>
      <c r="H11" s="265">
        <v>1</v>
      </c>
      <c r="I11" s="256"/>
      <c r="J11" s="251">
        <f>MEDIAN(I11*H11,45,0)</f>
        <v>0</v>
      </c>
      <c r="K11" s="283" t="s">
        <v>452</v>
      </c>
      <c r="L11" s="45">
        <v>1</v>
      </c>
      <c r="M11" s="20"/>
      <c r="N11" s="227">
        <f>MEDIAN(M11*L11,45,0)</f>
        <v>0</v>
      </c>
      <c r="O11" s="22" t="s">
        <v>38</v>
      </c>
    </row>
    <row r="12" spans="1:19" ht="18" customHeight="1" x14ac:dyDescent="0.2">
      <c r="A12" s="426"/>
      <c r="B12" s="426"/>
      <c r="C12" s="426" t="s">
        <v>40</v>
      </c>
      <c r="D12" s="426" t="s">
        <v>41</v>
      </c>
      <c r="E12" s="543">
        <v>10</v>
      </c>
      <c r="F12" s="426" t="s">
        <v>42</v>
      </c>
      <c r="G12" s="43" t="s">
        <v>253</v>
      </c>
      <c r="H12" s="264">
        <v>5</v>
      </c>
      <c r="I12" s="544"/>
      <c r="J12" s="545">
        <f>IF(I12="杭州经纪人证",5,IF(I12="全国协理证",8,IF(I12="全国经纪人证",10,)))</f>
        <v>0</v>
      </c>
      <c r="K12" s="43" t="s">
        <v>253</v>
      </c>
      <c r="L12" s="44">
        <v>5</v>
      </c>
      <c r="M12" s="546"/>
      <c r="N12" s="547">
        <f>IF(M12="杭州经纪人证",5,IF(M12="全国协理证",8,IF(M12="全国经纪人证",10,)))</f>
        <v>0</v>
      </c>
      <c r="O12" s="430" t="s">
        <v>38</v>
      </c>
    </row>
    <row r="13" spans="1:19" ht="18" customHeight="1" x14ac:dyDescent="0.2">
      <c r="A13" s="426"/>
      <c r="B13" s="426"/>
      <c r="C13" s="426"/>
      <c r="D13" s="426"/>
      <c r="E13" s="543"/>
      <c r="F13" s="426"/>
      <c r="G13" s="43" t="s">
        <v>254</v>
      </c>
      <c r="H13" s="264">
        <v>8</v>
      </c>
      <c r="I13" s="544"/>
      <c r="J13" s="545"/>
      <c r="K13" s="43" t="s">
        <v>254</v>
      </c>
      <c r="L13" s="44">
        <v>8</v>
      </c>
      <c r="M13" s="546"/>
      <c r="N13" s="547"/>
      <c r="O13" s="431"/>
    </row>
    <row r="14" spans="1:19" ht="18" customHeight="1" x14ac:dyDescent="0.2">
      <c r="A14" s="426"/>
      <c r="B14" s="426"/>
      <c r="C14" s="426"/>
      <c r="D14" s="426"/>
      <c r="E14" s="543"/>
      <c r="F14" s="426"/>
      <c r="G14" s="43" t="s">
        <v>255</v>
      </c>
      <c r="H14" s="264">
        <v>10</v>
      </c>
      <c r="I14" s="544"/>
      <c r="J14" s="545"/>
      <c r="K14" s="43" t="s">
        <v>255</v>
      </c>
      <c r="L14" s="44">
        <v>10</v>
      </c>
      <c r="M14" s="546"/>
      <c r="N14" s="547"/>
      <c r="O14" s="432"/>
    </row>
    <row r="15" spans="1:19" ht="18" customHeight="1" x14ac:dyDescent="0.2">
      <c r="A15" s="426"/>
      <c r="B15" s="426"/>
      <c r="C15" s="426" t="s">
        <v>46</v>
      </c>
      <c r="D15" s="426" t="s">
        <v>47</v>
      </c>
      <c r="E15" s="448">
        <v>20</v>
      </c>
      <c r="F15" s="426" t="s">
        <v>419</v>
      </c>
      <c r="G15" s="43" t="s">
        <v>256</v>
      </c>
      <c r="H15" s="44">
        <v>20</v>
      </c>
      <c r="I15" s="544"/>
      <c r="J15" s="545">
        <f>IF(I15&gt;95,20,IF(I15&gt;90,10,IF(I15&gt;=80,0,-10)))</f>
        <v>-10</v>
      </c>
      <c r="K15" s="43" t="s">
        <v>256</v>
      </c>
      <c r="L15" s="44">
        <v>20</v>
      </c>
      <c r="M15" s="546"/>
      <c r="N15" s="547">
        <f>IF(M15&gt;95,20,IF(M15&gt;90,10,IF(M15&gt;=80,0,-10)))</f>
        <v>-10</v>
      </c>
      <c r="O15" s="430" t="s">
        <v>50</v>
      </c>
    </row>
    <row r="16" spans="1:19" ht="18" customHeight="1" x14ac:dyDescent="0.2">
      <c r="A16" s="426"/>
      <c r="B16" s="426"/>
      <c r="C16" s="426"/>
      <c r="D16" s="426"/>
      <c r="E16" s="448"/>
      <c r="F16" s="426"/>
      <c r="G16" s="43" t="s">
        <v>257</v>
      </c>
      <c r="H16" s="44">
        <v>10</v>
      </c>
      <c r="I16" s="544"/>
      <c r="J16" s="545"/>
      <c r="K16" s="43" t="s">
        <v>257</v>
      </c>
      <c r="L16" s="44">
        <v>10</v>
      </c>
      <c r="M16" s="546"/>
      <c r="N16" s="547"/>
      <c r="O16" s="431"/>
    </row>
    <row r="17" spans="1:17" ht="18" customHeight="1" x14ac:dyDescent="0.2">
      <c r="A17" s="426"/>
      <c r="B17" s="426"/>
      <c r="C17" s="426"/>
      <c r="D17" s="426"/>
      <c r="E17" s="448"/>
      <c r="F17" s="426"/>
      <c r="G17" s="43" t="s">
        <v>53</v>
      </c>
      <c r="H17" s="44">
        <v>0</v>
      </c>
      <c r="I17" s="544"/>
      <c r="J17" s="545"/>
      <c r="K17" s="43" t="s">
        <v>53</v>
      </c>
      <c r="L17" s="44">
        <v>0</v>
      </c>
      <c r="M17" s="546"/>
      <c r="N17" s="547"/>
      <c r="O17" s="431"/>
    </row>
    <row r="18" spans="1:17" ht="18" customHeight="1" x14ac:dyDescent="0.2">
      <c r="A18" s="426"/>
      <c r="B18" s="426"/>
      <c r="C18" s="426"/>
      <c r="D18" s="426"/>
      <c r="E18" s="448"/>
      <c r="F18" s="426"/>
      <c r="G18" s="43" t="s">
        <v>55</v>
      </c>
      <c r="H18" s="44">
        <v>-10</v>
      </c>
      <c r="I18" s="544"/>
      <c r="J18" s="545"/>
      <c r="K18" s="43" t="s">
        <v>55</v>
      </c>
      <c r="L18" s="44">
        <v>-10</v>
      </c>
      <c r="M18" s="546"/>
      <c r="N18" s="547"/>
      <c r="O18" s="432"/>
      <c r="P18" s="23">
        <f>SUM(J4:J18)</f>
        <v>-10</v>
      </c>
      <c r="Q18" s="241">
        <f>SUM(N4:N18)</f>
        <v>-10</v>
      </c>
    </row>
    <row r="19" spans="1:17" ht="28.5" customHeight="1" x14ac:dyDescent="0.2">
      <c r="A19" s="427" t="s">
        <v>57</v>
      </c>
      <c r="B19" s="433">
        <v>100</v>
      </c>
      <c r="C19" s="433" t="s">
        <v>58</v>
      </c>
      <c r="D19" s="439" t="s">
        <v>59</v>
      </c>
      <c r="E19" s="451">
        <v>40</v>
      </c>
      <c r="F19" s="426" t="s">
        <v>60</v>
      </c>
      <c r="G19" s="47" t="s">
        <v>61</v>
      </c>
      <c r="H19" s="264">
        <v>-2</v>
      </c>
      <c r="I19" s="256"/>
      <c r="J19" s="562">
        <f>E19+H19*I19+H20*I20+H21*I21+H22*I22+H23*I23+H24*I24+H25*I25</f>
        <v>40</v>
      </c>
      <c r="K19" s="47" t="s">
        <v>61</v>
      </c>
      <c r="L19" s="48">
        <v>-2</v>
      </c>
      <c r="M19" s="20"/>
      <c r="N19" s="588">
        <f>E19+L19*M19+L20*M20+L21*M21+L22*M22+L23*M23+L24*M24+L25*M25</f>
        <v>40</v>
      </c>
      <c r="O19" s="483" t="s">
        <v>63</v>
      </c>
    </row>
    <row r="20" spans="1:17" ht="28.5" customHeight="1" x14ac:dyDescent="0.2">
      <c r="A20" s="428"/>
      <c r="B20" s="434"/>
      <c r="C20" s="434"/>
      <c r="D20" s="440"/>
      <c r="E20" s="452"/>
      <c r="F20" s="426"/>
      <c r="G20" s="47" t="s">
        <v>66</v>
      </c>
      <c r="H20" s="264">
        <v>-5</v>
      </c>
      <c r="I20" s="256"/>
      <c r="J20" s="563"/>
      <c r="K20" s="47" t="s">
        <v>66</v>
      </c>
      <c r="L20" s="48">
        <v>-5</v>
      </c>
      <c r="M20" s="20"/>
      <c r="N20" s="589"/>
      <c r="O20" s="484"/>
    </row>
    <row r="21" spans="1:17" ht="28.5" customHeight="1" x14ac:dyDescent="0.2">
      <c r="A21" s="428"/>
      <c r="B21" s="434"/>
      <c r="C21" s="434"/>
      <c r="D21" s="440"/>
      <c r="E21" s="452"/>
      <c r="F21" s="426"/>
      <c r="G21" s="47" t="s">
        <v>68</v>
      </c>
      <c r="H21" s="264">
        <v>-10</v>
      </c>
      <c r="I21" s="256"/>
      <c r="J21" s="563"/>
      <c r="K21" s="47" t="s">
        <v>68</v>
      </c>
      <c r="L21" s="48">
        <v>-10</v>
      </c>
      <c r="M21" s="20"/>
      <c r="N21" s="589"/>
      <c r="O21" s="484"/>
    </row>
    <row r="22" spans="1:17" ht="28.5" customHeight="1" x14ac:dyDescent="0.2">
      <c r="A22" s="428"/>
      <c r="B22" s="434"/>
      <c r="C22" s="434"/>
      <c r="D22" s="440"/>
      <c r="E22" s="452"/>
      <c r="F22" s="426"/>
      <c r="G22" s="47" t="s">
        <v>69</v>
      </c>
      <c r="H22" s="264">
        <v>-10</v>
      </c>
      <c r="I22" s="256"/>
      <c r="J22" s="563"/>
      <c r="K22" s="47" t="s">
        <v>69</v>
      </c>
      <c r="L22" s="48">
        <v>-10</v>
      </c>
      <c r="M22" s="20"/>
      <c r="N22" s="589"/>
      <c r="O22" s="485"/>
    </row>
    <row r="23" spans="1:17" ht="28.5" customHeight="1" x14ac:dyDescent="0.2">
      <c r="A23" s="428"/>
      <c r="B23" s="434"/>
      <c r="C23" s="434"/>
      <c r="D23" s="440"/>
      <c r="E23" s="452"/>
      <c r="F23" s="426"/>
      <c r="G23" s="13" t="s">
        <v>70</v>
      </c>
      <c r="H23" s="264">
        <v>-10</v>
      </c>
      <c r="I23" s="256"/>
      <c r="J23" s="563"/>
      <c r="K23" s="58" t="s">
        <v>70</v>
      </c>
      <c r="L23" s="48">
        <v>-10</v>
      </c>
      <c r="M23" s="20"/>
      <c r="N23" s="589"/>
      <c r="O23" s="483" t="s">
        <v>63</v>
      </c>
    </row>
    <row r="24" spans="1:17" ht="28.5" customHeight="1" x14ac:dyDescent="0.2">
      <c r="A24" s="428"/>
      <c r="B24" s="434"/>
      <c r="C24" s="434"/>
      <c r="D24" s="440"/>
      <c r="E24" s="452"/>
      <c r="F24" s="426"/>
      <c r="G24" s="13" t="s">
        <v>71</v>
      </c>
      <c r="H24" s="264">
        <v>-10</v>
      </c>
      <c r="I24" s="256"/>
      <c r="J24" s="563"/>
      <c r="K24" s="13" t="s">
        <v>71</v>
      </c>
      <c r="L24" s="48">
        <v>-10</v>
      </c>
      <c r="M24" s="20"/>
      <c r="N24" s="589"/>
      <c r="O24" s="484"/>
    </row>
    <row r="25" spans="1:17" ht="28.5" customHeight="1" x14ac:dyDescent="0.2">
      <c r="A25" s="428"/>
      <c r="B25" s="434"/>
      <c r="C25" s="435"/>
      <c r="D25" s="440"/>
      <c r="E25" s="453"/>
      <c r="F25" s="426"/>
      <c r="G25" s="47" t="s">
        <v>72</v>
      </c>
      <c r="H25" s="264">
        <v>-20</v>
      </c>
      <c r="I25" s="256"/>
      <c r="J25" s="564"/>
      <c r="K25" s="47" t="s">
        <v>72</v>
      </c>
      <c r="L25" s="48">
        <v>-20</v>
      </c>
      <c r="M25" s="20"/>
      <c r="N25" s="590"/>
      <c r="O25" s="485"/>
    </row>
    <row r="26" spans="1:17" ht="18" customHeight="1" x14ac:dyDescent="0.2">
      <c r="A26" s="428"/>
      <c r="B26" s="434"/>
      <c r="C26" s="433" t="s">
        <v>74</v>
      </c>
      <c r="D26" s="433" t="s">
        <v>74</v>
      </c>
      <c r="E26" s="430">
        <v>60</v>
      </c>
      <c r="F26" s="434" t="s">
        <v>450</v>
      </c>
      <c r="G26" s="13" t="s">
        <v>75</v>
      </c>
      <c r="H26" s="264">
        <v>-10</v>
      </c>
      <c r="I26" s="256"/>
      <c r="J26" s="562">
        <f>E26+H26*I26+H27*I27+H28*I28+H29*I29</f>
        <v>60</v>
      </c>
      <c r="K26" s="13" t="s">
        <v>75</v>
      </c>
      <c r="L26" s="48">
        <v>-10</v>
      </c>
      <c r="M26" s="20"/>
      <c r="N26" s="565">
        <f>E26+L26*M26+L27*M27+L28*M28+L29*M29</f>
        <v>60</v>
      </c>
      <c r="O26" s="483" t="s">
        <v>77</v>
      </c>
    </row>
    <row r="27" spans="1:17" ht="18" customHeight="1" x14ac:dyDescent="0.2">
      <c r="A27" s="428"/>
      <c r="B27" s="434"/>
      <c r="C27" s="434"/>
      <c r="D27" s="434"/>
      <c r="E27" s="431"/>
      <c r="F27" s="434"/>
      <c r="G27" s="13" t="s">
        <v>79</v>
      </c>
      <c r="H27" s="264">
        <v>-15</v>
      </c>
      <c r="I27" s="256"/>
      <c r="J27" s="563"/>
      <c r="K27" s="13" t="s">
        <v>79</v>
      </c>
      <c r="L27" s="48">
        <v>-15</v>
      </c>
      <c r="M27" s="20"/>
      <c r="N27" s="566"/>
      <c r="O27" s="484"/>
    </row>
    <row r="28" spans="1:17" ht="18" customHeight="1" x14ac:dyDescent="0.2">
      <c r="A28" s="428"/>
      <c r="B28" s="434"/>
      <c r="C28" s="434"/>
      <c r="D28" s="434"/>
      <c r="E28" s="431"/>
      <c r="F28" s="434"/>
      <c r="G28" s="47" t="s">
        <v>81</v>
      </c>
      <c r="H28" s="264">
        <v>-20</v>
      </c>
      <c r="I28" s="256"/>
      <c r="J28" s="563"/>
      <c r="K28" s="47" t="s">
        <v>81</v>
      </c>
      <c r="L28" s="48">
        <v>-20</v>
      </c>
      <c r="M28" s="20"/>
      <c r="N28" s="566"/>
      <c r="O28" s="484"/>
    </row>
    <row r="29" spans="1:17" ht="18" customHeight="1" x14ac:dyDescent="0.2">
      <c r="A29" s="429"/>
      <c r="B29" s="435"/>
      <c r="C29" s="435"/>
      <c r="D29" s="435"/>
      <c r="E29" s="432"/>
      <c r="F29" s="435"/>
      <c r="G29" s="50" t="s">
        <v>82</v>
      </c>
      <c r="H29" s="264">
        <v>-10</v>
      </c>
      <c r="I29" s="256"/>
      <c r="J29" s="564"/>
      <c r="K29" s="50" t="s">
        <v>82</v>
      </c>
      <c r="L29" s="48">
        <v>-10</v>
      </c>
      <c r="M29" s="20"/>
      <c r="N29" s="567"/>
      <c r="O29" s="485"/>
      <c r="P29" s="25">
        <f>SUM(J19:J29)</f>
        <v>100</v>
      </c>
      <c r="Q29" s="242">
        <f>SUM(N19:N29)</f>
        <v>100</v>
      </c>
    </row>
    <row r="30" spans="1:17" ht="15" customHeight="1" x14ac:dyDescent="0.2">
      <c r="A30" s="433" t="s">
        <v>409</v>
      </c>
      <c r="B30" s="433">
        <v>120</v>
      </c>
      <c r="C30" s="426" t="s">
        <v>123</v>
      </c>
      <c r="D30" s="591" t="s">
        <v>410</v>
      </c>
      <c r="E30" s="605">
        <v>80</v>
      </c>
      <c r="F30" s="454" t="s">
        <v>451</v>
      </c>
      <c r="G30" s="43" t="s">
        <v>126</v>
      </c>
      <c r="H30" s="264">
        <v>-5</v>
      </c>
      <c r="I30" s="256"/>
      <c r="J30" s="568">
        <f>E30+H30*I30+H31*I31+H32*I32+H33*I33+H34*I34</f>
        <v>80</v>
      </c>
      <c r="K30" s="43" t="s">
        <v>126</v>
      </c>
      <c r="L30" s="44">
        <v>-5</v>
      </c>
      <c r="M30" s="20"/>
      <c r="N30" s="571">
        <f>E30+L30*M30+L31*M31+L32*M32+L33*M33+L34*M34</f>
        <v>80</v>
      </c>
      <c r="O30" s="430" t="s">
        <v>63</v>
      </c>
    </row>
    <row r="31" spans="1:17" ht="15" customHeight="1" x14ac:dyDescent="0.2">
      <c r="A31" s="596"/>
      <c r="B31" s="434"/>
      <c r="C31" s="426"/>
      <c r="D31" s="591"/>
      <c r="E31" s="605"/>
      <c r="F31" s="455"/>
      <c r="G31" s="43" t="s">
        <v>129</v>
      </c>
      <c r="H31" s="264">
        <v>-8</v>
      </c>
      <c r="I31" s="256"/>
      <c r="J31" s="569"/>
      <c r="K31" s="43" t="s">
        <v>129</v>
      </c>
      <c r="L31" s="44">
        <v>-8</v>
      </c>
      <c r="M31" s="20"/>
      <c r="N31" s="572"/>
      <c r="O31" s="432"/>
    </row>
    <row r="32" spans="1:17" ht="15" customHeight="1" x14ac:dyDescent="0.2">
      <c r="A32" s="596"/>
      <c r="B32" s="434"/>
      <c r="C32" s="426"/>
      <c r="D32" s="591"/>
      <c r="E32" s="605"/>
      <c r="F32" s="455"/>
      <c r="G32" s="43" t="s">
        <v>131</v>
      </c>
      <c r="H32" s="264">
        <v>-10</v>
      </c>
      <c r="I32" s="256"/>
      <c r="J32" s="569"/>
      <c r="K32" s="43" t="s">
        <v>131</v>
      </c>
      <c r="L32" s="44">
        <v>-10</v>
      </c>
      <c r="M32" s="20"/>
      <c r="N32" s="572"/>
      <c r="O32" s="483" t="s">
        <v>77</v>
      </c>
    </row>
    <row r="33" spans="1:17" ht="15" customHeight="1" x14ac:dyDescent="0.2">
      <c r="A33" s="596"/>
      <c r="B33" s="434"/>
      <c r="C33" s="426"/>
      <c r="D33" s="591"/>
      <c r="E33" s="605"/>
      <c r="F33" s="455"/>
      <c r="G33" s="43" t="s">
        <v>132</v>
      </c>
      <c r="H33" s="264">
        <v>-15</v>
      </c>
      <c r="I33" s="256"/>
      <c r="J33" s="569"/>
      <c r="K33" s="43" t="s">
        <v>132</v>
      </c>
      <c r="L33" s="44">
        <v>-15</v>
      </c>
      <c r="M33" s="20"/>
      <c r="N33" s="572"/>
      <c r="O33" s="484"/>
    </row>
    <row r="34" spans="1:17" ht="15" customHeight="1" x14ac:dyDescent="0.2">
      <c r="A34" s="596"/>
      <c r="B34" s="434"/>
      <c r="C34" s="426"/>
      <c r="D34" s="591"/>
      <c r="E34" s="605"/>
      <c r="F34" s="455"/>
      <c r="G34" s="43" t="s">
        <v>133</v>
      </c>
      <c r="H34" s="264">
        <v>-20</v>
      </c>
      <c r="I34" s="256"/>
      <c r="J34" s="570"/>
      <c r="K34" s="43" t="s">
        <v>133</v>
      </c>
      <c r="L34" s="44">
        <v>-20</v>
      </c>
      <c r="M34" s="20"/>
      <c r="N34" s="573"/>
      <c r="O34" s="485"/>
    </row>
    <row r="35" spans="1:17" ht="21" customHeight="1" x14ac:dyDescent="0.2">
      <c r="A35" s="596"/>
      <c r="B35" s="434"/>
      <c r="C35" s="433" t="s">
        <v>134</v>
      </c>
      <c r="D35" s="433" t="s">
        <v>135</v>
      </c>
      <c r="E35" s="430">
        <v>20</v>
      </c>
      <c r="F35" s="433" t="s">
        <v>303</v>
      </c>
      <c r="G35" s="43" t="s">
        <v>304</v>
      </c>
      <c r="H35" s="264">
        <v>10</v>
      </c>
      <c r="I35" s="256"/>
      <c r="J35" s="568">
        <f>MEDIAN(H35*I35+H36*I36,20,0)</f>
        <v>0</v>
      </c>
      <c r="K35" s="43" t="s">
        <v>304</v>
      </c>
      <c r="L35" s="44">
        <v>10</v>
      </c>
      <c r="M35" s="20"/>
      <c r="N35" s="571">
        <f>MEDIAN(L35*M35+L36*M36,20,0)</f>
        <v>0</v>
      </c>
      <c r="O35" s="430" t="s">
        <v>104</v>
      </c>
    </row>
    <row r="36" spans="1:17" ht="24" customHeight="1" x14ac:dyDescent="0.2">
      <c r="A36" s="596"/>
      <c r="B36" s="434"/>
      <c r="C36" s="434"/>
      <c r="D36" s="434"/>
      <c r="E36" s="431"/>
      <c r="F36" s="434"/>
      <c r="G36" s="43" t="s">
        <v>306</v>
      </c>
      <c r="H36" s="264">
        <v>5</v>
      </c>
      <c r="I36" s="256"/>
      <c r="J36" s="570"/>
      <c r="K36" s="43" t="s">
        <v>306</v>
      </c>
      <c r="L36" s="44">
        <v>5</v>
      </c>
      <c r="M36" s="20"/>
      <c r="N36" s="573"/>
      <c r="O36" s="432"/>
    </row>
    <row r="37" spans="1:17" ht="21" customHeight="1" x14ac:dyDescent="0.2">
      <c r="A37" s="596"/>
      <c r="B37" s="434"/>
      <c r="C37" s="426" t="s">
        <v>139</v>
      </c>
      <c r="D37" s="426" t="s">
        <v>139</v>
      </c>
      <c r="E37" s="448">
        <v>20</v>
      </c>
      <c r="F37" s="433" t="s">
        <v>446</v>
      </c>
      <c r="G37" s="53" t="s">
        <v>307</v>
      </c>
      <c r="H37" s="54">
        <v>20</v>
      </c>
      <c r="I37" s="585"/>
      <c r="J37" s="568">
        <f>IF(I37=100%,20,IF(I37&gt;=8.25%,10,IF(I37&gt;=0,0,IF(I37&lt;0,-10,))))</f>
        <v>0</v>
      </c>
      <c r="K37" s="53" t="s">
        <v>307</v>
      </c>
      <c r="L37" s="221">
        <v>20</v>
      </c>
      <c r="M37" s="559"/>
      <c r="N37" s="574">
        <f>IF(M37=100%,20,IF(M37&gt;=8.25%,10,IF(M37&gt;=0,0,IF(M37&lt;0,-10,))))</f>
        <v>0</v>
      </c>
      <c r="O37" s="430" t="s">
        <v>38</v>
      </c>
    </row>
    <row r="38" spans="1:17" ht="21" customHeight="1" x14ac:dyDescent="0.2">
      <c r="A38" s="596"/>
      <c r="B38" s="434"/>
      <c r="C38" s="426"/>
      <c r="D38" s="426"/>
      <c r="E38" s="448"/>
      <c r="F38" s="434"/>
      <c r="G38" s="53" t="s">
        <v>448</v>
      </c>
      <c r="H38" s="54">
        <v>10</v>
      </c>
      <c r="I38" s="586"/>
      <c r="J38" s="569"/>
      <c r="K38" s="53" t="s">
        <v>448</v>
      </c>
      <c r="L38" s="221">
        <v>10</v>
      </c>
      <c r="M38" s="556"/>
      <c r="N38" s="575"/>
      <c r="O38" s="431"/>
    </row>
    <row r="39" spans="1:17" ht="21" customHeight="1" x14ac:dyDescent="0.2">
      <c r="A39" s="596"/>
      <c r="B39" s="434"/>
      <c r="C39" s="426"/>
      <c r="D39" s="426"/>
      <c r="E39" s="448"/>
      <c r="F39" s="434"/>
      <c r="G39" s="14" t="s">
        <v>447</v>
      </c>
      <c r="H39" s="54">
        <v>0</v>
      </c>
      <c r="I39" s="586"/>
      <c r="J39" s="569"/>
      <c r="K39" s="284" t="s">
        <v>447</v>
      </c>
      <c r="L39" s="221">
        <v>0</v>
      </c>
      <c r="M39" s="556"/>
      <c r="N39" s="575"/>
      <c r="O39" s="431"/>
    </row>
    <row r="40" spans="1:17" ht="21" customHeight="1" x14ac:dyDescent="0.2">
      <c r="A40" s="597"/>
      <c r="B40" s="435"/>
      <c r="C40" s="426"/>
      <c r="D40" s="426"/>
      <c r="E40" s="448"/>
      <c r="F40" s="435"/>
      <c r="G40" s="33" t="s">
        <v>145</v>
      </c>
      <c r="H40" s="54">
        <v>-10</v>
      </c>
      <c r="I40" s="587"/>
      <c r="J40" s="570"/>
      <c r="K40" s="33" t="s">
        <v>449</v>
      </c>
      <c r="L40" s="54">
        <v>-10</v>
      </c>
      <c r="M40" s="557"/>
      <c r="N40" s="576"/>
      <c r="O40" s="432"/>
      <c r="P40" s="25">
        <f>SUM(J30:J40)</f>
        <v>80</v>
      </c>
      <c r="Q40" s="242">
        <f>SUM(N30:N40)</f>
        <v>80</v>
      </c>
    </row>
    <row r="41" spans="1:17" ht="31.5" customHeight="1" x14ac:dyDescent="0.2">
      <c r="A41" s="426" t="s">
        <v>147</v>
      </c>
      <c r="B41" s="600">
        <v>60</v>
      </c>
      <c r="C41" s="222" t="s">
        <v>154</v>
      </c>
      <c r="D41" s="222" t="s">
        <v>155</v>
      </c>
      <c r="E41" s="220">
        <v>10</v>
      </c>
      <c r="F41" s="222" t="s">
        <v>156</v>
      </c>
      <c r="G41" s="43" t="s">
        <v>385</v>
      </c>
      <c r="H41" s="54">
        <v>2</v>
      </c>
      <c r="I41" s="257"/>
      <c r="J41" s="252">
        <f>MEDIAN(H41*I41,10,0)</f>
        <v>0</v>
      </c>
      <c r="K41" s="43" t="s">
        <v>311</v>
      </c>
      <c r="L41" s="221">
        <v>2</v>
      </c>
      <c r="M41" s="26"/>
      <c r="N41" s="228">
        <f>MEDIAN(L41*M41,10,0)</f>
        <v>0</v>
      </c>
      <c r="O41" s="220" t="s">
        <v>112</v>
      </c>
    </row>
    <row r="42" spans="1:17" ht="18" customHeight="1" x14ac:dyDescent="0.2">
      <c r="A42" s="426"/>
      <c r="B42" s="600"/>
      <c r="C42" s="426" t="s">
        <v>160</v>
      </c>
      <c r="D42" s="426" t="s">
        <v>161</v>
      </c>
      <c r="E42" s="448">
        <v>15</v>
      </c>
      <c r="F42" s="448" t="s">
        <v>445</v>
      </c>
      <c r="G42" s="43" t="s">
        <v>163</v>
      </c>
      <c r="H42" s="54">
        <v>2</v>
      </c>
      <c r="I42" s="257"/>
      <c r="J42" s="577">
        <f>MEDIAN(H42*I42+I43*H43+I44*H44,15,0)</f>
        <v>0</v>
      </c>
      <c r="K42" s="43" t="s">
        <v>163</v>
      </c>
      <c r="L42" s="221">
        <v>2</v>
      </c>
      <c r="M42" s="26"/>
      <c r="N42" s="580">
        <f>MEDIAN(L42*M42+M43*L43+M44*L44,15,0)</f>
        <v>0</v>
      </c>
      <c r="O42" s="430" t="s">
        <v>104</v>
      </c>
    </row>
    <row r="43" spans="1:17" ht="21" customHeight="1" x14ac:dyDescent="0.2">
      <c r="A43" s="426"/>
      <c r="B43" s="600"/>
      <c r="C43" s="426"/>
      <c r="D43" s="426"/>
      <c r="E43" s="448"/>
      <c r="F43" s="448"/>
      <c r="G43" s="43" t="s">
        <v>313</v>
      </c>
      <c r="H43" s="54">
        <v>5</v>
      </c>
      <c r="I43" s="258"/>
      <c r="J43" s="578"/>
      <c r="K43" s="43" t="s">
        <v>313</v>
      </c>
      <c r="L43" s="221">
        <v>5</v>
      </c>
      <c r="M43" s="28"/>
      <c r="N43" s="581"/>
      <c r="O43" s="431"/>
    </row>
    <row r="44" spans="1:17" ht="21" customHeight="1" x14ac:dyDescent="0.2">
      <c r="A44" s="426"/>
      <c r="B44" s="600"/>
      <c r="C44" s="426"/>
      <c r="D44" s="426"/>
      <c r="E44" s="448"/>
      <c r="F44" s="448"/>
      <c r="G44" s="43" t="s">
        <v>314</v>
      </c>
      <c r="H44" s="54">
        <v>5</v>
      </c>
      <c r="I44" s="259"/>
      <c r="J44" s="579"/>
      <c r="K44" s="43" t="s">
        <v>314</v>
      </c>
      <c r="L44" s="221">
        <v>5</v>
      </c>
      <c r="M44" s="29"/>
      <c r="N44" s="582"/>
      <c r="O44" s="432"/>
    </row>
    <row r="45" spans="1:17" ht="32.25" customHeight="1" x14ac:dyDescent="0.2">
      <c r="A45" s="426"/>
      <c r="B45" s="600"/>
      <c r="C45" s="14" t="s">
        <v>167</v>
      </c>
      <c r="D45" s="7" t="s">
        <v>167</v>
      </c>
      <c r="E45" s="247">
        <v>20</v>
      </c>
      <c r="F45" s="43" t="s">
        <v>418</v>
      </c>
      <c r="G45" s="43" t="s">
        <v>163</v>
      </c>
      <c r="H45" s="54">
        <v>10</v>
      </c>
      <c r="I45" s="257"/>
      <c r="J45" s="252">
        <f>MEDIAN(H45*I45,20,0)</f>
        <v>0</v>
      </c>
      <c r="K45" s="43" t="s">
        <v>163</v>
      </c>
      <c r="L45" s="221">
        <v>10</v>
      </c>
      <c r="M45" s="26"/>
      <c r="N45" s="51">
        <f>MEDIAN(L45*M45,20,0)</f>
        <v>0</v>
      </c>
      <c r="O45" s="22" t="s">
        <v>104</v>
      </c>
    </row>
    <row r="46" spans="1:17" ht="28.5" customHeight="1" x14ac:dyDescent="0.2">
      <c r="A46" s="426"/>
      <c r="B46" s="600"/>
      <c r="C46" s="43" t="s">
        <v>169</v>
      </c>
      <c r="D46" s="43" t="s">
        <v>170</v>
      </c>
      <c r="E46" s="22">
        <v>10</v>
      </c>
      <c r="F46" s="43" t="s">
        <v>171</v>
      </c>
      <c r="G46" s="43" t="s">
        <v>172</v>
      </c>
      <c r="H46" s="54">
        <v>10</v>
      </c>
      <c r="I46" s="257"/>
      <c r="J46" s="252">
        <f>MEDIAN(H46*I46,10,0)</f>
        <v>0</v>
      </c>
      <c r="K46" s="43" t="s">
        <v>172</v>
      </c>
      <c r="L46" s="221">
        <v>10</v>
      </c>
      <c r="M46" s="26"/>
      <c r="N46" s="51">
        <f>MEDIAN(L46*M46,10,0)</f>
        <v>0</v>
      </c>
      <c r="O46" s="22" t="s">
        <v>104</v>
      </c>
      <c r="P46" s="77"/>
    </row>
    <row r="47" spans="1:17" ht="29.25" customHeight="1" x14ac:dyDescent="0.2">
      <c r="A47" s="426"/>
      <c r="B47" s="600"/>
      <c r="C47" s="223" t="s">
        <v>384</v>
      </c>
      <c r="D47" s="7" t="s">
        <v>149</v>
      </c>
      <c r="E47" s="246">
        <v>5</v>
      </c>
      <c r="F47" s="222" t="s">
        <v>477</v>
      </c>
      <c r="G47" s="46" t="s">
        <v>151</v>
      </c>
      <c r="H47" s="54">
        <v>2</v>
      </c>
      <c r="I47" s="256"/>
      <c r="J47" s="252">
        <f>H47*I47</f>
        <v>0</v>
      </c>
      <c r="K47" s="46" t="s">
        <v>151</v>
      </c>
      <c r="L47" s="221">
        <v>2</v>
      </c>
      <c r="M47" s="20"/>
      <c r="N47" s="228">
        <f>L47*M47</f>
        <v>0</v>
      </c>
      <c r="O47" s="220" t="s">
        <v>104</v>
      </c>
      <c r="P47" s="219">
        <f>SUM(J41:J47)</f>
        <v>0</v>
      </c>
      <c r="Q47" s="243">
        <f>SUM(N41:N47)</f>
        <v>0</v>
      </c>
    </row>
    <row r="48" spans="1:17" ht="18" customHeight="1" x14ac:dyDescent="0.2">
      <c r="A48" s="508" t="s">
        <v>377</v>
      </c>
      <c r="B48" s="426">
        <v>160</v>
      </c>
      <c r="C48" s="433" t="s">
        <v>96</v>
      </c>
      <c r="D48" s="433" t="s">
        <v>403</v>
      </c>
      <c r="E48" s="430">
        <v>30</v>
      </c>
      <c r="F48" s="522" t="s">
        <v>381</v>
      </c>
      <c r="G48" s="439" t="s">
        <v>395</v>
      </c>
      <c r="H48" s="273">
        <f t="shared" ref="H48:H53" si="0">MEDIAN(I48*6,30,0)</f>
        <v>0</v>
      </c>
      <c r="I48" s="257"/>
      <c r="J48" s="525">
        <f>MEDIAN((H48/6+H49/6*2+H50/6*3+H51/6*4+H52/6*5+H53),30,0)</f>
        <v>0</v>
      </c>
      <c r="K48" s="552" t="s">
        <v>382</v>
      </c>
      <c r="L48" s="439">
        <v>6</v>
      </c>
      <c r="M48" s="555"/>
      <c r="N48" s="549">
        <f>MEDIAN(M48*L48,30,0)</f>
        <v>0</v>
      </c>
      <c r="O48" s="430" t="s">
        <v>396</v>
      </c>
    </row>
    <row r="49" spans="1:21" ht="18" customHeight="1" x14ac:dyDescent="0.2">
      <c r="A49" s="596"/>
      <c r="B49" s="426"/>
      <c r="C49" s="434"/>
      <c r="D49" s="434"/>
      <c r="E49" s="431"/>
      <c r="F49" s="523"/>
      <c r="G49" s="440"/>
      <c r="H49" s="273">
        <f t="shared" si="0"/>
        <v>0</v>
      </c>
      <c r="I49" s="257"/>
      <c r="J49" s="525"/>
      <c r="K49" s="553"/>
      <c r="L49" s="440"/>
      <c r="M49" s="556"/>
      <c r="N49" s="550"/>
      <c r="O49" s="431"/>
    </row>
    <row r="50" spans="1:21" ht="18" customHeight="1" x14ac:dyDescent="0.2">
      <c r="A50" s="596"/>
      <c r="B50" s="426"/>
      <c r="C50" s="434"/>
      <c r="D50" s="434"/>
      <c r="E50" s="431"/>
      <c r="F50" s="523"/>
      <c r="G50" s="440"/>
      <c r="H50" s="273">
        <f t="shared" si="0"/>
        <v>0</v>
      </c>
      <c r="I50" s="257"/>
      <c r="J50" s="525"/>
      <c r="K50" s="553"/>
      <c r="L50" s="440"/>
      <c r="M50" s="556"/>
      <c r="N50" s="550"/>
      <c r="O50" s="431"/>
    </row>
    <row r="51" spans="1:21" ht="18" customHeight="1" x14ac:dyDescent="0.2">
      <c r="A51" s="596"/>
      <c r="B51" s="426"/>
      <c r="C51" s="434"/>
      <c r="D51" s="434"/>
      <c r="E51" s="431"/>
      <c r="F51" s="523"/>
      <c r="G51" s="440"/>
      <c r="H51" s="273">
        <f t="shared" si="0"/>
        <v>0</v>
      </c>
      <c r="I51" s="257"/>
      <c r="J51" s="525"/>
      <c r="K51" s="553"/>
      <c r="L51" s="440"/>
      <c r="M51" s="556"/>
      <c r="N51" s="550"/>
      <c r="O51" s="431"/>
    </row>
    <row r="52" spans="1:21" ht="18" customHeight="1" x14ac:dyDescent="0.2">
      <c r="A52" s="596"/>
      <c r="B52" s="426"/>
      <c r="C52" s="434"/>
      <c r="D52" s="434"/>
      <c r="E52" s="431"/>
      <c r="F52" s="523"/>
      <c r="G52" s="440"/>
      <c r="H52" s="273">
        <f t="shared" si="0"/>
        <v>0</v>
      </c>
      <c r="I52" s="257"/>
      <c r="J52" s="525"/>
      <c r="K52" s="553"/>
      <c r="L52" s="440"/>
      <c r="M52" s="556"/>
      <c r="N52" s="550"/>
      <c r="O52" s="431"/>
    </row>
    <row r="53" spans="1:21" ht="18" customHeight="1" x14ac:dyDescent="0.2">
      <c r="A53" s="596"/>
      <c r="B53" s="426"/>
      <c r="C53" s="435"/>
      <c r="D53" s="435"/>
      <c r="E53" s="432"/>
      <c r="F53" s="524"/>
      <c r="G53" s="491"/>
      <c r="H53" s="273">
        <f t="shared" si="0"/>
        <v>0</v>
      </c>
      <c r="I53" s="257"/>
      <c r="J53" s="526"/>
      <c r="K53" s="554"/>
      <c r="L53" s="491"/>
      <c r="M53" s="557"/>
      <c r="N53" s="551"/>
      <c r="O53" s="432"/>
    </row>
    <row r="54" spans="1:21" ht="15" customHeight="1" x14ac:dyDescent="0.2">
      <c r="A54" s="596"/>
      <c r="B54" s="426"/>
      <c r="C54" s="426" t="s">
        <v>101</v>
      </c>
      <c r="D54" s="508" t="s">
        <v>383</v>
      </c>
      <c r="E54" s="430">
        <v>20</v>
      </c>
      <c r="F54" s="433" t="s">
        <v>272</v>
      </c>
      <c r="G54" s="284" t="s">
        <v>386</v>
      </c>
      <c r="H54" s="266">
        <f t="shared" ref="H54:H59" si="1">IF(I54&gt;=91%,5.6,IF(I54&gt;=81%,4.3,IF(I54&gt;=71%,2.8,IF(I54&gt;=61%,2.3,IF(I54&gt;0,1.4,0)))))</f>
        <v>0</v>
      </c>
      <c r="I54" s="260"/>
      <c r="J54" s="525">
        <f>H54/6+H55/6*2+H56/6*3+H57/6*4+H58/6*5+H59</f>
        <v>0</v>
      </c>
      <c r="K54" s="225" t="s">
        <v>386</v>
      </c>
      <c r="L54" s="27">
        <v>20</v>
      </c>
      <c r="M54" s="559"/>
      <c r="N54" s="549">
        <f>IF(M54&gt;=91%,20,IF(M54&gt;=81%,15,IF(M54&gt;=71%,10,IF(M54&gt;=61%,8,IF(M54&gt;0,5,0)))))</f>
        <v>0</v>
      </c>
      <c r="O54" s="430" t="s">
        <v>112</v>
      </c>
      <c r="R54" s="284" t="s">
        <v>386</v>
      </c>
      <c r="S54" s="284">
        <v>20</v>
      </c>
      <c r="T54" s="238">
        <v>5.6</v>
      </c>
      <c r="U54" s="260">
        <v>1</v>
      </c>
    </row>
    <row r="55" spans="1:21" ht="15" customHeight="1" x14ac:dyDescent="0.2">
      <c r="A55" s="596"/>
      <c r="B55" s="426"/>
      <c r="C55" s="426"/>
      <c r="D55" s="434"/>
      <c r="E55" s="431"/>
      <c r="F55" s="434"/>
      <c r="G55" s="284" t="s">
        <v>387</v>
      </c>
      <c r="H55" s="266">
        <f t="shared" si="1"/>
        <v>0</v>
      </c>
      <c r="I55" s="260"/>
      <c r="J55" s="525"/>
      <c r="K55" s="225" t="s">
        <v>387</v>
      </c>
      <c r="L55" s="27">
        <v>15</v>
      </c>
      <c r="M55" s="556"/>
      <c r="N55" s="550"/>
      <c r="O55" s="431"/>
      <c r="R55" s="284" t="s">
        <v>387</v>
      </c>
      <c r="S55" s="284">
        <v>15</v>
      </c>
      <c r="T55" s="238">
        <v>4.3</v>
      </c>
      <c r="U55" s="260">
        <v>0.86</v>
      </c>
    </row>
    <row r="56" spans="1:21" ht="15" customHeight="1" x14ac:dyDescent="0.2">
      <c r="A56" s="596"/>
      <c r="B56" s="426"/>
      <c r="C56" s="426"/>
      <c r="D56" s="434"/>
      <c r="E56" s="431"/>
      <c r="F56" s="434"/>
      <c r="G56" s="284" t="s">
        <v>388</v>
      </c>
      <c r="H56" s="266">
        <f t="shared" si="1"/>
        <v>0</v>
      </c>
      <c r="I56" s="260"/>
      <c r="J56" s="525"/>
      <c r="K56" s="225" t="s">
        <v>388</v>
      </c>
      <c r="L56" s="27">
        <v>10</v>
      </c>
      <c r="M56" s="556"/>
      <c r="N56" s="550"/>
      <c r="O56" s="431"/>
      <c r="R56" s="284" t="s">
        <v>388</v>
      </c>
      <c r="S56" s="284">
        <v>10</v>
      </c>
      <c r="T56" s="238">
        <v>2.8</v>
      </c>
      <c r="U56" s="260">
        <v>0</v>
      </c>
    </row>
    <row r="57" spans="1:21" ht="15" customHeight="1" x14ac:dyDescent="0.2">
      <c r="A57" s="596"/>
      <c r="B57" s="426"/>
      <c r="C57" s="426"/>
      <c r="D57" s="434"/>
      <c r="E57" s="431"/>
      <c r="F57" s="434"/>
      <c r="G57" s="284" t="s">
        <v>389</v>
      </c>
      <c r="H57" s="266">
        <f t="shared" si="1"/>
        <v>0</v>
      </c>
      <c r="I57" s="260"/>
      <c r="J57" s="525"/>
      <c r="K57" s="225" t="s">
        <v>389</v>
      </c>
      <c r="L57" s="27">
        <v>8</v>
      </c>
      <c r="M57" s="556"/>
      <c r="N57" s="550"/>
      <c r="O57" s="431"/>
      <c r="R57" s="284" t="s">
        <v>389</v>
      </c>
      <c r="S57" s="284">
        <v>8</v>
      </c>
      <c r="T57" s="239">
        <v>2.2999999999999998</v>
      </c>
      <c r="U57" s="260">
        <v>0</v>
      </c>
    </row>
    <row r="58" spans="1:21" ht="15" customHeight="1" x14ac:dyDescent="0.2">
      <c r="A58" s="596"/>
      <c r="B58" s="426"/>
      <c r="C58" s="426"/>
      <c r="D58" s="434"/>
      <c r="E58" s="431"/>
      <c r="F58" s="434"/>
      <c r="G58" s="284" t="s">
        <v>390</v>
      </c>
      <c r="H58" s="266">
        <f t="shared" si="1"/>
        <v>0</v>
      </c>
      <c r="I58" s="260"/>
      <c r="J58" s="525"/>
      <c r="K58" s="225" t="s">
        <v>390</v>
      </c>
      <c r="L58" s="27">
        <v>5</v>
      </c>
      <c r="M58" s="556"/>
      <c r="N58" s="550"/>
      <c r="O58" s="431"/>
      <c r="R58" s="284" t="s">
        <v>390</v>
      </c>
      <c r="S58" s="284">
        <v>5</v>
      </c>
      <c r="T58" s="239">
        <v>1.4</v>
      </c>
      <c r="U58" s="260">
        <v>0</v>
      </c>
    </row>
    <row r="59" spans="1:21" ht="15" customHeight="1" x14ac:dyDescent="0.2">
      <c r="A59" s="596"/>
      <c r="B59" s="426"/>
      <c r="C59" s="426"/>
      <c r="D59" s="435"/>
      <c r="E59" s="432"/>
      <c r="F59" s="435"/>
      <c r="G59" s="284">
        <v>0</v>
      </c>
      <c r="H59" s="266">
        <f t="shared" si="1"/>
        <v>0</v>
      </c>
      <c r="I59" s="260"/>
      <c r="J59" s="526"/>
      <c r="K59" s="225">
        <v>0</v>
      </c>
      <c r="M59" s="557"/>
      <c r="N59" s="551"/>
      <c r="O59" s="432"/>
      <c r="R59" s="284">
        <v>0</v>
      </c>
      <c r="S59" s="230"/>
      <c r="T59" s="282">
        <v>0</v>
      </c>
      <c r="U59" s="260">
        <v>1</v>
      </c>
    </row>
    <row r="60" spans="1:21" ht="15" customHeight="1" x14ac:dyDescent="0.2">
      <c r="A60" s="596"/>
      <c r="B60" s="426"/>
      <c r="C60" s="426"/>
      <c r="D60" s="433" t="s">
        <v>106</v>
      </c>
      <c r="E60" s="430">
        <v>30</v>
      </c>
      <c r="F60" s="430" t="s">
        <v>107</v>
      </c>
      <c r="G60" s="284" t="s">
        <v>386</v>
      </c>
      <c r="H60" s="267">
        <f t="shared" ref="H60:H65" si="2">IF(I60&gt;=91%,8.5,IF(I60&gt;=81%,7.1,IF(I60&gt;=71%,5.7,IF(I60&gt;=61%,4.3,IF(I60&gt;0,2.85,0)))))</f>
        <v>0</v>
      </c>
      <c r="I60" s="260"/>
      <c r="J60" s="525">
        <f>H60/6+H61/6*2+H62/6*3+H63/6*4+H64/6*5+H65</f>
        <v>0</v>
      </c>
      <c r="K60" s="225" t="s">
        <v>386</v>
      </c>
      <c r="L60" s="27">
        <v>30</v>
      </c>
      <c r="M60" s="559"/>
      <c r="N60" s="549">
        <f>IF(M60&gt;=91%,30,IF(M60&gt;=81%,25,IF(M60&gt;=71%,20,IF(M60&gt;=61%,15,IF(M60&gt;0,10,0)))))</f>
        <v>0</v>
      </c>
      <c r="O60" s="430" t="s">
        <v>112</v>
      </c>
      <c r="R60" s="284" t="s">
        <v>386</v>
      </c>
      <c r="S60" s="284">
        <v>30</v>
      </c>
      <c r="T60" s="238">
        <v>8.5</v>
      </c>
    </row>
    <row r="61" spans="1:21" ht="15" customHeight="1" x14ac:dyDescent="0.2">
      <c r="A61" s="596"/>
      <c r="B61" s="426"/>
      <c r="C61" s="426"/>
      <c r="D61" s="434"/>
      <c r="E61" s="431"/>
      <c r="F61" s="431"/>
      <c r="G61" s="284" t="s">
        <v>387</v>
      </c>
      <c r="H61" s="267">
        <f t="shared" si="2"/>
        <v>0</v>
      </c>
      <c r="I61" s="260"/>
      <c r="J61" s="525"/>
      <c r="K61" s="225" t="s">
        <v>387</v>
      </c>
      <c r="L61" s="27">
        <v>25</v>
      </c>
      <c r="M61" s="560"/>
      <c r="N61" s="550"/>
      <c r="O61" s="431"/>
      <c r="R61" s="284" t="s">
        <v>387</v>
      </c>
      <c r="S61" s="284">
        <v>25</v>
      </c>
      <c r="T61" s="238">
        <v>7.1</v>
      </c>
    </row>
    <row r="62" spans="1:21" ht="15" customHeight="1" x14ac:dyDescent="0.2">
      <c r="A62" s="596"/>
      <c r="B62" s="426"/>
      <c r="C62" s="426"/>
      <c r="D62" s="434"/>
      <c r="E62" s="431"/>
      <c r="F62" s="431"/>
      <c r="G62" s="284" t="s">
        <v>388</v>
      </c>
      <c r="H62" s="267">
        <f t="shared" si="2"/>
        <v>0</v>
      </c>
      <c r="I62" s="260"/>
      <c r="J62" s="525"/>
      <c r="K62" s="225" t="s">
        <v>388</v>
      </c>
      <c r="L62" s="27">
        <v>20</v>
      </c>
      <c r="M62" s="560"/>
      <c r="N62" s="550"/>
      <c r="O62" s="431"/>
      <c r="R62" s="284" t="s">
        <v>388</v>
      </c>
      <c r="S62" s="284">
        <v>20</v>
      </c>
      <c r="T62" s="238">
        <v>5.7</v>
      </c>
    </row>
    <row r="63" spans="1:21" ht="15" customHeight="1" x14ac:dyDescent="0.2">
      <c r="A63" s="596"/>
      <c r="B63" s="426"/>
      <c r="C63" s="426"/>
      <c r="D63" s="434"/>
      <c r="E63" s="431"/>
      <c r="F63" s="431"/>
      <c r="G63" s="284" t="s">
        <v>389</v>
      </c>
      <c r="H63" s="267">
        <f t="shared" si="2"/>
        <v>0</v>
      </c>
      <c r="I63" s="260"/>
      <c r="J63" s="525"/>
      <c r="K63" s="225" t="s">
        <v>389</v>
      </c>
      <c r="L63" s="27">
        <v>15</v>
      </c>
      <c r="M63" s="560"/>
      <c r="N63" s="550"/>
      <c r="O63" s="431"/>
      <c r="R63" s="284" t="s">
        <v>389</v>
      </c>
      <c r="S63" s="284">
        <v>15</v>
      </c>
      <c r="T63" s="239">
        <v>4.3</v>
      </c>
    </row>
    <row r="64" spans="1:21" ht="15" customHeight="1" x14ac:dyDescent="0.2">
      <c r="A64" s="596"/>
      <c r="B64" s="426"/>
      <c r="C64" s="426"/>
      <c r="D64" s="434"/>
      <c r="E64" s="431"/>
      <c r="F64" s="431"/>
      <c r="G64" s="284" t="s">
        <v>390</v>
      </c>
      <c r="H64" s="267">
        <f t="shared" si="2"/>
        <v>0</v>
      </c>
      <c r="I64" s="260"/>
      <c r="J64" s="525"/>
      <c r="K64" s="225" t="s">
        <v>390</v>
      </c>
      <c r="L64" s="27">
        <v>10</v>
      </c>
      <c r="M64" s="560"/>
      <c r="N64" s="550"/>
      <c r="O64" s="431"/>
      <c r="R64" s="284" t="s">
        <v>390</v>
      </c>
      <c r="S64" s="284">
        <v>10</v>
      </c>
      <c r="T64" s="239">
        <v>2.85</v>
      </c>
    </row>
    <row r="65" spans="1:20" ht="15" customHeight="1" x14ac:dyDescent="0.2">
      <c r="A65" s="596"/>
      <c r="B65" s="426"/>
      <c r="C65" s="426"/>
      <c r="D65" s="435"/>
      <c r="E65" s="432"/>
      <c r="F65" s="432"/>
      <c r="G65" s="284">
        <v>0</v>
      </c>
      <c r="H65" s="267">
        <f t="shared" si="2"/>
        <v>0</v>
      </c>
      <c r="I65" s="260"/>
      <c r="J65" s="526"/>
      <c r="K65" s="225">
        <v>0</v>
      </c>
      <c r="L65" s="27"/>
      <c r="M65" s="561"/>
      <c r="N65" s="551"/>
      <c r="O65" s="432"/>
      <c r="R65" s="284">
        <v>0</v>
      </c>
      <c r="S65" s="284"/>
      <c r="T65" s="284">
        <v>0</v>
      </c>
    </row>
    <row r="66" spans="1:20" ht="15" customHeight="1" x14ac:dyDescent="0.2">
      <c r="A66" s="596"/>
      <c r="B66" s="426"/>
      <c r="C66" s="455" t="s">
        <v>109</v>
      </c>
      <c r="D66" s="433" t="s">
        <v>454</v>
      </c>
      <c r="E66" s="430">
        <v>10</v>
      </c>
      <c r="F66" s="430" t="s">
        <v>420</v>
      </c>
      <c r="G66" s="240" t="s">
        <v>433</v>
      </c>
      <c r="H66" s="267">
        <f t="shared" ref="H66:H77" si="3">IF(I66&gt;=51%,2.8,IF(I66&gt;=31%,2.3,IF(I66&gt;=11%,1.7,IF(I66&gt;0,1.4,0))))</f>
        <v>0</v>
      </c>
      <c r="I66" s="260"/>
      <c r="J66" s="525">
        <f>H66/6+H67/6*2+H68/6*3+H69/6*4+H70/6*5+H71</f>
        <v>0</v>
      </c>
      <c r="K66" s="240" t="s">
        <v>391</v>
      </c>
      <c r="L66" s="30">
        <v>10</v>
      </c>
      <c r="M66" s="559"/>
      <c r="N66" s="549">
        <f>IF(M66&gt;=50%,10,IF(M66&gt;=31%,8,IF(M66&gt;=11%,6,IF(M66&gt;0,5,0))))</f>
        <v>0</v>
      </c>
      <c r="O66" s="430" t="s">
        <v>112</v>
      </c>
      <c r="R66" s="240" t="s">
        <v>391</v>
      </c>
      <c r="S66" s="275">
        <v>10</v>
      </c>
      <c r="T66" s="238">
        <v>2.8</v>
      </c>
    </row>
    <row r="67" spans="1:20" ht="15" customHeight="1" x14ac:dyDescent="0.2">
      <c r="A67" s="596"/>
      <c r="B67" s="426"/>
      <c r="C67" s="455"/>
      <c r="D67" s="434"/>
      <c r="E67" s="431"/>
      <c r="F67" s="431"/>
      <c r="G67" s="233" t="s">
        <v>437</v>
      </c>
      <c r="H67" s="267">
        <f t="shared" si="3"/>
        <v>0</v>
      </c>
      <c r="I67" s="260"/>
      <c r="J67" s="525"/>
      <c r="K67" s="225" t="s">
        <v>392</v>
      </c>
      <c r="L67" s="30">
        <v>8</v>
      </c>
      <c r="M67" s="560"/>
      <c r="N67" s="550"/>
      <c r="O67" s="431"/>
      <c r="R67" s="284" t="s">
        <v>392</v>
      </c>
      <c r="S67" s="275">
        <v>8</v>
      </c>
      <c r="T67" s="238">
        <v>2.2999999999999998</v>
      </c>
    </row>
    <row r="68" spans="1:20" ht="15" customHeight="1" x14ac:dyDescent="0.2">
      <c r="A68" s="596"/>
      <c r="B68" s="426"/>
      <c r="C68" s="455"/>
      <c r="D68" s="434"/>
      <c r="E68" s="431"/>
      <c r="F68" s="431"/>
      <c r="G68" s="33" t="s">
        <v>438</v>
      </c>
      <c r="H68" s="267">
        <f t="shared" si="3"/>
        <v>0</v>
      </c>
      <c r="I68" s="260"/>
      <c r="J68" s="525"/>
      <c r="K68" s="33" t="s">
        <v>393</v>
      </c>
      <c r="L68" s="30">
        <v>6</v>
      </c>
      <c r="M68" s="560"/>
      <c r="N68" s="550"/>
      <c r="O68" s="431"/>
      <c r="R68" s="33" t="s">
        <v>393</v>
      </c>
      <c r="S68" s="275">
        <v>6</v>
      </c>
      <c r="T68" s="238">
        <v>1.7</v>
      </c>
    </row>
    <row r="69" spans="1:20" ht="15" customHeight="1" x14ac:dyDescent="0.2">
      <c r="A69" s="596"/>
      <c r="B69" s="426"/>
      <c r="C69" s="455"/>
      <c r="D69" s="434"/>
      <c r="E69" s="431"/>
      <c r="F69" s="431"/>
      <c r="G69" s="233" t="s">
        <v>439</v>
      </c>
      <c r="H69" s="267">
        <f t="shared" si="3"/>
        <v>0</v>
      </c>
      <c r="I69" s="260"/>
      <c r="J69" s="525"/>
      <c r="K69" s="225" t="s">
        <v>394</v>
      </c>
      <c r="L69" s="30">
        <v>5</v>
      </c>
      <c r="M69" s="560"/>
      <c r="N69" s="550"/>
      <c r="O69" s="431"/>
      <c r="R69" s="284" t="s">
        <v>394</v>
      </c>
      <c r="S69" s="275">
        <v>5</v>
      </c>
      <c r="T69" s="239">
        <v>1.4</v>
      </c>
    </row>
    <row r="70" spans="1:20" ht="15" customHeight="1" x14ac:dyDescent="0.2">
      <c r="A70" s="596"/>
      <c r="B70" s="426"/>
      <c r="C70" s="455"/>
      <c r="D70" s="434"/>
      <c r="E70" s="431"/>
      <c r="F70" s="431"/>
      <c r="G70" s="230">
        <v>0</v>
      </c>
      <c r="H70" s="267">
        <f t="shared" si="3"/>
        <v>0</v>
      </c>
      <c r="I70" s="260"/>
      <c r="J70" s="525"/>
      <c r="K70" s="230">
        <v>0</v>
      </c>
      <c r="M70" s="560"/>
      <c r="N70" s="550"/>
      <c r="O70" s="431"/>
      <c r="R70" s="230">
        <v>0</v>
      </c>
      <c r="S70" s="230"/>
      <c r="T70" s="230"/>
    </row>
    <row r="71" spans="1:20" ht="15" customHeight="1" x14ac:dyDescent="0.2">
      <c r="A71" s="596"/>
      <c r="B71" s="426"/>
      <c r="C71" s="455"/>
      <c r="D71" s="435"/>
      <c r="E71" s="432"/>
      <c r="F71" s="432"/>
      <c r="G71" s="230"/>
      <c r="H71" s="267">
        <f t="shared" si="3"/>
        <v>0</v>
      </c>
      <c r="I71" s="260"/>
      <c r="J71" s="526"/>
      <c r="K71" s="230"/>
      <c r="M71" s="561"/>
      <c r="N71" s="551"/>
      <c r="O71" s="232"/>
      <c r="R71" s="230"/>
      <c r="S71" s="230"/>
      <c r="T71" s="230"/>
    </row>
    <row r="72" spans="1:20" ht="15" customHeight="1" x14ac:dyDescent="0.2">
      <c r="A72" s="596"/>
      <c r="B72" s="426"/>
      <c r="C72" s="455"/>
      <c r="D72" s="433" t="s">
        <v>114</v>
      </c>
      <c r="E72" s="430">
        <v>10</v>
      </c>
      <c r="F72" s="430" t="s">
        <v>421</v>
      </c>
      <c r="G72" s="240" t="s">
        <v>433</v>
      </c>
      <c r="H72" s="267">
        <f t="shared" si="3"/>
        <v>0</v>
      </c>
      <c r="I72" s="260"/>
      <c r="J72" s="525">
        <f>H72/6+H73/6*2+H74/6*3+H75/6*4+H76/6*5+H77</f>
        <v>0</v>
      </c>
      <c r="K72" s="240" t="s">
        <v>391</v>
      </c>
      <c r="L72" s="275">
        <v>10</v>
      </c>
      <c r="M72" s="559"/>
      <c r="N72" s="549">
        <f>IF(M72&gt;=51%,10,IF(M72&gt;=31%,8,IF(M72&gt;=11%,6,IF(M72&gt;0,5,0))))</f>
        <v>0</v>
      </c>
      <c r="O72" s="430" t="s">
        <v>112</v>
      </c>
      <c r="R72" s="240" t="s">
        <v>391</v>
      </c>
      <c r="S72" s="275">
        <v>10</v>
      </c>
      <c r="T72" s="238">
        <v>2.8</v>
      </c>
    </row>
    <row r="73" spans="1:20" ht="15" customHeight="1" x14ac:dyDescent="0.2">
      <c r="A73" s="596"/>
      <c r="B73" s="426"/>
      <c r="C73" s="455"/>
      <c r="D73" s="434"/>
      <c r="E73" s="431"/>
      <c r="F73" s="431"/>
      <c r="G73" s="233" t="s">
        <v>434</v>
      </c>
      <c r="H73" s="267">
        <f t="shared" si="3"/>
        <v>0</v>
      </c>
      <c r="I73" s="260"/>
      <c r="J73" s="525"/>
      <c r="K73" s="284" t="s">
        <v>392</v>
      </c>
      <c r="L73" s="275">
        <v>8</v>
      </c>
      <c r="M73" s="560"/>
      <c r="N73" s="550"/>
      <c r="O73" s="431"/>
      <c r="R73" s="284" t="s">
        <v>392</v>
      </c>
      <c r="S73" s="275">
        <v>8</v>
      </c>
      <c r="T73" s="238">
        <v>2.2999999999999998</v>
      </c>
    </row>
    <row r="74" spans="1:20" ht="15" customHeight="1" x14ac:dyDescent="0.2">
      <c r="A74" s="596"/>
      <c r="B74" s="426"/>
      <c r="C74" s="455"/>
      <c r="D74" s="434"/>
      <c r="E74" s="431"/>
      <c r="F74" s="431"/>
      <c r="G74" s="33" t="s">
        <v>435</v>
      </c>
      <c r="H74" s="267">
        <f t="shared" si="3"/>
        <v>0</v>
      </c>
      <c r="I74" s="260"/>
      <c r="J74" s="525"/>
      <c r="K74" s="33" t="s">
        <v>393</v>
      </c>
      <c r="L74" s="275">
        <v>6</v>
      </c>
      <c r="M74" s="560"/>
      <c r="N74" s="550"/>
      <c r="O74" s="431"/>
      <c r="R74" s="33" t="s">
        <v>393</v>
      </c>
      <c r="S74" s="275">
        <v>6</v>
      </c>
      <c r="T74" s="238">
        <v>1.7</v>
      </c>
    </row>
    <row r="75" spans="1:20" ht="15" customHeight="1" x14ac:dyDescent="0.2">
      <c r="A75" s="596"/>
      <c r="B75" s="426"/>
      <c r="C75" s="455"/>
      <c r="D75" s="434"/>
      <c r="E75" s="431"/>
      <c r="F75" s="431"/>
      <c r="G75" s="233" t="s">
        <v>436</v>
      </c>
      <c r="H75" s="267">
        <f t="shared" si="3"/>
        <v>0</v>
      </c>
      <c r="I75" s="260"/>
      <c r="J75" s="525"/>
      <c r="K75" s="284" t="s">
        <v>394</v>
      </c>
      <c r="L75" s="275">
        <v>5</v>
      </c>
      <c r="M75" s="560"/>
      <c r="N75" s="550"/>
      <c r="O75" s="431"/>
      <c r="R75" s="284" t="s">
        <v>394</v>
      </c>
      <c r="S75" s="275">
        <v>5</v>
      </c>
      <c r="T75" s="239">
        <v>1.4</v>
      </c>
    </row>
    <row r="76" spans="1:20" ht="15" customHeight="1" x14ac:dyDescent="0.2">
      <c r="A76" s="596"/>
      <c r="B76" s="426"/>
      <c r="C76" s="455"/>
      <c r="D76" s="434"/>
      <c r="E76" s="431"/>
      <c r="F76" s="431"/>
      <c r="G76" s="230">
        <v>0</v>
      </c>
      <c r="H76" s="267">
        <f t="shared" si="3"/>
        <v>0</v>
      </c>
      <c r="I76" s="260"/>
      <c r="J76" s="525"/>
      <c r="K76" s="276">
        <v>0</v>
      </c>
      <c r="L76" s="277">
        <v>0</v>
      </c>
      <c r="M76" s="560"/>
      <c r="N76" s="550"/>
      <c r="O76" s="431"/>
      <c r="R76" s="276">
        <v>0</v>
      </c>
      <c r="S76" s="277">
        <v>0</v>
      </c>
      <c r="T76" s="275"/>
    </row>
    <row r="77" spans="1:20" ht="15" customHeight="1" x14ac:dyDescent="0.2">
      <c r="A77" s="596"/>
      <c r="B77" s="426"/>
      <c r="C77" s="455"/>
      <c r="D77" s="435"/>
      <c r="E77" s="432"/>
      <c r="F77" s="432"/>
      <c r="G77" s="230"/>
      <c r="H77" s="267">
        <f t="shared" si="3"/>
        <v>0</v>
      </c>
      <c r="I77" s="260"/>
      <c r="J77" s="526"/>
      <c r="K77" s="216"/>
      <c r="L77" s="230"/>
      <c r="M77" s="561"/>
      <c r="N77" s="551"/>
      <c r="O77" s="432"/>
      <c r="R77" s="216"/>
      <c r="S77" s="230"/>
      <c r="T77" s="275"/>
    </row>
    <row r="78" spans="1:20" ht="15" customHeight="1" x14ac:dyDescent="0.2">
      <c r="A78" s="596"/>
      <c r="B78" s="426"/>
      <c r="C78" s="455"/>
      <c r="D78" s="433" t="s">
        <v>117</v>
      </c>
      <c r="E78" s="430">
        <v>45</v>
      </c>
      <c r="F78" s="430" t="s">
        <v>422</v>
      </c>
      <c r="G78" s="240" t="s">
        <v>440</v>
      </c>
      <c r="H78" s="267">
        <f t="shared" ref="H78:H83" si="4">IF(I78&gt;=51%,12.9,IF(I78&gt;=31%,11.4,IF(I78&gt;=11%,10,IF(I78&gt;0,8.6,0))))</f>
        <v>0</v>
      </c>
      <c r="I78" s="260"/>
      <c r="J78" s="525">
        <f>H78/6+H79/6*2+H80/6*3+H81/6*4+H82/6*5+H83</f>
        <v>0</v>
      </c>
      <c r="K78" s="240" t="s">
        <v>391</v>
      </c>
      <c r="L78" s="27">
        <v>45</v>
      </c>
      <c r="M78" s="583"/>
      <c r="N78" s="549">
        <f>IF(M78&gt;=51%,45,IF(M78&gt;=31%,40,IF(M78&gt;=11%,35,IF(M78&gt;0,30,0))))</f>
        <v>0</v>
      </c>
      <c r="O78" s="430" t="s">
        <v>112</v>
      </c>
      <c r="R78" s="240" t="s">
        <v>397</v>
      </c>
      <c r="S78" s="284">
        <v>45</v>
      </c>
      <c r="T78" s="238">
        <v>12.9</v>
      </c>
    </row>
    <row r="79" spans="1:20" ht="15" customHeight="1" x14ac:dyDescent="0.2">
      <c r="A79" s="596"/>
      <c r="B79" s="426"/>
      <c r="C79" s="455"/>
      <c r="D79" s="434"/>
      <c r="E79" s="431"/>
      <c r="F79" s="431"/>
      <c r="G79" s="233" t="s">
        <v>441</v>
      </c>
      <c r="H79" s="267">
        <f t="shared" si="4"/>
        <v>0</v>
      </c>
      <c r="I79" s="260"/>
      <c r="J79" s="525"/>
      <c r="K79" s="225" t="s">
        <v>392</v>
      </c>
      <c r="L79" s="27">
        <v>40</v>
      </c>
      <c r="M79" s="584"/>
      <c r="N79" s="550"/>
      <c r="O79" s="431"/>
      <c r="R79" s="284" t="s">
        <v>404</v>
      </c>
      <c r="S79" s="284">
        <v>40</v>
      </c>
      <c r="T79" s="238">
        <v>11.4</v>
      </c>
    </row>
    <row r="80" spans="1:20" ht="15" customHeight="1" x14ac:dyDescent="0.2">
      <c r="A80" s="596"/>
      <c r="B80" s="426"/>
      <c r="C80" s="455"/>
      <c r="D80" s="434"/>
      <c r="E80" s="431"/>
      <c r="F80" s="431"/>
      <c r="G80" s="33" t="s">
        <v>435</v>
      </c>
      <c r="H80" s="267">
        <f t="shared" si="4"/>
        <v>0</v>
      </c>
      <c r="I80" s="260"/>
      <c r="J80" s="525"/>
      <c r="K80" s="33" t="s">
        <v>393</v>
      </c>
      <c r="L80" s="27">
        <v>35</v>
      </c>
      <c r="M80" s="584"/>
      <c r="N80" s="550"/>
      <c r="O80" s="431"/>
      <c r="R80" s="33" t="s">
        <v>405</v>
      </c>
      <c r="S80" s="284">
        <v>35</v>
      </c>
      <c r="T80" s="238">
        <v>10</v>
      </c>
    </row>
    <row r="81" spans="1:20" ht="15" customHeight="1" x14ac:dyDescent="0.2">
      <c r="A81" s="596"/>
      <c r="B81" s="426"/>
      <c r="C81" s="455"/>
      <c r="D81" s="434"/>
      <c r="E81" s="431"/>
      <c r="F81" s="431"/>
      <c r="G81" s="233" t="s">
        <v>442</v>
      </c>
      <c r="H81" s="267">
        <f t="shared" si="4"/>
        <v>0</v>
      </c>
      <c r="I81" s="260"/>
      <c r="J81" s="525"/>
      <c r="K81" s="225" t="s">
        <v>394</v>
      </c>
      <c r="L81" s="27">
        <v>30</v>
      </c>
      <c r="M81" s="584"/>
      <c r="N81" s="550"/>
      <c r="O81" s="431"/>
      <c r="R81" s="284" t="s">
        <v>406</v>
      </c>
      <c r="S81" s="284">
        <v>30</v>
      </c>
      <c r="T81" s="238">
        <v>8.6</v>
      </c>
    </row>
    <row r="82" spans="1:20" ht="15" customHeight="1" x14ac:dyDescent="0.2">
      <c r="A82" s="596"/>
      <c r="B82" s="426"/>
      <c r="C82" s="455"/>
      <c r="D82" s="434"/>
      <c r="E82" s="431"/>
      <c r="F82" s="431"/>
      <c r="G82" s="233">
        <v>0</v>
      </c>
      <c r="H82" s="267">
        <f t="shared" si="4"/>
        <v>0</v>
      </c>
      <c r="I82" s="260"/>
      <c r="J82" s="525"/>
      <c r="K82" s="233">
        <v>0</v>
      </c>
      <c r="L82" s="250">
        <v>0</v>
      </c>
      <c r="M82" s="584"/>
      <c r="N82" s="550"/>
      <c r="O82" s="431"/>
      <c r="R82" s="284">
        <v>0</v>
      </c>
      <c r="S82" s="284"/>
      <c r="T82" s="238"/>
    </row>
    <row r="83" spans="1:20" ht="15" customHeight="1" x14ac:dyDescent="0.2">
      <c r="A83" s="596"/>
      <c r="B83" s="426"/>
      <c r="C83" s="455"/>
      <c r="D83" s="434"/>
      <c r="E83" s="431"/>
      <c r="F83" s="431"/>
      <c r="G83" s="31"/>
      <c r="H83" s="267">
        <f t="shared" si="4"/>
        <v>0</v>
      </c>
      <c r="I83" s="260"/>
      <c r="J83" s="526"/>
      <c r="K83" s="31"/>
      <c r="M83" s="584"/>
      <c r="N83" s="551"/>
      <c r="O83" s="431"/>
      <c r="R83" s="285"/>
      <c r="S83" s="230"/>
      <c r="T83" s="284">
        <v>0</v>
      </c>
    </row>
    <row r="84" spans="1:20" ht="15" customHeight="1" x14ac:dyDescent="0.2">
      <c r="A84" s="596"/>
      <c r="B84" s="426"/>
      <c r="C84" s="455"/>
      <c r="D84" s="433" t="s">
        <v>120</v>
      </c>
      <c r="E84" s="430">
        <v>15</v>
      </c>
      <c r="F84" s="430" t="s">
        <v>423</v>
      </c>
      <c r="G84" s="240" t="s">
        <v>443</v>
      </c>
      <c r="H84" s="267">
        <f t="shared" ref="H84:H89" si="5">IF(I84&gt;=51%,4.3,IF(I84&gt;=31%,3.4,IF(I84&gt;=11%,2.8,IF(I84&gt;0,2.3,0))))</f>
        <v>0</v>
      </c>
      <c r="I84" s="260"/>
      <c r="J84" s="525">
        <f>H84/6+H85/6*2+H86/6*3+H87/6*4+H88/6*5+H89</f>
        <v>0</v>
      </c>
      <c r="K84" s="240" t="s">
        <v>391</v>
      </c>
      <c r="L84" s="27">
        <v>15</v>
      </c>
      <c r="M84" s="583"/>
      <c r="N84" s="549">
        <f>IF(M84&gt;=51%,15,IF(M84&gt;=31%,12,IF(M84&gt;=11%,10,IF(M84&gt;0,8,0))))</f>
        <v>0</v>
      </c>
      <c r="O84" s="430" t="s">
        <v>112</v>
      </c>
      <c r="R84" s="240" t="s">
        <v>398</v>
      </c>
      <c r="S84" s="284">
        <v>15</v>
      </c>
      <c r="T84" s="278">
        <v>4.3</v>
      </c>
    </row>
    <row r="85" spans="1:20" ht="15" customHeight="1" x14ac:dyDescent="0.2">
      <c r="A85" s="596"/>
      <c r="B85" s="426"/>
      <c r="C85" s="455"/>
      <c r="D85" s="434"/>
      <c r="E85" s="431"/>
      <c r="F85" s="431"/>
      <c r="G85" s="233" t="s">
        <v>441</v>
      </c>
      <c r="H85" s="267">
        <f t="shared" si="5"/>
        <v>0</v>
      </c>
      <c r="I85" s="260"/>
      <c r="J85" s="525"/>
      <c r="K85" s="225" t="s">
        <v>392</v>
      </c>
      <c r="L85" s="27">
        <v>12</v>
      </c>
      <c r="M85" s="584"/>
      <c r="N85" s="550"/>
      <c r="O85" s="431"/>
      <c r="R85" s="284" t="s">
        <v>399</v>
      </c>
      <c r="S85" s="284">
        <v>12</v>
      </c>
      <c r="T85" s="278">
        <v>3.4</v>
      </c>
    </row>
    <row r="86" spans="1:20" ht="15" customHeight="1" x14ac:dyDescent="0.2">
      <c r="A86" s="596"/>
      <c r="B86" s="426"/>
      <c r="C86" s="455"/>
      <c r="D86" s="434"/>
      <c r="E86" s="431"/>
      <c r="F86" s="431"/>
      <c r="G86" s="33" t="s">
        <v>444</v>
      </c>
      <c r="H86" s="267">
        <f t="shared" si="5"/>
        <v>0</v>
      </c>
      <c r="I86" s="260"/>
      <c r="J86" s="525"/>
      <c r="K86" s="33" t="s">
        <v>393</v>
      </c>
      <c r="L86" s="27">
        <v>10</v>
      </c>
      <c r="M86" s="584"/>
      <c r="N86" s="550"/>
      <c r="O86" s="431"/>
      <c r="R86" s="33" t="s">
        <v>400</v>
      </c>
      <c r="S86" s="284">
        <v>10</v>
      </c>
      <c r="T86" s="278">
        <v>2.8</v>
      </c>
    </row>
    <row r="87" spans="1:20" ht="15" customHeight="1" x14ac:dyDescent="0.2">
      <c r="A87" s="596"/>
      <c r="B87" s="426"/>
      <c r="C87" s="455"/>
      <c r="D87" s="434"/>
      <c r="E87" s="431"/>
      <c r="F87" s="431"/>
      <c r="G87" s="233" t="s">
        <v>439</v>
      </c>
      <c r="H87" s="267">
        <f t="shared" si="5"/>
        <v>0</v>
      </c>
      <c r="I87" s="260"/>
      <c r="J87" s="525"/>
      <c r="K87" s="225" t="s">
        <v>394</v>
      </c>
      <c r="L87" s="27">
        <v>8</v>
      </c>
      <c r="M87" s="584"/>
      <c r="N87" s="550"/>
      <c r="O87" s="431"/>
      <c r="R87" s="284" t="s">
        <v>401</v>
      </c>
      <c r="S87" s="284">
        <v>8</v>
      </c>
      <c r="T87" s="278">
        <v>2.2999999999999998</v>
      </c>
    </row>
    <row r="88" spans="1:20" ht="15" customHeight="1" x14ac:dyDescent="0.2">
      <c r="A88" s="596"/>
      <c r="B88" s="426"/>
      <c r="C88" s="455"/>
      <c r="D88" s="434"/>
      <c r="E88" s="431"/>
      <c r="F88" s="431"/>
      <c r="G88" s="233">
        <v>0</v>
      </c>
      <c r="H88" s="267">
        <f t="shared" si="5"/>
        <v>0</v>
      </c>
      <c r="I88" s="260"/>
      <c r="J88" s="525"/>
      <c r="K88" s="233">
        <v>0</v>
      </c>
      <c r="L88" s="27">
        <v>0</v>
      </c>
      <c r="M88" s="584"/>
      <c r="N88" s="550"/>
      <c r="O88" s="431"/>
      <c r="R88" s="284">
        <v>0</v>
      </c>
      <c r="S88" s="284"/>
      <c r="T88" s="278"/>
    </row>
    <row r="89" spans="1:20" ht="15" customHeight="1" x14ac:dyDescent="0.2">
      <c r="A89" s="597"/>
      <c r="B89" s="426"/>
      <c r="C89" s="455"/>
      <c r="D89" s="434"/>
      <c r="E89" s="431"/>
      <c r="F89" s="431"/>
      <c r="G89" s="14"/>
      <c r="H89" s="267">
        <f t="shared" si="5"/>
        <v>0</v>
      </c>
      <c r="I89" s="260"/>
      <c r="J89" s="526"/>
      <c r="K89" s="209"/>
      <c r="L89" s="27"/>
      <c r="M89" s="584"/>
      <c r="N89" s="551"/>
      <c r="O89" s="431"/>
      <c r="P89" s="218">
        <f>SUM(J48:J89)</f>
        <v>0</v>
      </c>
      <c r="Q89" s="244">
        <f>SUM(N48:N89)</f>
        <v>0</v>
      </c>
      <c r="R89" s="250"/>
      <c r="S89" s="249"/>
      <c r="T89" s="250"/>
    </row>
    <row r="90" spans="1:20" s="1" customFormat="1" ht="28.5" customHeight="1" x14ac:dyDescent="0.2">
      <c r="A90" s="430" t="s">
        <v>315</v>
      </c>
      <c r="B90" s="426">
        <v>220</v>
      </c>
      <c r="C90" s="426" t="s">
        <v>177</v>
      </c>
      <c r="D90" s="43" t="s">
        <v>178</v>
      </c>
      <c r="E90" s="55">
        <f>20%*200</f>
        <v>40</v>
      </c>
      <c r="F90" s="56" t="s">
        <v>179</v>
      </c>
      <c r="G90" s="57" t="s">
        <v>180</v>
      </c>
      <c r="H90" s="268">
        <v>1</v>
      </c>
      <c r="I90" s="256"/>
      <c r="J90" s="601">
        <f>MEDIAN(H90*I90+H91*I91,60,0)</f>
        <v>0</v>
      </c>
      <c r="K90" s="57" t="s">
        <v>180</v>
      </c>
      <c r="L90" s="220">
        <v>1</v>
      </c>
      <c r="M90" s="20"/>
      <c r="N90" s="598">
        <f>MEDIAN(L90*M90+L91*M91,60,0)</f>
        <v>0</v>
      </c>
      <c r="O90" s="35" t="s">
        <v>181</v>
      </c>
      <c r="P90" s="2"/>
      <c r="R90" s="2"/>
      <c r="S90" s="2"/>
      <c r="T90" s="2"/>
    </row>
    <row r="91" spans="1:20" s="1" customFormat="1" ht="28.5" customHeight="1" x14ac:dyDescent="0.2">
      <c r="A91" s="431"/>
      <c r="B91" s="426"/>
      <c r="C91" s="426"/>
      <c r="D91" s="47" t="s">
        <v>183</v>
      </c>
      <c r="E91" s="47">
        <v>20</v>
      </c>
      <c r="F91" s="47" t="s">
        <v>184</v>
      </c>
      <c r="G91" s="47" t="s">
        <v>177</v>
      </c>
      <c r="H91" s="54">
        <v>8</v>
      </c>
      <c r="I91" s="256"/>
      <c r="J91" s="602"/>
      <c r="K91" s="47" t="s">
        <v>177</v>
      </c>
      <c r="L91" s="58">
        <v>8</v>
      </c>
      <c r="M91" s="20"/>
      <c r="N91" s="599"/>
      <c r="O91" s="35" t="s">
        <v>343</v>
      </c>
      <c r="P91" s="2"/>
      <c r="R91" s="2"/>
      <c r="S91" s="2"/>
      <c r="T91" s="2"/>
    </row>
    <row r="92" spans="1:20" s="1" customFormat="1" ht="28.5" customHeight="1" x14ac:dyDescent="0.2">
      <c r="A92" s="431"/>
      <c r="B92" s="426"/>
      <c r="C92" s="426" t="s">
        <v>186</v>
      </c>
      <c r="D92" s="43" t="s">
        <v>187</v>
      </c>
      <c r="E92" s="55">
        <v>30</v>
      </c>
      <c r="F92" s="43" t="s">
        <v>188</v>
      </c>
      <c r="G92" s="22" t="s">
        <v>189</v>
      </c>
      <c r="H92" s="33">
        <v>1.5</v>
      </c>
      <c r="I92" s="256"/>
      <c r="J92" s="253">
        <f>MEDIAN(H92*I92,30,0)</f>
        <v>0</v>
      </c>
      <c r="K92" s="22" t="s">
        <v>189</v>
      </c>
      <c r="L92" s="225">
        <v>1.5</v>
      </c>
      <c r="M92" s="20"/>
      <c r="N92" s="270">
        <f>MEDIAN(L92*M92,30,0)</f>
        <v>0</v>
      </c>
      <c r="O92" s="35" t="s">
        <v>190</v>
      </c>
      <c r="P92" s="2"/>
      <c r="R92" s="2"/>
      <c r="S92" s="2"/>
      <c r="T92" s="2"/>
    </row>
    <row r="93" spans="1:20" s="1" customFormat="1" ht="28.5" customHeight="1" x14ac:dyDescent="0.2">
      <c r="A93" s="431"/>
      <c r="B93" s="426"/>
      <c r="C93" s="426"/>
      <c r="D93" s="43" t="s">
        <v>191</v>
      </c>
      <c r="E93" s="55">
        <v>10</v>
      </c>
      <c r="F93" s="43" t="s">
        <v>192</v>
      </c>
      <c r="G93" s="22" t="s">
        <v>193</v>
      </c>
      <c r="H93" s="33">
        <v>0.5</v>
      </c>
      <c r="I93" s="256"/>
      <c r="J93" s="253">
        <f>MEDIAN(H93*I93,10,0)</f>
        <v>0</v>
      </c>
      <c r="K93" s="22" t="s">
        <v>193</v>
      </c>
      <c r="L93" s="225">
        <v>0.5</v>
      </c>
      <c r="M93" s="20"/>
      <c r="N93" s="270">
        <f>MEDIAN(L93*M93,10,0)</f>
        <v>0</v>
      </c>
      <c r="O93" s="35" t="s">
        <v>194</v>
      </c>
      <c r="P93" s="64"/>
      <c r="Q93" s="64"/>
      <c r="R93" s="2"/>
      <c r="S93" s="2"/>
      <c r="T93" s="2"/>
    </row>
    <row r="94" spans="1:20" s="1" customFormat="1" ht="33.75" customHeight="1" x14ac:dyDescent="0.2">
      <c r="A94" s="431"/>
      <c r="B94" s="426"/>
      <c r="C94" s="426" t="s">
        <v>213</v>
      </c>
      <c r="D94" s="234" t="s">
        <v>214</v>
      </c>
      <c r="E94" s="281">
        <v>40</v>
      </c>
      <c r="F94" s="36" t="s">
        <v>428</v>
      </c>
      <c r="G94" s="235" t="s">
        <v>214</v>
      </c>
      <c r="H94" s="33">
        <v>2</v>
      </c>
      <c r="I94" s="256"/>
      <c r="J94" s="253">
        <f>MEDIAN(H94*I94/5,40,0)</f>
        <v>0</v>
      </c>
      <c r="K94" s="235" t="s">
        <v>214</v>
      </c>
      <c r="L94" s="233">
        <v>2</v>
      </c>
      <c r="M94" s="236"/>
      <c r="N94" s="237">
        <f>MEDIAN(L94*M94/5,40,0)</f>
        <v>0</v>
      </c>
      <c r="O94" s="36" t="s">
        <v>429</v>
      </c>
      <c r="P94" s="2"/>
      <c r="R94" s="2"/>
      <c r="S94" s="2"/>
      <c r="T94" s="2"/>
    </row>
    <row r="95" spans="1:20" s="1" customFormat="1" ht="28.5" customHeight="1" x14ac:dyDescent="0.2">
      <c r="A95" s="431"/>
      <c r="B95" s="426"/>
      <c r="C95" s="426"/>
      <c r="D95" s="234" t="s">
        <v>216</v>
      </c>
      <c r="E95" s="280">
        <v>20</v>
      </c>
      <c r="F95" s="231" t="s">
        <v>427</v>
      </c>
      <c r="G95" s="235" t="s">
        <v>218</v>
      </c>
      <c r="H95" s="269">
        <v>2</v>
      </c>
      <c r="I95" s="256"/>
      <c r="J95" s="253">
        <f>MEDIAN(H95*I95,20,0)</f>
        <v>0</v>
      </c>
      <c r="K95" s="235" t="s">
        <v>218</v>
      </c>
      <c r="L95" s="31">
        <v>2</v>
      </c>
      <c r="M95" s="236"/>
      <c r="N95" s="237">
        <f>MEDIAN(L95*M95,20,0)</f>
        <v>0</v>
      </c>
      <c r="O95" s="36" t="s">
        <v>430</v>
      </c>
      <c r="P95" s="271">
        <f>SUM(J90:J95)</f>
        <v>0</v>
      </c>
      <c r="Q95" s="243">
        <f>SUM(N70:N95)</f>
        <v>0</v>
      </c>
      <c r="R95" s="2"/>
      <c r="S95" s="2"/>
      <c r="T95" s="2"/>
    </row>
    <row r="96" spans="1:20" s="1" customFormat="1" ht="15" customHeight="1" x14ac:dyDescent="0.2">
      <c r="A96" s="431"/>
      <c r="B96" s="426"/>
      <c r="C96" s="433" t="s">
        <v>199</v>
      </c>
      <c r="D96" s="517" t="s">
        <v>200</v>
      </c>
      <c r="E96" s="528">
        <v>30</v>
      </c>
      <c r="F96" s="433" t="s">
        <v>201</v>
      </c>
      <c r="G96" s="430" t="s">
        <v>202</v>
      </c>
      <c r="H96" s="267">
        <f t="shared" ref="H96:H101" si="6">IF(I96&gt;=25,8.6,0)</f>
        <v>0</v>
      </c>
      <c r="I96" s="261"/>
      <c r="J96" s="520">
        <f>H96/6+H97/6*2+H98/6*3+H99/6*4+H100/6*5+H101</f>
        <v>0</v>
      </c>
      <c r="K96" s="430" t="s">
        <v>202</v>
      </c>
      <c r="L96" s="439">
        <v>1</v>
      </c>
      <c r="M96" s="555"/>
      <c r="N96" s="606">
        <f>MEDIAN(L96*M96,30,0)</f>
        <v>0</v>
      </c>
      <c r="O96" s="487" t="s">
        <v>203</v>
      </c>
      <c r="P96" s="2"/>
      <c r="R96" s="2"/>
      <c r="S96" s="2"/>
      <c r="T96" s="2"/>
    </row>
    <row r="97" spans="1:20" s="1" customFormat="1" ht="15" customHeight="1" x14ac:dyDescent="0.2">
      <c r="A97" s="431"/>
      <c r="B97" s="426"/>
      <c r="C97" s="434"/>
      <c r="D97" s="518"/>
      <c r="E97" s="529"/>
      <c r="F97" s="434"/>
      <c r="G97" s="431"/>
      <c r="H97" s="267">
        <f t="shared" si="6"/>
        <v>0</v>
      </c>
      <c r="I97" s="256"/>
      <c r="J97" s="520"/>
      <c r="K97" s="431"/>
      <c r="L97" s="440"/>
      <c r="M97" s="556"/>
      <c r="N97" s="607"/>
      <c r="O97" s="488"/>
      <c r="P97" s="2"/>
      <c r="R97" s="2"/>
      <c r="S97" s="2"/>
      <c r="T97" s="2"/>
    </row>
    <row r="98" spans="1:20" s="1" customFormat="1" ht="15" customHeight="1" x14ac:dyDescent="0.2">
      <c r="A98" s="431"/>
      <c r="B98" s="426"/>
      <c r="C98" s="434"/>
      <c r="D98" s="518"/>
      <c r="E98" s="529"/>
      <c r="F98" s="434"/>
      <c r="G98" s="431"/>
      <c r="H98" s="267">
        <f t="shared" si="6"/>
        <v>0</v>
      </c>
      <c r="I98" s="256"/>
      <c r="J98" s="520"/>
      <c r="K98" s="431"/>
      <c r="L98" s="440"/>
      <c r="M98" s="556"/>
      <c r="N98" s="607"/>
      <c r="O98" s="488"/>
      <c r="P98" s="2"/>
      <c r="R98" s="2"/>
      <c r="S98" s="2"/>
      <c r="T98" s="2"/>
    </row>
    <row r="99" spans="1:20" s="1" customFormat="1" ht="15" customHeight="1" x14ac:dyDescent="0.2">
      <c r="A99" s="431"/>
      <c r="B99" s="426"/>
      <c r="C99" s="434"/>
      <c r="D99" s="518"/>
      <c r="E99" s="529"/>
      <c r="F99" s="434"/>
      <c r="G99" s="431"/>
      <c r="H99" s="267">
        <f t="shared" si="6"/>
        <v>0</v>
      </c>
      <c r="I99" s="256"/>
      <c r="J99" s="520"/>
      <c r="K99" s="431"/>
      <c r="L99" s="440"/>
      <c r="M99" s="556"/>
      <c r="N99" s="607"/>
      <c r="O99" s="488"/>
      <c r="P99" s="2"/>
      <c r="R99" s="2"/>
      <c r="S99" s="2"/>
      <c r="T99" s="2"/>
    </row>
    <row r="100" spans="1:20" s="1" customFormat="1" ht="15" customHeight="1" x14ac:dyDescent="0.2">
      <c r="A100" s="431"/>
      <c r="B100" s="426"/>
      <c r="C100" s="434"/>
      <c r="D100" s="518"/>
      <c r="E100" s="529"/>
      <c r="F100" s="434"/>
      <c r="G100" s="431"/>
      <c r="H100" s="267">
        <f t="shared" si="6"/>
        <v>0</v>
      </c>
      <c r="I100" s="256"/>
      <c r="J100" s="520"/>
      <c r="K100" s="431"/>
      <c r="L100" s="440"/>
      <c r="M100" s="556"/>
      <c r="N100" s="607"/>
      <c r="O100" s="488"/>
      <c r="P100" s="2"/>
      <c r="R100" s="2"/>
      <c r="S100" s="2"/>
      <c r="T100" s="2"/>
    </row>
    <row r="101" spans="1:20" s="1" customFormat="1" ht="15" customHeight="1" x14ac:dyDescent="0.2">
      <c r="A101" s="431"/>
      <c r="B101" s="426"/>
      <c r="C101" s="434"/>
      <c r="D101" s="519"/>
      <c r="E101" s="530"/>
      <c r="F101" s="435"/>
      <c r="G101" s="432"/>
      <c r="H101" s="267">
        <f t="shared" si="6"/>
        <v>0</v>
      </c>
      <c r="I101" s="256"/>
      <c r="J101" s="521"/>
      <c r="K101" s="432"/>
      <c r="L101" s="491"/>
      <c r="M101" s="557"/>
      <c r="N101" s="608"/>
      <c r="O101" s="489"/>
      <c r="P101" s="2"/>
      <c r="R101" s="2"/>
      <c r="S101" s="2"/>
      <c r="T101" s="2"/>
    </row>
    <row r="102" spans="1:20" s="1" customFormat="1" ht="15" customHeight="1" x14ac:dyDescent="0.2">
      <c r="A102" s="431"/>
      <c r="B102" s="426"/>
      <c r="C102" s="434"/>
      <c r="D102" s="517" t="s">
        <v>204</v>
      </c>
      <c r="E102" s="451">
        <f>5%*200</f>
        <v>10</v>
      </c>
      <c r="F102" s="433" t="s">
        <v>205</v>
      </c>
      <c r="G102" s="430" t="s">
        <v>202</v>
      </c>
      <c r="H102" s="267">
        <f t="shared" ref="H102:H107" si="7">IF(I102&gt;=4,2.8,0)</f>
        <v>0</v>
      </c>
      <c r="I102" s="256"/>
      <c r="J102" s="531">
        <f>H102/6+H103/6*2+H104/6*3+H105/6*4+H106/6*5+H107</f>
        <v>0</v>
      </c>
      <c r="K102" s="430" t="s">
        <v>202</v>
      </c>
      <c r="L102" s="439">
        <v>1</v>
      </c>
      <c r="M102" s="555"/>
      <c r="N102" s="606">
        <f>MEDIAN(L102*M102,10,0)</f>
        <v>0</v>
      </c>
      <c r="O102" s="430" t="s">
        <v>206</v>
      </c>
      <c r="P102" s="2"/>
      <c r="R102" s="2"/>
      <c r="S102" s="2"/>
      <c r="T102" s="2"/>
    </row>
    <row r="103" spans="1:20" s="1" customFormat="1" ht="15" customHeight="1" x14ac:dyDescent="0.2">
      <c r="A103" s="431"/>
      <c r="B103" s="426"/>
      <c r="C103" s="434"/>
      <c r="D103" s="518"/>
      <c r="E103" s="452"/>
      <c r="F103" s="434"/>
      <c r="G103" s="431"/>
      <c r="H103" s="267">
        <f t="shared" si="7"/>
        <v>0</v>
      </c>
      <c r="I103" s="256"/>
      <c r="J103" s="531"/>
      <c r="K103" s="431"/>
      <c r="L103" s="440"/>
      <c r="M103" s="556"/>
      <c r="N103" s="607"/>
      <c r="O103" s="431"/>
      <c r="P103" s="2"/>
      <c r="R103" s="2"/>
      <c r="S103" s="2"/>
      <c r="T103" s="2"/>
    </row>
    <row r="104" spans="1:20" s="1" customFormat="1" ht="15" customHeight="1" x14ac:dyDescent="0.2">
      <c r="A104" s="431"/>
      <c r="B104" s="426"/>
      <c r="C104" s="434"/>
      <c r="D104" s="518"/>
      <c r="E104" s="452"/>
      <c r="F104" s="434"/>
      <c r="G104" s="431"/>
      <c r="H104" s="267">
        <f t="shared" si="7"/>
        <v>0</v>
      </c>
      <c r="I104" s="256"/>
      <c r="J104" s="531"/>
      <c r="K104" s="431"/>
      <c r="L104" s="440"/>
      <c r="M104" s="556"/>
      <c r="N104" s="607"/>
      <c r="O104" s="431"/>
      <c r="P104" s="2"/>
      <c r="R104" s="2"/>
      <c r="S104" s="2"/>
      <c r="T104" s="2"/>
    </row>
    <row r="105" spans="1:20" s="1" customFormat="1" ht="15" customHeight="1" x14ac:dyDescent="0.2">
      <c r="A105" s="431"/>
      <c r="B105" s="426"/>
      <c r="C105" s="434"/>
      <c r="D105" s="518"/>
      <c r="E105" s="452"/>
      <c r="F105" s="434"/>
      <c r="G105" s="431"/>
      <c r="H105" s="267">
        <f t="shared" si="7"/>
        <v>0</v>
      </c>
      <c r="I105" s="256"/>
      <c r="J105" s="531"/>
      <c r="K105" s="431"/>
      <c r="L105" s="440"/>
      <c r="M105" s="556"/>
      <c r="N105" s="607"/>
      <c r="O105" s="431"/>
      <c r="P105" s="2"/>
      <c r="R105" s="2"/>
      <c r="S105" s="2"/>
      <c r="T105" s="2"/>
    </row>
    <row r="106" spans="1:20" s="1" customFormat="1" ht="15" customHeight="1" x14ac:dyDescent="0.2">
      <c r="A106" s="431"/>
      <c r="B106" s="426"/>
      <c r="C106" s="434"/>
      <c r="D106" s="518"/>
      <c r="E106" s="452"/>
      <c r="F106" s="434"/>
      <c r="G106" s="431"/>
      <c r="H106" s="267">
        <f t="shared" si="7"/>
        <v>0</v>
      </c>
      <c r="I106" s="256"/>
      <c r="J106" s="531"/>
      <c r="K106" s="431"/>
      <c r="L106" s="440"/>
      <c r="M106" s="556"/>
      <c r="N106" s="607"/>
      <c r="O106" s="431"/>
      <c r="P106" s="2"/>
      <c r="R106" s="2"/>
      <c r="S106" s="2"/>
      <c r="T106" s="2"/>
    </row>
    <row r="107" spans="1:20" s="1" customFormat="1" ht="15" customHeight="1" x14ac:dyDescent="0.2">
      <c r="A107" s="431"/>
      <c r="B107" s="426"/>
      <c r="C107" s="434"/>
      <c r="D107" s="519"/>
      <c r="E107" s="453"/>
      <c r="F107" s="435"/>
      <c r="G107" s="432"/>
      <c r="H107" s="267">
        <f t="shared" si="7"/>
        <v>0</v>
      </c>
      <c r="I107" s="256"/>
      <c r="J107" s="532"/>
      <c r="K107" s="432"/>
      <c r="L107" s="491"/>
      <c r="M107" s="557"/>
      <c r="N107" s="608"/>
      <c r="O107" s="432"/>
      <c r="P107" s="2"/>
      <c r="R107" s="2"/>
      <c r="S107" s="2"/>
      <c r="T107" s="2"/>
    </row>
    <row r="108" spans="1:20" s="1" customFormat="1" ht="15" customHeight="1" x14ac:dyDescent="0.2">
      <c r="A108" s="431"/>
      <c r="B108" s="426"/>
      <c r="C108" s="434"/>
      <c r="D108" s="517" t="s">
        <v>207</v>
      </c>
      <c r="E108" s="451">
        <f>5%*200</f>
        <v>10</v>
      </c>
      <c r="F108" s="433" t="s">
        <v>208</v>
      </c>
      <c r="G108" s="430" t="s">
        <v>209</v>
      </c>
      <c r="H108" s="267">
        <f t="shared" ref="H108:H113" si="8">IF(I108&gt;=3,2.8,0)</f>
        <v>0</v>
      </c>
      <c r="I108" s="256"/>
      <c r="J108" s="520">
        <f>H108/6+H109/6*2+H110/6*3+H111/6*4+H112/6*5+H113</f>
        <v>0</v>
      </c>
      <c r="K108" s="430" t="s">
        <v>209</v>
      </c>
      <c r="L108" s="439">
        <v>2</v>
      </c>
      <c r="M108" s="555"/>
      <c r="N108" s="606">
        <f>MEDIAN(L108*M108,10,0)</f>
        <v>0</v>
      </c>
      <c r="O108" s="430" t="s">
        <v>210</v>
      </c>
      <c r="P108" s="2"/>
      <c r="R108" s="2"/>
      <c r="S108" s="2"/>
      <c r="T108" s="2"/>
    </row>
    <row r="109" spans="1:20" s="1" customFormat="1" ht="15" customHeight="1" x14ac:dyDescent="0.2">
      <c r="A109" s="431"/>
      <c r="B109" s="426"/>
      <c r="C109" s="434"/>
      <c r="D109" s="518"/>
      <c r="E109" s="452"/>
      <c r="F109" s="434"/>
      <c r="G109" s="431"/>
      <c r="H109" s="267">
        <f t="shared" si="8"/>
        <v>0</v>
      </c>
      <c r="I109" s="256"/>
      <c r="J109" s="520"/>
      <c r="K109" s="431"/>
      <c r="L109" s="440"/>
      <c r="M109" s="556"/>
      <c r="N109" s="607"/>
      <c r="O109" s="431"/>
      <c r="P109" s="2"/>
      <c r="R109" s="2"/>
      <c r="S109" s="2"/>
      <c r="T109" s="2"/>
    </row>
    <row r="110" spans="1:20" s="1" customFormat="1" ht="15" customHeight="1" x14ac:dyDescent="0.2">
      <c r="A110" s="431"/>
      <c r="B110" s="426"/>
      <c r="C110" s="434"/>
      <c r="D110" s="518"/>
      <c r="E110" s="452"/>
      <c r="F110" s="434"/>
      <c r="G110" s="431"/>
      <c r="H110" s="267">
        <f t="shared" si="8"/>
        <v>0</v>
      </c>
      <c r="I110" s="256"/>
      <c r="J110" s="520"/>
      <c r="K110" s="431"/>
      <c r="L110" s="440"/>
      <c r="M110" s="556"/>
      <c r="N110" s="607"/>
      <c r="O110" s="431"/>
      <c r="P110" s="2"/>
      <c r="R110" s="2"/>
      <c r="S110" s="2"/>
      <c r="T110" s="2"/>
    </row>
    <row r="111" spans="1:20" s="1" customFormat="1" ht="15" customHeight="1" x14ac:dyDescent="0.2">
      <c r="A111" s="431"/>
      <c r="B111" s="426"/>
      <c r="C111" s="434"/>
      <c r="D111" s="518"/>
      <c r="E111" s="452"/>
      <c r="F111" s="434"/>
      <c r="G111" s="431"/>
      <c r="H111" s="267">
        <f t="shared" si="8"/>
        <v>0</v>
      </c>
      <c r="I111" s="256"/>
      <c r="J111" s="520"/>
      <c r="K111" s="431"/>
      <c r="L111" s="440"/>
      <c r="M111" s="556"/>
      <c r="N111" s="607"/>
      <c r="O111" s="431"/>
      <c r="P111" s="2"/>
      <c r="R111" s="2"/>
      <c r="S111" s="2"/>
      <c r="T111" s="2"/>
    </row>
    <row r="112" spans="1:20" s="1" customFormat="1" ht="15" customHeight="1" x14ac:dyDescent="0.2">
      <c r="A112" s="431"/>
      <c r="B112" s="426"/>
      <c r="C112" s="434"/>
      <c r="D112" s="518"/>
      <c r="E112" s="452"/>
      <c r="F112" s="434"/>
      <c r="G112" s="431"/>
      <c r="H112" s="267">
        <f t="shared" si="8"/>
        <v>0</v>
      </c>
      <c r="I112" s="256"/>
      <c r="J112" s="520"/>
      <c r="K112" s="431"/>
      <c r="L112" s="440"/>
      <c r="M112" s="556"/>
      <c r="N112" s="607"/>
      <c r="O112" s="431"/>
      <c r="P112" s="2"/>
      <c r="R112" s="2"/>
      <c r="S112" s="2"/>
      <c r="T112" s="2"/>
    </row>
    <row r="113" spans="1:20" s="1" customFormat="1" ht="15" customHeight="1" x14ac:dyDescent="0.2">
      <c r="A113" s="431"/>
      <c r="B113" s="426"/>
      <c r="C113" s="434"/>
      <c r="D113" s="519"/>
      <c r="E113" s="453"/>
      <c r="F113" s="435"/>
      <c r="G113" s="432"/>
      <c r="H113" s="267">
        <f t="shared" si="8"/>
        <v>0</v>
      </c>
      <c r="I113" s="256"/>
      <c r="J113" s="521"/>
      <c r="K113" s="432"/>
      <c r="L113" s="491"/>
      <c r="M113" s="557"/>
      <c r="N113" s="608"/>
      <c r="O113" s="432"/>
      <c r="P113" s="2"/>
      <c r="R113" s="2"/>
      <c r="S113" s="2"/>
      <c r="T113" s="2"/>
    </row>
    <row r="114" spans="1:20" s="1" customFormat="1" ht="15" customHeight="1" x14ac:dyDescent="0.2">
      <c r="A114" s="431"/>
      <c r="B114" s="426"/>
      <c r="C114" s="434"/>
      <c r="D114" s="517" t="s">
        <v>455</v>
      </c>
      <c r="E114" s="451">
        <f>5%*200</f>
        <v>10</v>
      </c>
      <c r="F114" s="430" t="s">
        <v>424</v>
      </c>
      <c r="G114" s="430" t="s">
        <v>197</v>
      </c>
      <c r="H114" s="267">
        <f t="shared" ref="H114:H119" si="9">IF(I114&gt;=50%,2.8,0)</f>
        <v>0</v>
      </c>
      <c r="I114" s="260"/>
      <c r="J114" s="520">
        <f>H114/6+H115/6*2+H116/6*3+H117/6*4+H118/6*5+H119</f>
        <v>0</v>
      </c>
      <c r="K114" s="430" t="s">
        <v>197</v>
      </c>
      <c r="L114" s="439">
        <v>2</v>
      </c>
      <c r="M114" s="555"/>
      <c r="N114" s="606">
        <f>MEDIAN(L114*M114,10,0)</f>
        <v>0</v>
      </c>
      <c r="O114" s="430" t="s">
        <v>198</v>
      </c>
      <c r="P114" s="2"/>
      <c r="R114" s="2"/>
      <c r="S114" s="2"/>
      <c r="T114" s="2"/>
    </row>
    <row r="115" spans="1:20" s="1" customFormat="1" ht="15" customHeight="1" x14ac:dyDescent="0.2">
      <c r="A115" s="431"/>
      <c r="B115" s="426"/>
      <c r="C115" s="434"/>
      <c r="D115" s="518"/>
      <c r="E115" s="452"/>
      <c r="F115" s="431"/>
      <c r="G115" s="431"/>
      <c r="H115" s="267">
        <f t="shared" si="9"/>
        <v>0</v>
      </c>
      <c r="I115" s="262"/>
      <c r="J115" s="520"/>
      <c r="K115" s="431"/>
      <c r="L115" s="440"/>
      <c r="M115" s="556"/>
      <c r="N115" s="607"/>
      <c r="O115" s="431"/>
      <c r="P115" s="2"/>
    </row>
    <row r="116" spans="1:20" s="1" customFormat="1" ht="15" customHeight="1" x14ac:dyDescent="0.2">
      <c r="A116" s="431"/>
      <c r="B116" s="426"/>
      <c r="C116" s="434"/>
      <c r="D116" s="518"/>
      <c r="E116" s="452"/>
      <c r="F116" s="431"/>
      <c r="G116" s="431"/>
      <c r="H116" s="267">
        <f t="shared" si="9"/>
        <v>0</v>
      </c>
      <c r="I116" s="262"/>
      <c r="J116" s="520"/>
      <c r="K116" s="431"/>
      <c r="L116" s="440"/>
      <c r="M116" s="556"/>
      <c r="N116" s="607"/>
      <c r="O116" s="431"/>
      <c r="P116" s="2"/>
    </row>
    <row r="117" spans="1:20" s="1" customFormat="1" ht="15" customHeight="1" x14ac:dyDescent="0.2">
      <c r="A117" s="431"/>
      <c r="B117" s="426"/>
      <c r="C117" s="434"/>
      <c r="D117" s="518"/>
      <c r="E117" s="452"/>
      <c r="F117" s="431"/>
      <c r="G117" s="431"/>
      <c r="H117" s="267">
        <f t="shared" si="9"/>
        <v>0</v>
      </c>
      <c r="I117" s="262"/>
      <c r="J117" s="520"/>
      <c r="K117" s="431"/>
      <c r="L117" s="440"/>
      <c r="M117" s="556"/>
      <c r="N117" s="607"/>
      <c r="O117" s="431"/>
      <c r="P117" s="2"/>
    </row>
    <row r="118" spans="1:20" s="1" customFormat="1" ht="15" customHeight="1" x14ac:dyDescent="0.2">
      <c r="A118" s="431"/>
      <c r="B118" s="426"/>
      <c r="C118" s="434"/>
      <c r="D118" s="518"/>
      <c r="E118" s="452"/>
      <c r="F118" s="431"/>
      <c r="G118" s="431"/>
      <c r="H118" s="267">
        <f t="shared" si="9"/>
        <v>0</v>
      </c>
      <c r="I118" s="262"/>
      <c r="J118" s="520"/>
      <c r="K118" s="431"/>
      <c r="L118" s="440"/>
      <c r="M118" s="556"/>
      <c r="N118" s="607"/>
      <c r="O118" s="431"/>
      <c r="P118" s="2"/>
    </row>
    <row r="119" spans="1:20" s="1" customFormat="1" ht="15" customHeight="1" x14ac:dyDescent="0.2">
      <c r="A119" s="431"/>
      <c r="B119" s="426"/>
      <c r="C119" s="435"/>
      <c r="D119" s="519"/>
      <c r="E119" s="453"/>
      <c r="F119" s="432"/>
      <c r="G119" s="432"/>
      <c r="H119" s="267">
        <f t="shared" si="9"/>
        <v>0</v>
      </c>
      <c r="I119" s="262"/>
      <c r="J119" s="521"/>
      <c r="K119" s="432"/>
      <c r="L119" s="491"/>
      <c r="M119" s="557"/>
      <c r="N119" s="608"/>
      <c r="O119" s="432"/>
      <c r="P119" s="272">
        <f>SUM(J96:J119)</f>
        <v>0</v>
      </c>
    </row>
    <row r="120" spans="1:20" ht="31.5" customHeight="1" x14ac:dyDescent="0.2">
      <c r="A120" s="448" t="s">
        <v>332</v>
      </c>
      <c r="B120" s="437">
        <v>220</v>
      </c>
      <c r="C120" s="438" t="s">
        <v>221</v>
      </c>
      <c r="D120" s="248" t="s">
        <v>222</v>
      </c>
      <c r="E120" s="47">
        <v>60</v>
      </c>
      <c r="F120" s="60" t="s">
        <v>223</v>
      </c>
      <c r="G120" s="61" t="s">
        <v>180</v>
      </c>
      <c r="H120" s="268">
        <v>6</v>
      </c>
      <c r="I120" s="256"/>
      <c r="J120" s="603">
        <f>MEDIAN(H120*I120+H121*I121,80,0)</f>
        <v>0</v>
      </c>
      <c r="K120" s="61" t="s">
        <v>180</v>
      </c>
      <c r="L120" s="224">
        <v>6</v>
      </c>
      <c r="M120" s="20"/>
      <c r="N120" s="594">
        <f>MEDIAN(L120*M120+L121*M121,80,0)</f>
        <v>0</v>
      </c>
      <c r="O120" s="35" t="s">
        <v>432</v>
      </c>
    </row>
    <row r="121" spans="1:20" ht="24" customHeight="1" x14ac:dyDescent="0.2">
      <c r="A121" s="448"/>
      <c r="B121" s="437"/>
      <c r="C121" s="438"/>
      <c r="D121" s="248" t="s">
        <v>183</v>
      </c>
      <c r="E121" s="47">
        <v>20</v>
      </c>
      <c r="F121" s="47" t="s">
        <v>184</v>
      </c>
      <c r="G121" s="47" t="s">
        <v>177</v>
      </c>
      <c r="H121" s="54">
        <v>8</v>
      </c>
      <c r="I121" s="256"/>
      <c r="J121" s="604"/>
      <c r="K121" s="47" t="s">
        <v>177</v>
      </c>
      <c r="L121" s="58">
        <v>8</v>
      </c>
      <c r="M121" s="20"/>
      <c r="N121" s="595"/>
      <c r="O121" s="35" t="s">
        <v>431</v>
      </c>
    </row>
    <row r="122" spans="1:20" ht="32.25" customHeight="1" x14ac:dyDescent="0.2">
      <c r="A122" s="448"/>
      <c r="B122" s="437"/>
      <c r="C122" s="234" t="s">
        <v>226</v>
      </c>
      <c r="D122" s="248" t="s">
        <v>227</v>
      </c>
      <c r="E122" s="47">
        <v>30</v>
      </c>
      <c r="F122" s="47" t="s">
        <v>425</v>
      </c>
      <c r="G122" s="47" t="s">
        <v>177</v>
      </c>
      <c r="H122" s="54">
        <v>4</v>
      </c>
      <c r="I122" s="263"/>
      <c r="J122" s="254">
        <f>MEDIAN(H122*I122,30,0)</f>
        <v>0</v>
      </c>
      <c r="K122" s="47" t="s">
        <v>177</v>
      </c>
      <c r="L122" s="62">
        <v>4</v>
      </c>
      <c r="M122" s="20"/>
      <c r="N122" s="287">
        <f>MEDIAN(L122*M122,30,0)</f>
        <v>0</v>
      </c>
      <c r="O122" s="35" t="s">
        <v>426</v>
      </c>
    </row>
    <row r="123" spans="1:20" ht="32.25" customHeight="1" x14ac:dyDescent="0.2">
      <c r="A123" s="448"/>
      <c r="B123" s="437"/>
      <c r="C123" s="234" t="s">
        <v>195</v>
      </c>
      <c r="D123" s="248" t="s">
        <v>195</v>
      </c>
      <c r="E123" s="47">
        <v>30</v>
      </c>
      <c r="F123" s="47" t="s">
        <v>230</v>
      </c>
      <c r="G123" s="47" t="s">
        <v>336</v>
      </c>
      <c r="H123" s="54">
        <v>6</v>
      </c>
      <c r="I123" s="256"/>
      <c r="J123" s="254">
        <f>MEDIAN(H123*I123,30,0)</f>
        <v>0</v>
      </c>
      <c r="K123" s="47" t="s">
        <v>336</v>
      </c>
      <c r="L123" s="58">
        <v>6</v>
      </c>
      <c r="M123" s="20"/>
      <c r="N123" s="287">
        <f>MEDIAN(L123*M123,30,0)</f>
        <v>0</v>
      </c>
      <c r="O123" s="35" t="s">
        <v>231</v>
      </c>
      <c r="P123" s="63">
        <f>SUM(J120:J123)</f>
        <v>0</v>
      </c>
      <c r="Q123" s="243">
        <f>SUM(N120:N123)</f>
        <v>0</v>
      </c>
    </row>
    <row r="124" spans="1:20" ht="17.25" customHeight="1" x14ac:dyDescent="0.2">
      <c r="A124" s="448"/>
      <c r="B124" s="437"/>
      <c r="C124" s="438" t="s">
        <v>199</v>
      </c>
      <c r="D124" s="517" t="s">
        <v>232</v>
      </c>
      <c r="E124" s="511">
        <v>10</v>
      </c>
      <c r="F124" s="511" t="s">
        <v>233</v>
      </c>
      <c r="G124" s="47" t="s">
        <v>402</v>
      </c>
      <c r="H124" s="267">
        <f t="shared" ref="H124:H129" si="10">IF(I124&gt;=7,2.8,0)</f>
        <v>0</v>
      </c>
      <c r="I124" s="274"/>
      <c r="J124" s="527">
        <f>H124/6+H125/6*2+H126/6*3+H127/6*4+H128/6*5+H129</f>
        <v>0</v>
      </c>
      <c r="K124" s="511" t="s">
        <v>407</v>
      </c>
      <c r="L124" s="267">
        <f t="shared" ref="L124:L129" si="11">IF(M124&gt;=7,2,0)</f>
        <v>0</v>
      </c>
      <c r="M124" s="261"/>
      <c r="N124" s="514">
        <f>MEDIAN(L124+L125+L126+L127+L128+L129,10,0)</f>
        <v>0</v>
      </c>
      <c r="O124" s="448" t="s">
        <v>234</v>
      </c>
    </row>
    <row r="125" spans="1:20" ht="16.5" x14ac:dyDescent="0.2">
      <c r="A125" s="448"/>
      <c r="B125" s="437"/>
      <c r="C125" s="438"/>
      <c r="D125" s="518"/>
      <c r="E125" s="512"/>
      <c r="F125" s="512"/>
      <c r="G125" s="234" t="s">
        <v>402</v>
      </c>
      <c r="H125" s="267">
        <f t="shared" si="10"/>
        <v>0</v>
      </c>
      <c r="I125" s="274"/>
      <c r="J125" s="527"/>
      <c r="K125" s="512"/>
      <c r="L125" s="267">
        <f t="shared" si="11"/>
        <v>0</v>
      </c>
      <c r="M125" s="261"/>
      <c r="N125" s="515"/>
      <c r="O125" s="448"/>
    </row>
    <row r="126" spans="1:20" ht="16.5" x14ac:dyDescent="0.2">
      <c r="A126" s="448"/>
      <c r="B126" s="437"/>
      <c r="C126" s="438"/>
      <c r="D126" s="518"/>
      <c r="E126" s="512"/>
      <c r="F126" s="512"/>
      <c r="G126" s="234" t="s">
        <v>402</v>
      </c>
      <c r="H126" s="267">
        <f t="shared" si="10"/>
        <v>0</v>
      </c>
      <c r="I126" s="274"/>
      <c r="J126" s="527"/>
      <c r="K126" s="512"/>
      <c r="L126" s="267">
        <f t="shared" si="11"/>
        <v>0</v>
      </c>
      <c r="M126" s="261"/>
      <c r="N126" s="515"/>
      <c r="O126" s="448"/>
    </row>
    <row r="127" spans="1:20" ht="16.5" x14ac:dyDescent="0.2">
      <c r="A127" s="448"/>
      <c r="B127" s="437"/>
      <c r="C127" s="438"/>
      <c r="D127" s="518"/>
      <c r="E127" s="512"/>
      <c r="F127" s="512"/>
      <c r="G127" s="234" t="s">
        <v>402</v>
      </c>
      <c r="H127" s="267">
        <f t="shared" si="10"/>
        <v>0</v>
      </c>
      <c r="I127" s="274"/>
      <c r="J127" s="527"/>
      <c r="K127" s="512"/>
      <c r="L127" s="267">
        <f t="shared" si="11"/>
        <v>0</v>
      </c>
      <c r="M127" s="261"/>
      <c r="N127" s="515"/>
      <c r="O127" s="448"/>
    </row>
    <row r="128" spans="1:20" ht="16.5" x14ac:dyDescent="0.2">
      <c r="A128" s="448"/>
      <c r="B128" s="437"/>
      <c r="C128" s="438"/>
      <c r="D128" s="518"/>
      <c r="E128" s="512"/>
      <c r="F128" s="512"/>
      <c r="G128" s="234" t="s">
        <v>402</v>
      </c>
      <c r="H128" s="267">
        <f t="shared" si="10"/>
        <v>0</v>
      </c>
      <c r="I128" s="274"/>
      <c r="J128" s="527"/>
      <c r="K128" s="512"/>
      <c r="L128" s="267">
        <f t="shared" si="11"/>
        <v>0</v>
      </c>
      <c r="M128" s="261"/>
      <c r="N128" s="515"/>
      <c r="O128" s="448"/>
    </row>
    <row r="129" spans="1:15" ht="16.5" customHeight="1" x14ac:dyDescent="0.2">
      <c r="A129" s="448"/>
      <c r="B129" s="437"/>
      <c r="C129" s="438"/>
      <c r="D129" s="519"/>
      <c r="E129" s="513"/>
      <c r="F129" s="513"/>
      <c r="G129" s="234" t="s">
        <v>402</v>
      </c>
      <c r="H129" s="267">
        <f t="shared" si="10"/>
        <v>0</v>
      </c>
      <c r="I129" s="274"/>
      <c r="J129" s="527"/>
      <c r="K129" s="513"/>
      <c r="L129" s="267">
        <f t="shared" si="11"/>
        <v>0</v>
      </c>
      <c r="M129" s="261"/>
      <c r="N129" s="516"/>
      <c r="O129" s="448"/>
    </row>
    <row r="130" spans="1:15" ht="19.5" customHeight="1" x14ac:dyDescent="0.2">
      <c r="A130" s="448"/>
      <c r="B130" s="437"/>
      <c r="C130" s="438"/>
      <c r="D130" s="517" t="s">
        <v>456</v>
      </c>
      <c r="E130" s="511">
        <v>10</v>
      </c>
      <c r="F130" s="511" t="s">
        <v>236</v>
      </c>
      <c r="G130" s="234" t="s">
        <v>402</v>
      </c>
      <c r="H130" s="267">
        <f t="shared" ref="H130:H135" si="12">IF(I130&gt;=55,2.8,0)</f>
        <v>0</v>
      </c>
      <c r="I130" s="274"/>
      <c r="J130" s="527">
        <f>H130/6+H131/6*2+H132/6*3+H133/6*4+H134/6*5+H135</f>
        <v>0</v>
      </c>
      <c r="K130" s="511" t="s">
        <v>407</v>
      </c>
      <c r="L130" s="267">
        <f t="shared" ref="L130:L135" si="13">IF(M130&gt;=55,2,0)</f>
        <v>0</v>
      </c>
      <c r="M130" s="261"/>
      <c r="N130" s="514">
        <f>MEDIAN(L130+L131+L132+L133+L134+L135,10,0)</f>
        <v>0</v>
      </c>
      <c r="O130" s="430" t="s">
        <v>234</v>
      </c>
    </row>
    <row r="131" spans="1:15" ht="16.5" x14ac:dyDescent="0.2">
      <c r="A131" s="448"/>
      <c r="B131" s="437"/>
      <c r="C131" s="438"/>
      <c r="D131" s="518"/>
      <c r="E131" s="512"/>
      <c r="F131" s="512"/>
      <c r="G131" s="234" t="s">
        <v>402</v>
      </c>
      <c r="H131" s="267">
        <f t="shared" si="12"/>
        <v>0</v>
      </c>
      <c r="I131" s="274"/>
      <c r="J131" s="527"/>
      <c r="K131" s="512"/>
      <c r="L131" s="267">
        <f t="shared" si="13"/>
        <v>0</v>
      </c>
      <c r="M131" s="261"/>
      <c r="N131" s="515"/>
      <c r="O131" s="431"/>
    </row>
    <row r="132" spans="1:15" ht="16.5" x14ac:dyDescent="0.2">
      <c r="A132" s="448"/>
      <c r="B132" s="437"/>
      <c r="C132" s="438"/>
      <c r="D132" s="518"/>
      <c r="E132" s="512"/>
      <c r="F132" s="512"/>
      <c r="G132" s="234" t="s">
        <v>402</v>
      </c>
      <c r="H132" s="267">
        <f t="shared" si="12"/>
        <v>0</v>
      </c>
      <c r="I132" s="274"/>
      <c r="J132" s="527"/>
      <c r="K132" s="512"/>
      <c r="L132" s="267">
        <f t="shared" si="13"/>
        <v>0</v>
      </c>
      <c r="M132" s="261"/>
      <c r="N132" s="515"/>
      <c r="O132" s="431"/>
    </row>
    <row r="133" spans="1:15" ht="16.5" x14ac:dyDescent="0.2">
      <c r="A133" s="448"/>
      <c r="B133" s="437"/>
      <c r="C133" s="438"/>
      <c r="D133" s="518"/>
      <c r="E133" s="512"/>
      <c r="F133" s="512"/>
      <c r="G133" s="234" t="s">
        <v>402</v>
      </c>
      <c r="H133" s="267">
        <f t="shared" si="12"/>
        <v>0</v>
      </c>
      <c r="I133" s="274"/>
      <c r="J133" s="527"/>
      <c r="K133" s="512"/>
      <c r="L133" s="267">
        <f t="shared" si="13"/>
        <v>0</v>
      </c>
      <c r="M133" s="261"/>
      <c r="N133" s="515"/>
      <c r="O133" s="431"/>
    </row>
    <row r="134" spans="1:15" ht="16.5" x14ac:dyDescent="0.2">
      <c r="A134" s="448"/>
      <c r="B134" s="437"/>
      <c r="C134" s="438"/>
      <c r="D134" s="518"/>
      <c r="E134" s="512"/>
      <c r="F134" s="512"/>
      <c r="G134" s="234" t="s">
        <v>402</v>
      </c>
      <c r="H134" s="267">
        <f t="shared" si="12"/>
        <v>0</v>
      </c>
      <c r="I134" s="274"/>
      <c r="J134" s="527"/>
      <c r="K134" s="512"/>
      <c r="L134" s="267">
        <f t="shared" si="13"/>
        <v>0</v>
      </c>
      <c r="M134" s="261"/>
      <c r="N134" s="515"/>
      <c r="O134" s="431"/>
    </row>
    <row r="135" spans="1:15" ht="16.5" x14ac:dyDescent="0.2">
      <c r="A135" s="448"/>
      <c r="B135" s="437"/>
      <c r="C135" s="438"/>
      <c r="D135" s="519"/>
      <c r="E135" s="513"/>
      <c r="F135" s="513"/>
      <c r="G135" s="234" t="s">
        <v>402</v>
      </c>
      <c r="H135" s="267">
        <f t="shared" si="12"/>
        <v>0</v>
      </c>
      <c r="I135" s="274"/>
      <c r="J135" s="527"/>
      <c r="K135" s="513"/>
      <c r="L135" s="267">
        <f t="shared" si="13"/>
        <v>0</v>
      </c>
      <c r="M135" s="261"/>
      <c r="N135" s="516"/>
      <c r="O135" s="432"/>
    </row>
    <row r="136" spans="1:15" ht="13.5" customHeight="1" x14ac:dyDescent="0.2">
      <c r="A136" s="448"/>
      <c r="B136" s="437"/>
      <c r="C136" s="438"/>
      <c r="D136" s="517" t="s">
        <v>237</v>
      </c>
      <c r="E136" s="511">
        <v>10</v>
      </c>
      <c r="F136" s="511" t="s">
        <v>238</v>
      </c>
      <c r="G136" s="234" t="s">
        <v>402</v>
      </c>
      <c r="H136" s="267">
        <f t="shared" ref="H136:H141" si="14">IF(I136&gt;=14,2.8,0)</f>
        <v>0</v>
      </c>
      <c r="I136" s="261"/>
      <c r="J136" s="527">
        <f>H136/6+H137/6*2+H138/6*3+H139/6*4+H140/6*5+H141</f>
        <v>0</v>
      </c>
      <c r="K136" s="511" t="s">
        <v>407</v>
      </c>
      <c r="L136" s="267">
        <f t="shared" ref="L136:L141" si="15">IF(M136&gt;=14,2,0)</f>
        <v>0</v>
      </c>
      <c r="M136" s="261"/>
      <c r="N136" s="514">
        <f>MEDIAN(L136+L137+L138+L139+L140+L141,10,0)</f>
        <v>0</v>
      </c>
      <c r="O136" s="430" t="s">
        <v>234</v>
      </c>
    </row>
    <row r="137" spans="1:15" ht="16.5" x14ac:dyDescent="0.2">
      <c r="A137" s="448"/>
      <c r="B137" s="437"/>
      <c r="C137" s="438"/>
      <c r="D137" s="518"/>
      <c r="E137" s="512"/>
      <c r="F137" s="512"/>
      <c r="G137" s="234" t="s">
        <v>402</v>
      </c>
      <c r="H137" s="267">
        <f t="shared" si="14"/>
        <v>0</v>
      </c>
      <c r="I137" s="261"/>
      <c r="J137" s="527"/>
      <c r="K137" s="512"/>
      <c r="L137" s="267">
        <f t="shared" si="15"/>
        <v>0</v>
      </c>
      <c r="M137" s="261"/>
      <c r="N137" s="515"/>
      <c r="O137" s="431"/>
    </row>
    <row r="138" spans="1:15" ht="16.5" x14ac:dyDescent="0.2">
      <c r="A138" s="448"/>
      <c r="B138" s="437"/>
      <c r="C138" s="438"/>
      <c r="D138" s="518"/>
      <c r="E138" s="512"/>
      <c r="F138" s="512"/>
      <c r="G138" s="234" t="s">
        <v>402</v>
      </c>
      <c r="H138" s="267">
        <f t="shared" si="14"/>
        <v>0</v>
      </c>
      <c r="I138" s="261"/>
      <c r="J138" s="527"/>
      <c r="K138" s="512"/>
      <c r="L138" s="267">
        <f t="shared" si="15"/>
        <v>0</v>
      </c>
      <c r="M138" s="261"/>
      <c r="N138" s="515"/>
      <c r="O138" s="431"/>
    </row>
    <row r="139" spans="1:15" ht="16.5" x14ac:dyDescent="0.2">
      <c r="A139" s="448"/>
      <c r="B139" s="437"/>
      <c r="C139" s="438"/>
      <c r="D139" s="518"/>
      <c r="E139" s="512"/>
      <c r="F139" s="512"/>
      <c r="G139" s="234" t="s">
        <v>402</v>
      </c>
      <c r="H139" s="267">
        <f t="shared" si="14"/>
        <v>0</v>
      </c>
      <c r="I139" s="261"/>
      <c r="J139" s="527"/>
      <c r="K139" s="512"/>
      <c r="L139" s="267">
        <f t="shared" si="15"/>
        <v>0</v>
      </c>
      <c r="M139" s="261"/>
      <c r="N139" s="515"/>
      <c r="O139" s="431"/>
    </row>
    <row r="140" spans="1:15" ht="16.5" x14ac:dyDescent="0.2">
      <c r="A140" s="448"/>
      <c r="B140" s="437"/>
      <c r="C140" s="438"/>
      <c r="D140" s="518"/>
      <c r="E140" s="512"/>
      <c r="F140" s="512"/>
      <c r="G140" s="234" t="s">
        <v>402</v>
      </c>
      <c r="H140" s="267">
        <f t="shared" si="14"/>
        <v>0</v>
      </c>
      <c r="I140" s="261"/>
      <c r="J140" s="527"/>
      <c r="K140" s="512"/>
      <c r="L140" s="267">
        <f t="shared" si="15"/>
        <v>0</v>
      </c>
      <c r="M140" s="261"/>
      <c r="N140" s="515"/>
      <c r="O140" s="431"/>
    </row>
    <row r="141" spans="1:15" ht="16.5" x14ac:dyDescent="0.2">
      <c r="A141" s="448"/>
      <c r="B141" s="437"/>
      <c r="C141" s="438"/>
      <c r="D141" s="519"/>
      <c r="E141" s="513"/>
      <c r="F141" s="513"/>
      <c r="G141" s="234" t="s">
        <v>402</v>
      </c>
      <c r="H141" s="267">
        <f t="shared" si="14"/>
        <v>0</v>
      </c>
      <c r="I141" s="261"/>
      <c r="J141" s="527"/>
      <c r="K141" s="513"/>
      <c r="L141" s="267">
        <f t="shared" si="15"/>
        <v>0</v>
      </c>
      <c r="M141" s="261"/>
      <c r="N141" s="516"/>
      <c r="O141" s="432"/>
    </row>
    <row r="142" spans="1:15" ht="14.25" customHeight="1" x14ac:dyDescent="0.2">
      <c r="A142" s="448"/>
      <c r="B142" s="437"/>
      <c r="C142" s="438"/>
      <c r="D142" s="517" t="s">
        <v>204</v>
      </c>
      <c r="E142" s="511">
        <v>10</v>
      </c>
      <c r="F142" s="511" t="s">
        <v>239</v>
      </c>
      <c r="G142" s="234" t="s">
        <v>402</v>
      </c>
      <c r="H142" s="267">
        <f t="shared" ref="H142:H147" si="16">IF(I142&gt;=2,2.8,0)</f>
        <v>0</v>
      </c>
      <c r="I142" s="261"/>
      <c r="J142" s="527">
        <f>H142/6+H143/6*2+H144/6*3+H145/6*4+H146/6*5+H147</f>
        <v>0</v>
      </c>
      <c r="K142" s="511" t="s">
        <v>407</v>
      </c>
      <c r="L142" s="267">
        <f t="shared" ref="L142:L147" si="17">IF(M142&gt;=2,2,0)</f>
        <v>0</v>
      </c>
      <c r="M142" s="261"/>
      <c r="N142" s="514">
        <f>MEDIAN(L142+L143+L144+L145+L146+L147,10,0)</f>
        <v>0</v>
      </c>
      <c r="O142" s="430" t="s">
        <v>234</v>
      </c>
    </row>
    <row r="143" spans="1:15" ht="16.5" x14ac:dyDescent="0.2">
      <c r="A143" s="448"/>
      <c r="B143" s="437"/>
      <c r="C143" s="438"/>
      <c r="D143" s="518"/>
      <c r="E143" s="512"/>
      <c r="F143" s="512"/>
      <c r="G143" s="234" t="s">
        <v>402</v>
      </c>
      <c r="H143" s="267">
        <f t="shared" si="16"/>
        <v>0</v>
      </c>
      <c r="I143" s="261"/>
      <c r="J143" s="527"/>
      <c r="K143" s="512"/>
      <c r="L143" s="267">
        <f t="shared" si="17"/>
        <v>0</v>
      </c>
      <c r="M143" s="261"/>
      <c r="N143" s="515"/>
      <c r="O143" s="431"/>
    </row>
    <row r="144" spans="1:15" ht="16.5" x14ac:dyDescent="0.2">
      <c r="A144" s="448"/>
      <c r="B144" s="437"/>
      <c r="C144" s="438"/>
      <c r="D144" s="518"/>
      <c r="E144" s="512"/>
      <c r="F144" s="512"/>
      <c r="G144" s="234" t="s">
        <v>402</v>
      </c>
      <c r="H144" s="267">
        <f t="shared" si="16"/>
        <v>0</v>
      </c>
      <c r="I144" s="261"/>
      <c r="J144" s="527"/>
      <c r="K144" s="512"/>
      <c r="L144" s="267">
        <f t="shared" si="17"/>
        <v>0</v>
      </c>
      <c r="M144" s="261"/>
      <c r="N144" s="515"/>
      <c r="O144" s="431"/>
    </row>
    <row r="145" spans="1:17" ht="16.5" x14ac:dyDescent="0.2">
      <c r="A145" s="448"/>
      <c r="B145" s="437"/>
      <c r="C145" s="438"/>
      <c r="D145" s="518"/>
      <c r="E145" s="512"/>
      <c r="F145" s="512"/>
      <c r="G145" s="234" t="s">
        <v>402</v>
      </c>
      <c r="H145" s="267">
        <f t="shared" si="16"/>
        <v>0</v>
      </c>
      <c r="I145" s="261"/>
      <c r="J145" s="527"/>
      <c r="K145" s="512"/>
      <c r="L145" s="267">
        <f t="shared" si="17"/>
        <v>0</v>
      </c>
      <c r="M145" s="261"/>
      <c r="N145" s="515"/>
      <c r="O145" s="431"/>
    </row>
    <row r="146" spans="1:17" ht="16.5" x14ac:dyDescent="0.2">
      <c r="A146" s="448"/>
      <c r="B146" s="437"/>
      <c r="C146" s="438"/>
      <c r="D146" s="518"/>
      <c r="E146" s="512"/>
      <c r="F146" s="512"/>
      <c r="G146" s="234" t="s">
        <v>402</v>
      </c>
      <c r="H146" s="267">
        <f t="shared" si="16"/>
        <v>0</v>
      </c>
      <c r="I146" s="261"/>
      <c r="J146" s="527"/>
      <c r="K146" s="512"/>
      <c r="L146" s="267">
        <f t="shared" si="17"/>
        <v>0</v>
      </c>
      <c r="M146" s="261"/>
      <c r="N146" s="515"/>
      <c r="O146" s="431"/>
    </row>
    <row r="147" spans="1:17" ht="16.5" x14ac:dyDescent="0.2">
      <c r="A147" s="448"/>
      <c r="B147" s="437"/>
      <c r="C147" s="438"/>
      <c r="D147" s="519"/>
      <c r="E147" s="513"/>
      <c r="F147" s="513"/>
      <c r="G147" s="234" t="s">
        <v>402</v>
      </c>
      <c r="H147" s="267">
        <f t="shared" si="16"/>
        <v>0</v>
      </c>
      <c r="I147" s="261"/>
      <c r="J147" s="527"/>
      <c r="K147" s="513"/>
      <c r="L147" s="267">
        <f t="shared" si="17"/>
        <v>0</v>
      </c>
      <c r="M147" s="261"/>
      <c r="N147" s="516"/>
      <c r="O147" s="432"/>
    </row>
    <row r="148" spans="1:17" ht="17.25" customHeight="1" x14ac:dyDescent="0.2">
      <c r="A148" s="448"/>
      <c r="B148" s="437"/>
      <c r="C148" s="438"/>
      <c r="D148" s="517" t="s">
        <v>240</v>
      </c>
      <c r="E148" s="533">
        <v>20</v>
      </c>
      <c r="F148" s="511" t="s">
        <v>413</v>
      </c>
      <c r="G148" s="234" t="s">
        <v>402</v>
      </c>
      <c r="H148" s="267">
        <f>IF(I148&gt;=1,5.7,0)</f>
        <v>0</v>
      </c>
      <c r="I148" s="261"/>
      <c r="J148" s="527">
        <f>H148/6+H149/6*2+H150/6*3+H151/6*4+H152/6*5+H153</f>
        <v>0</v>
      </c>
      <c r="K148" s="511" t="s">
        <v>407</v>
      </c>
      <c r="L148" s="267">
        <f>IF(M148&gt;=1,3.3,0)</f>
        <v>0</v>
      </c>
      <c r="M148" s="261"/>
      <c r="N148" s="514">
        <f>MEDIAN(L148+L149+L150+L151+L152+L153,20,0)</f>
        <v>0</v>
      </c>
      <c r="O148" s="430" t="s">
        <v>234</v>
      </c>
    </row>
    <row r="149" spans="1:17" ht="16.5" x14ac:dyDescent="0.2">
      <c r="A149" s="448"/>
      <c r="B149" s="437"/>
      <c r="C149" s="438"/>
      <c r="D149" s="518"/>
      <c r="E149" s="534"/>
      <c r="F149" s="512"/>
      <c r="G149" s="234" t="s">
        <v>402</v>
      </c>
      <c r="H149" s="267">
        <f t="shared" ref="H149:H159" si="18">IF(I149&gt;=1,5.7,0)</f>
        <v>0</v>
      </c>
      <c r="I149" s="261"/>
      <c r="J149" s="527"/>
      <c r="K149" s="512"/>
      <c r="L149" s="267">
        <f t="shared" ref="L149:L159" si="19">IF(M149&gt;=1,3.3,0)</f>
        <v>0</v>
      </c>
      <c r="M149" s="261"/>
      <c r="N149" s="515"/>
      <c r="O149" s="431"/>
    </row>
    <row r="150" spans="1:17" ht="16.5" x14ac:dyDescent="0.2">
      <c r="A150" s="448"/>
      <c r="B150" s="437"/>
      <c r="C150" s="438"/>
      <c r="D150" s="518"/>
      <c r="E150" s="534"/>
      <c r="F150" s="512"/>
      <c r="G150" s="234" t="s">
        <v>402</v>
      </c>
      <c r="H150" s="267">
        <f t="shared" si="18"/>
        <v>0</v>
      </c>
      <c r="I150" s="261"/>
      <c r="J150" s="527"/>
      <c r="K150" s="512"/>
      <c r="L150" s="267">
        <f t="shared" si="19"/>
        <v>0</v>
      </c>
      <c r="M150" s="261"/>
      <c r="N150" s="515"/>
      <c r="O150" s="431"/>
    </row>
    <row r="151" spans="1:17" ht="16.5" x14ac:dyDescent="0.2">
      <c r="A151" s="448"/>
      <c r="B151" s="437"/>
      <c r="C151" s="438"/>
      <c r="D151" s="518"/>
      <c r="E151" s="534"/>
      <c r="F151" s="512"/>
      <c r="G151" s="234" t="s">
        <v>402</v>
      </c>
      <c r="H151" s="267">
        <f t="shared" si="18"/>
        <v>0</v>
      </c>
      <c r="I151" s="261"/>
      <c r="J151" s="527"/>
      <c r="K151" s="512"/>
      <c r="L151" s="267">
        <f t="shared" si="19"/>
        <v>0</v>
      </c>
      <c r="M151" s="261"/>
      <c r="N151" s="515"/>
      <c r="O151" s="431"/>
    </row>
    <row r="152" spans="1:17" ht="16.5" x14ac:dyDescent="0.2">
      <c r="A152" s="448"/>
      <c r="B152" s="437"/>
      <c r="C152" s="438"/>
      <c r="D152" s="518"/>
      <c r="E152" s="534"/>
      <c r="F152" s="512"/>
      <c r="G152" s="234" t="s">
        <v>402</v>
      </c>
      <c r="H152" s="267">
        <f t="shared" si="18"/>
        <v>0</v>
      </c>
      <c r="I152" s="261"/>
      <c r="J152" s="527"/>
      <c r="K152" s="512"/>
      <c r="L152" s="267">
        <f t="shared" si="19"/>
        <v>0</v>
      </c>
      <c r="M152" s="261"/>
      <c r="N152" s="515"/>
      <c r="O152" s="431"/>
    </row>
    <row r="153" spans="1:17" ht="16.5" x14ac:dyDescent="0.2">
      <c r="A153" s="448"/>
      <c r="B153" s="437"/>
      <c r="C153" s="438"/>
      <c r="D153" s="519"/>
      <c r="E153" s="535"/>
      <c r="F153" s="513"/>
      <c r="G153" s="234" t="s">
        <v>402</v>
      </c>
      <c r="H153" s="267">
        <f t="shared" si="18"/>
        <v>0</v>
      </c>
      <c r="I153" s="261"/>
      <c r="J153" s="527"/>
      <c r="K153" s="513"/>
      <c r="L153" s="267">
        <f t="shared" si="19"/>
        <v>0</v>
      </c>
      <c r="M153" s="261"/>
      <c r="N153" s="516"/>
      <c r="O153" s="432"/>
    </row>
    <row r="154" spans="1:17" ht="15.75" customHeight="1" x14ac:dyDescent="0.2">
      <c r="A154" s="448"/>
      <c r="B154" s="437"/>
      <c r="C154" s="438"/>
      <c r="D154" s="444" t="s">
        <v>242</v>
      </c>
      <c r="E154" s="536">
        <v>20</v>
      </c>
      <c r="F154" s="438" t="s">
        <v>414</v>
      </c>
      <c r="G154" s="234" t="s">
        <v>402</v>
      </c>
      <c r="H154" s="267">
        <f t="shared" si="18"/>
        <v>0</v>
      </c>
      <c r="I154" s="261"/>
      <c r="J154" s="527">
        <f>H154/6+H155/6*2+H156/6*3+H157/6*4+H158/6*5+H159</f>
        <v>0</v>
      </c>
      <c r="K154" s="511" t="s">
        <v>407</v>
      </c>
      <c r="L154" s="267">
        <f t="shared" si="19"/>
        <v>0</v>
      </c>
      <c r="M154" s="261"/>
      <c r="N154" s="514">
        <f>MEDIAN(L154+L155+L156+L157+L158+L159,20,0)</f>
        <v>0</v>
      </c>
      <c r="O154" s="430" t="s">
        <v>234</v>
      </c>
      <c r="P154" s="104"/>
    </row>
    <row r="155" spans="1:17" ht="15.75" customHeight="1" x14ac:dyDescent="0.2">
      <c r="A155" s="448"/>
      <c r="B155" s="437"/>
      <c r="C155" s="438"/>
      <c r="D155" s="444"/>
      <c r="E155" s="536"/>
      <c r="F155" s="438"/>
      <c r="G155" s="234" t="s">
        <v>402</v>
      </c>
      <c r="H155" s="267">
        <f t="shared" si="18"/>
        <v>0</v>
      </c>
      <c r="I155" s="261"/>
      <c r="J155" s="527"/>
      <c r="K155" s="512"/>
      <c r="L155" s="267">
        <f t="shared" si="19"/>
        <v>0</v>
      </c>
      <c r="M155" s="261"/>
      <c r="N155" s="515"/>
      <c r="O155" s="431"/>
    </row>
    <row r="156" spans="1:17" ht="16.5" x14ac:dyDescent="0.2">
      <c r="A156" s="448"/>
      <c r="B156" s="437"/>
      <c r="C156" s="438"/>
      <c r="D156" s="444"/>
      <c r="E156" s="536"/>
      <c r="F156" s="438"/>
      <c r="G156" s="234" t="s">
        <v>402</v>
      </c>
      <c r="H156" s="267">
        <f t="shared" si="18"/>
        <v>0</v>
      </c>
      <c r="I156" s="261"/>
      <c r="J156" s="527"/>
      <c r="K156" s="512"/>
      <c r="L156" s="267">
        <f t="shared" si="19"/>
        <v>0</v>
      </c>
      <c r="M156" s="261"/>
      <c r="N156" s="515"/>
      <c r="O156" s="431"/>
    </row>
    <row r="157" spans="1:17" ht="16.5" x14ac:dyDescent="0.2">
      <c r="A157" s="448"/>
      <c r="B157" s="437"/>
      <c r="C157" s="438"/>
      <c r="D157" s="444"/>
      <c r="E157" s="536"/>
      <c r="F157" s="438"/>
      <c r="G157" s="234" t="s">
        <v>402</v>
      </c>
      <c r="H157" s="267">
        <f t="shared" si="18"/>
        <v>0</v>
      </c>
      <c r="I157" s="261"/>
      <c r="J157" s="527"/>
      <c r="K157" s="512"/>
      <c r="L157" s="267">
        <f t="shared" si="19"/>
        <v>0</v>
      </c>
      <c r="M157" s="261"/>
      <c r="N157" s="515"/>
      <c r="O157" s="431"/>
    </row>
    <row r="158" spans="1:17" ht="16.5" x14ac:dyDescent="0.2">
      <c r="A158" s="448"/>
      <c r="B158" s="437"/>
      <c r="C158" s="438"/>
      <c r="D158" s="444"/>
      <c r="E158" s="536"/>
      <c r="F158" s="438"/>
      <c r="G158" s="234" t="s">
        <v>402</v>
      </c>
      <c r="H158" s="267">
        <f t="shared" si="18"/>
        <v>0</v>
      </c>
      <c r="I158" s="261"/>
      <c r="J158" s="527"/>
      <c r="K158" s="512"/>
      <c r="L158" s="267">
        <f t="shared" si="19"/>
        <v>0</v>
      </c>
      <c r="M158" s="261"/>
      <c r="N158" s="515"/>
      <c r="O158" s="431"/>
    </row>
    <row r="159" spans="1:17" ht="16.5" x14ac:dyDescent="0.2">
      <c r="A159" s="448"/>
      <c r="B159" s="437"/>
      <c r="C159" s="438"/>
      <c r="D159" s="444"/>
      <c r="E159" s="536"/>
      <c r="F159" s="438"/>
      <c r="G159" s="234" t="s">
        <v>402</v>
      </c>
      <c r="H159" s="266">
        <f t="shared" si="18"/>
        <v>0</v>
      </c>
      <c r="I159" s="286"/>
      <c r="J159" s="527"/>
      <c r="K159" s="513"/>
      <c r="L159" s="266">
        <f t="shared" si="19"/>
        <v>0</v>
      </c>
      <c r="M159" s="286"/>
      <c r="N159" s="516"/>
      <c r="O159" s="432"/>
      <c r="P159" s="255">
        <f>SUM(J124:J159)</f>
        <v>0</v>
      </c>
    </row>
    <row r="160" spans="1:17" x14ac:dyDescent="0.2">
      <c r="J160" s="40">
        <f>SUM(J4:J159)</f>
        <v>170</v>
      </c>
      <c r="N160" s="40">
        <f>SUM(N4:N159)</f>
        <v>170</v>
      </c>
      <c r="P160" s="245">
        <f>P159+P123+P119+P95+P89+P47+P40+P29+P18</f>
        <v>170</v>
      </c>
      <c r="Q160" s="245">
        <f>Q159+Q123+Q119+Q95+Q89+Q47+Q40+Q29+Q18</f>
        <v>170</v>
      </c>
    </row>
  </sheetData>
  <autoFilter ref="A3:P3"/>
  <mergeCells count="249">
    <mergeCell ref="L1:N1"/>
    <mergeCell ref="O30:O31"/>
    <mergeCell ref="O32:O34"/>
    <mergeCell ref="O12:O14"/>
    <mergeCell ref="O2:O3"/>
    <mergeCell ref="M15:M18"/>
    <mergeCell ref="N15:N18"/>
    <mergeCell ref="O72:O77"/>
    <mergeCell ref="O84:O89"/>
    <mergeCell ref="O42:O44"/>
    <mergeCell ref="O66:O70"/>
    <mergeCell ref="O78:O83"/>
    <mergeCell ref="O54:O59"/>
    <mergeCell ref="O26:O29"/>
    <mergeCell ref="E30:E34"/>
    <mergeCell ref="F30:F34"/>
    <mergeCell ref="O96:O101"/>
    <mergeCell ref="O102:O107"/>
    <mergeCell ref="O108:O113"/>
    <mergeCell ref="O114:O119"/>
    <mergeCell ref="O48:O53"/>
    <mergeCell ref="M66:M71"/>
    <mergeCell ref="N66:N71"/>
    <mergeCell ref="L114:L119"/>
    <mergeCell ref="M114:M119"/>
    <mergeCell ref="N114:N119"/>
    <mergeCell ref="K96:K101"/>
    <mergeCell ref="L96:L101"/>
    <mergeCell ref="M96:M101"/>
    <mergeCell ref="N96:N101"/>
    <mergeCell ref="K102:K107"/>
    <mergeCell ref="L102:L107"/>
    <mergeCell ref="M102:M107"/>
    <mergeCell ref="N102:N107"/>
    <mergeCell ref="L108:L113"/>
    <mergeCell ref="M108:M113"/>
    <mergeCell ref="N108:N113"/>
    <mergeCell ref="K108:K113"/>
    <mergeCell ref="A1:G1"/>
    <mergeCell ref="F2:F3"/>
    <mergeCell ref="G2:H2"/>
    <mergeCell ref="I2:I3"/>
    <mergeCell ref="C120:C121"/>
    <mergeCell ref="N120:N121"/>
    <mergeCell ref="B48:B89"/>
    <mergeCell ref="A30:A40"/>
    <mergeCell ref="B30:B40"/>
    <mergeCell ref="A90:A119"/>
    <mergeCell ref="B90:B119"/>
    <mergeCell ref="C90:C91"/>
    <mergeCell ref="N90:N91"/>
    <mergeCell ref="C92:C93"/>
    <mergeCell ref="N84:N89"/>
    <mergeCell ref="J72:J77"/>
    <mergeCell ref="M72:M77"/>
    <mergeCell ref="N72:N77"/>
    <mergeCell ref="A48:A89"/>
    <mergeCell ref="J66:J71"/>
    <mergeCell ref="B41:B47"/>
    <mergeCell ref="A41:A47"/>
    <mergeCell ref="J90:J91"/>
    <mergeCell ref="J120:J121"/>
    <mergeCell ref="C37:C40"/>
    <mergeCell ref="D37:D40"/>
    <mergeCell ref="F37:F40"/>
    <mergeCell ref="I37:I40"/>
    <mergeCell ref="M78:M83"/>
    <mergeCell ref="N78:N83"/>
    <mergeCell ref="M54:M59"/>
    <mergeCell ref="N54:N59"/>
    <mergeCell ref="N19:N25"/>
    <mergeCell ref="D78:D83"/>
    <mergeCell ref="E78:E83"/>
    <mergeCell ref="F78:F83"/>
    <mergeCell ref="J78:J83"/>
    <mergeCell ref="E19:E25"/>
    <mergeCell ref="F19:F25"/>
    <mergeCell ref="J19:J25"/>
    <mergeCell ref="C35:C36"/>
    <mergeCell ref="D35:D36"/>
    <mergeCell ref="E35:E36"/>
    <mergeCell ref="F35:F36"/>
    <mergeCell ref="J35:J36"/>
    <mergeCell ref="N35:N36"/>
    <mergeCell ref="C30:C34"/>
    <mergeCell ref="D30:D34"/>
    <mergeCell ref="F12:F14"/>
    <mergeCell ref="J30:J34"/>
    <mergeCell ref="N30:N34"/>
    <mergeCell ref="J37:J40"/>
    <mergeCell ref="M37:M40"/>
    <mergeCell ref="N37:N40"/>
    <mergeCell ref="F66:F71"/>
    <mergeCell ref="C42:C44"/>
    <mergeCell ref="D42:D44"/>
    <mergeCell ref="E42:E44"/>
    <mergeCell ref="F42:F44"/>
    <mergeCell ref="J42:J44"/>
    <mergeCell ref="N42:N44"/>
    <mergeCell ref="C66:C89"/>
    <mergeCell ref="D72:D77"/>
    <mergeCell ref="E72:E77"/>
    <mergeCell ref="F72:F77"/>
    <mergeCell ref="D84:D89"/>
    <mergeCell ref="E84:E89"/>
    <mergeCell ref="F84:F89"/>
    <mergeCell ref="J84:J89"/>
    <mergeCell ref="M84:M89"/>
    <mergeCell ref="C19:C25"/>
    <mergeCell ref="D19:D25"/>
    <mergeCell ref="I1:J1"/>
    <mergeCell ref="F60:F65"/>
    <mergeCell ref="J60:J65"/>
    <mergeCell ref="M60:M65"/>
    <mergeCell ref="N60:N65"/>
    <mergeCell ref="C54:C65"/>
    <mergeCell ref="D54:D59"/>
    <mergeCell ref="E54:E59"/>
    <mergeCell ref="F54:F59"/>
    <mergeCell ref="J54:J59"/>
    <mergeCell ref="C15:C18"/>
    <mergeCell ref="D15:D18"/>
    <mergeCell ref="E15:E18"/>
    <mergeCell ref="F15:F18"/>
    <mergeCell ref="I15:I18"/>
    <mergeCell ref="J15:J18"/>
    <mergeCell ref="D60:D65"/>
    <mergeCell ref="E60:E65"/>
    <mergeCell ref="C26:C29"/>
    <mergeCell ref="D26:D29"/>
    <mergeCell ref="E26:E29"/>
    <mergeCell ref="F26:F29"/>
    <mergeCell ref="J26:J29"/>
    <mergeCell ref="N26:N29"/>
    <mergeCell ref="I4:I8"/>
    <mergeCell ref="J4:J8"/>
    <mergeCell ref="M4:M8"/>
    <mergeCell ref="N4:N8"/>
    <mergeCell ref="O4:O8"/>
    <mergeCell ref="O15:O18"/>
    <mergeCell ref="O60:O65"/>
    <mergeCell ref="O19:O22"/>
    <mergeCell ref="O23:O25"/>
    <mergeCell ref="N48:N53"/>
    <mergeCell ref="K48:K53"/>
    <mergeCell ref="L48:L53"/>
    <mergeCell ref="M48:M53"/>
    <mergeCell ref="O37:O40"/>
    <mergeCell ref="O35:O36"/>
    <mergeCell ref="J2:J3"/>
    <mergeCell ref="M2:M3"/>
    <mergeCell ref="N2:N3"/>
    <mergeCell ref="E37:E40"/>
    <mergeCell ref="C12:C14"/>
    <mergeCell ref="D12:D14"/>
    <mergeCell ref="E12:E14"/>
    <mergeCell ref="A2:A3"/>
    <mergeCell ref="B2:B3"/>
    <mergeCell ref="C2:C3"/>
    <mergeCell ref="D2:D3"/>
    <mergeCell ref="E2:E3"/>
    <mergeCell ref="D4:D8"/>
    <mergeCell ref="E4:E8"/>
    <mergeCell ref="I12:I14"/>
    <mergeCell ref="J12:J14"/>
    <mergeCell ref="M12:M14"/>
    <mergeCell ref="N12:N14"/>
    <mergeCell ref="A19:A29"/>
    <mergeCell ref="B19:B29"/>
    <mergeCell ref="A4:A18"/>
    <mergeCell ref="B4:B18"/>
    <mergeCell ref="C4:C10"/>
    <mergeCell ref="F4:F8"/>
    <mergeCell ref="J124:J129"/>
    <mergeCell ref="J130:J135"/>
    <mergeCell ref="F130:F135"/>
    <mergeCell ref="D130:D135"/>
    <mergeCell ref="E130:E135"/>
    <mergeCell ref="D136:D141"/>
    <mergeCell ref="E136:E141"/>
    <mergeCell ref="F136:F141"/>
    <mergeCell ref="J136:J141"/>
    <mergeCell ref="E124:E129"/>
    <mergeCell ref="F124:F129"/>
    <mergeCell ref="D124:D129"/>
    <mergeCell ref="D142:D147"/>
    <mergeCell ref="E142:E147"/>
    <mergeCell ref="F142:F147"/>
    <mergeCell ref="J142:J147"/>
    <mergeCell ref="D148:D153"/>
    <mergeCell ref="E148:E153"/>
    <mergeCell ref="F148:F153"/>
    <mergeCell ref="J148:J153"/>
    <mergeCell ref="D154:D159"/>
    <mergeCell ref="E154:E159"/>
    <mergeCell ref="F154:F159"/>
    <mergeCell ref="C124:C159"/>
    <mergeCell ref="B120:B159"/>
    <mergeCell ref="A120:A159"/>
    <mergeCell ref="O154:O159"/>
    <mergeCell ref="J154:J159"/>
    <mergeCell ref="F96:F101"/>
    <mergeCell ref="E96:E101"/>
    <mergeCell ref="D96:D101"/>
    <mergeCell ref="O130:O135"/>
    <mergeCell ref="O124:O129"/>
    <mergeCell ref="O148:O153"/>
    <mergeCell ref="O142:O147"/>
    <mergeCell ref="O136:O141"/>
    <mergeCell ref="J96:J101"/>
    <mergeCell ref="J102:J107"/>
    <mergeCell ref="J108:J113"/>
    <mergeCell ref="D108:D113"/>
    <mergeCell ref="F108:F113"/>
    <mergeCell ref="G108:G113"/>
    <mergeCell ref="E108:E113"/>
    <mergeCell ref="D102:D107"/>
    <mergeCell ref="E102:E107"/>
    <mergeCell ref="F102:F107"/>
    <mergeCell ref="G102:G107"/>
    <mergeCell ref="C96:C119"/>
    <mergeCell ref="D114:D119"/>
    <mergeCell ref="F114:F119"/>
    <mergeCell ref="E114:E119"/>
    <mergeCell ref="J114:J119"/>
    <mergeCell ref="G114:G119"/>
    <mergeCell ref="C94:C95"/>
    <mergeCell ref="G96:G101"/>
    <mergeCell ref="E48:E53"/>
    <mergeCell ref="D48:D53"/>
    <mergeCell ref="C48:C53"/>
    <mergeCell ref="F48:F53"/>
    <mergeCell ref="G48:G53"/>
    <mergeCell ref="J48:J53"/>
    <mergeCell ref="D66:D71"/>
    <mergeCell ref="E66:E71"/>
    <mergeCell ref="K114:K119"/>
    <mergeCell ref="K124:K129"/>
    <mergeCell ref="N124:N129"/>
    <mergeCell ref="N148:N153"/>
    <mergeCell ref="N154:N159"/>
    <mergeCell ref="K142:K147"/>
    <mergeCell ref="K148:K153"/>
    <mergeCell ref="K154:K159"/>
    <mergeCell ref="K130:K135"/>
    <mergeCell ref="N130:N135"/>
    <mergeCell ref="K136:K141"/>
    <mergeCell ref="N136:N141"/>
    <mergeCell ref="N142:N147"/>
  </mergeCells>
  <phoneticPr fontId="23" type="noConversion"/>
  <dataValidations count="4">
    <dataValidation type="list" allowBlank="1" showInputMessage="1" showErrorMessage="1" sqref="I12:I14 M12:M14">
      <formula1>"杭州经纪人证,全国协理证,全国经纪人证"</formula1>
    </dataValidation>
    <dataValidation type="list" allowBlank="1" showInputMessage="1" showErrorMessage="1" sqref="I4:I8 M4:M8">
      <formula1>"高中,中专,大专非统招,大专统招,本科非统招,本科统招,本科以上非统招,本科以上统招"</formula1>
    </dataValidation>
    <dataValidation type="list" allowBlank="1" showInputMessage="1" showErrorMessage="1" sqref="I10 M10">
      <formula1>"退伍军人,党员,退伍军人，党员"</formula1>
    </dataValidation>
    <dataValidation type="list" allowBlank="1" showInputMessage="1" showErrorMessage="1" sqref="I9 M9">
      <formula1>"特长生"</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0"/>
  <sheetViews>
    <sheetView topLeftCell="A15" workbookViewId="0">
      <selection activeCell="G56" sqref="G56:G61"/>
    </sheetView>
  </sheetViews>
  <sheetFormatPr defaultColWidth="9" defaultRowHeight="12.75" x14ac:dyDescent="0.2"/>
  <cols>
    <col min="1" max="1" width="3.625" style="2" customWidth="1"/>
    <col min="2" max="2" width="4.625" style="2" customWidth="1"/>
    <col min="3" max="3" width="6.625" style="2" customWidth="1"/>
    <col min="4" max="4" width="12.125" style="2" customWidth="1"/>
    <col min="5" max="5" width="6" style="2" customWidth="1"/>
    <col min="6" max="6" width="22.125" style="2" customWidth="1"/>
    <col min="7" max="7" width="16.75" style="2" customWidth="1"/>
    <col min="8" max="8" width="7.5" style="2" customWidth="1"/>
    <col min="9" max="9" width="8" style="4" customWidth="1"/>
    <col min="10" max="10" width="7.5" style="40" customWidth="1"/>
    <col min="11" max="11" width="13.25" style="4" customWidth="1"/>
    <col min="12" max="12" width="8.875" style="2" customWidth="1"/>
    <col min="13" max="13" width="11.125" style="2" customWidth="1"/>
    <col min="14" max="16384" width="9" style="2"/>
  </cols>
  <sheetData>
    <row r="1" spans="1:11" ht="21" customHeight="1" x14ac:dyDescent="0.2">
      <c r="A1" s="422" t="s">
        <v>457</v>
      </c>
      <c r="B1" s="422"/>
      <c r="C1" s="422"/>
      <c r="D1" s="422"/>
      <c r="E1" s="422"/>
      <c r="F1" s="422"/>
      <c r="G1" s="422"/>
      <c r="H1" s="6"/>
      <c r="I1" s="558" t="s">
        <v>412</v>
      </c>
      <c r="J1" s="558"/>
    </row>
    <row r="2" spans="1:11" ht="16.5" customHeight="1" x14ac:dyDescent="0.2">
      <c r="A2" s="424" t="s">
        <v>1</v>
      </c>
      <c r="B2" s="423" t="s">
        <v>2</v>
      </c>
      <c r="C2" s="423" t="s">
        <v>3</v>
      </c>
      <c r="D2" s="423" t="s">
        <v>4</v>
      </c>
      <c r="E2" s="449" t="s">
        <v>5</v>
      </c>
      <c r="F2" s="423" t="s">
        <v>6</v>
      </c>
      <c r="G2" s="423" t="s">
        <v>7</v>
      </c>
      <c r="H2" s="423"/>
      <c r="I2" s="592" t="s">
        <v>341</v>
      </c>
      <c r="J2" s="537" t="s">
        <v>342</v>
      </c>
      <c r="K2" s="481" t="s">
        <v>8</v>
      </c>
    </row>
    <row r="3" spans="1:11" ht="18.75" customHeight="1" x14ac:dyDescent="0.2">
      <c r="A3" s="425"/>
      <c r="B3" s="423"/>
      <c r="C3" s="423"/>
      <c r="D3" s="423"/>
      <c r="E3" s="449"/>
      <c r="F3" s="423"/>
      <c r="G3" s="288" t="s">
        <v>11</v>
      </c>
      <c r="H3" s="295" t="s">
        <v>12</v>
      </c>
      <c r="I3" s="593"/>
      <c r="J3" s="538"/>
      <c r="K3" s="482"/>
    </row>
    <row r="4" spans="1:11" ht="18" customHeight="1" x14ac:dyDescent="0.2">
      <c r="A4" s="426" t="s">
        <v>354</v>
      </c>
      <c r="B4" s="426">
        <v>125</v>
      </c>
      <c r="C4" s="426" t="s">
        <v>529</v>
      </c>
      <c r="D4" s="426" t="s">
        <v>15</v>
      </c>
      <c r="E4" s="437">
        <v>30</v>
      </c>
      <c r="F4" s="426" t="s">
        <v>16</v>
      </c>
      <c r="G4" s="289" t="s">
        <v>17</v>
      </c>
      <c r="H4" s="264">
        <v>10</v>
      </c>
      <c r="I4" s="544"/>
      <c r="J4" s="545">
        <f>IF(I4="高中",10,IF(I4="中专",10,IF(I4="大专非统招",15,IF(I4="大专统招",20,IF(I4="本科非统招",25,IF(I4="本科以上非统招",25,IF(I4="本科统招",30,IF(I4="本科以上统招",30,))))))))</f>
        <v>0</v>
      </c>
      <c r="K4" s="430" t="s">
        <v>38</v>
      </c>
    </row>
    <row r="5" spans="1:11" ht="18" customHeight="1" x14ac:dyDescent="0.2">
      <c r="A5" s="426"/>
      <c r="B5" s="426"/>
      <c r="C5" s="426"/>
      <c r="D5" s="426"/>
      <c r="E5" s="437"/>
      <c r="F5" s="426"/>
      <c r="G5" s="289" t="s">
        <v>20</v>
      </c>
      <c r="H5" s="264">
        <v>15</v>
      </c>
      <c r="I5" s="544"/>
      <c r="J5" s="545"/>
      <c r="K5" s="431"/>
    </row>
    <row r="6" spans="1:11" ht="18" customHeight="1" x14ac:dyDescent="0.2">
      <c r="A6" s="426"/>
      <c r="B6" s="426"/>
      <c r="C6" s="426"/>
      <c r="D6" s="426"/>
      <c r="E6" s="437"/>
      <c r="F6" s="426"/>
      <c r="G6" s="289" t="s">
        <v>22</v>
      </c>
      <c r="H6" s="264">
        <v>20</v>
      </c>
      <c r="I6" s="544"/>
      <c r="J6" s="545"/>
      <c r="K6" s="431"/>
    </row>
    <row r="7" spans="1:11" ht="24.75" customHeight="1" x14ac:dyDescent="0.2">
      <c r="A7" s="426"/>
      <c r="B7" s="426"/>
      <c r="C7" s="426"/>
      <c r="D7" s="426"/>
      <c r="E7" s="437"/>
      <c r="F7" s="426"/>
      <c r="G7" s="289" t="s">
        <v>249</v>
      </c>
      <c r="H7" s="264">
        <v>25</v>
      </c>
      <c r="I7" s="544"/>
      <c r="J7" s="545"/>
      <c r="K7" s="431"/>
    </row>
    <row r="8" spans="1:11" ht="18" customHeight="1" x14ac:dyDescent="0.2">
      <c r="A8" s="426"/>
      <c r="B8" s="426"/>
      <c r="C8" s="426"/>
      <c r="D8" s="426"/>
      <c r="E8" s="437"/>
      <c r="F8" s="426"/>
      <c r="G8" s="289" t="s">
        <v>250</v>
      </c>
      <c r="H8" s="264">
        <v>30</v>
      </c>
      <c r="I8" s="544"/>
      <c r="J8" s="545"/>
      <c r="K8" s="431"/>
    </row>
    <row r="9" spans="1:11" ht="21.75" customHeight="1" x14ac:dyDescent="0.2">
      <c r="A9" s="426"/>
      <c r="B9" s="426"/>
      <c r="C9" s="426"/>
      <c r="D9" s="289" t="s">
        <v>28</v>
      </c>
      <c r="E9" s="291">
        <v>5</v>
      </c>
      <c r="F9" s="289" t="s">
        <v>251</v>
      </c>
      <c r="G9" s="289" t="s">
        <v>531</v>
      </c>
      <c r="H9" s="264">
        <v>5</v>
      </c>
      <c r="I9" s="301"/>
      <c r="J9" s="302">
        <f>IF(I9="特长生",5,0)</f>
        <v>0</v>
      </c>
      <c r="K9" s="294" t="s">
        <v>38</v>
      </c>
    </row>
    <row r="10" spans="1:11" ht="29.25" customHeight="1" x14ac:dyDescent="0.2">
      <c r="A10" s="426"/>
      <c r="B10" s="426"/>
      <c r="C10" s="426"/>
      <c r="D10" s="289" t="s">
        <v>32</v>
      </c>
      <c r="E10" s="304">
        <v>10</v>
      </c>
      <c r="F10" s="289" t="s">
        <v>417</v>
      </c>
      <c r="G10" s="289" t="s">
        <v>33</v>
      </c>
      <c r="H10" s="264">
        <v>10</v>
      </c>
      <c r="I10" s="301"/>
      <c r="J10" s="302">
        <f>IF(I10="退伍军人",10,IF(I10="党员",5,IF(I10="退伍军人，党员",15,)))</f>
        <v>0</v>
      </c>
      <c r="K10" s="294" t="s">
        <v>38</v>
      </c>
    </row>
    <row r="11" spans="1:11" ht="33.75" customHeight="1" x14ac:dyDescent="0.2">
      <c r="A11" s="426"/>
      <c r="B11" s="426"/>
      <c r="C11" s="289" t="s">
        <v>458</v>
      </c>
      <c r="D11" s="293" t="s">
        <v>458</v>
      </c>
      <c r="E11" s="296">
        <v>50</v>
      </c>
      <c r="F11" s="289" t="s">
        <v>479</v>
      </c>
      <c r="G11" s="294" t="s">
        <v>416</v>
      </c>
      <c r="H11" s="265">
        <v>1</v>
      </c>
      <c r="I11" s="301"/>
      <c r="J11" s="302">
        <f>MEDIAN(I11*H11,50,0)</f>
        <v>0</v>
      </c>
      <c r="K11" s="294" t="s">
        <v>38</v>
      </c>
    </row>
    <row r="12" spans="1:11" ht="18" customHeight="1" x14ac:dyDescent="0.2">
      <c r="A12" s="426"/>
      <c r="B12" s="426"/>
      <c r="C12" s="426" t="s">
        <v>521</v>
      </c>
      <c r="D12" s="426" t="s">
        <v>41</v>
      </c>
      <c r="E12" s="450">
        <v>10</v>
      </c>
      <c r="F12" s="426" t="s">
        <v>532</v>
      </c>
      <c r="G12" s="289" t="s">
        <v>253</v>
      </c>
      <c r="H12" s="264">
        <v>5</v>
      </c>
      <c r="I12" s="544"/>
      <c r="J12" s="545">
        <f>IF(I12="杭州经纪人证",5,IF(I12="全国协理证",8,IF(I12="全国经纪人证",10,)))</f>
        <v>0</v>
      </c>
      <c r="K12" s="430" t="s">
        <v>38</v>
      </c>
    </row>
    <row r="13" spans="1:11" ht="18" customHeight="1" x14ac:dyDescent="0.2">
      <c r="A13" s="426"/>
      <c r="B13" s="426"/>
      <c r="C13" s="426"/>
      <c r="D13" s="426"/>
      <c r="E13" s="450"/>
      <c r="F13" s="426"/>
      <c r="G13" s="289" t="s">
        <v>254</v>
      </c>
      <c r="H13" s="264">
        <v>8</v>
      </c>
      <c r="I13" s="544"/>
      <c r="J13" s="545"/>
      <c r="K13" s="431"/>
    </row>
    <row r="14" spans="1:11" ht="18" customHeight="1" x14ac:dyDescent="0.2">
      <c r="A14" s="426"/>
      <c r="B14" s="426"/>
      <c r="C14" s="426"/>
      <c r="D14" s="426"/>
      <c r="E14" s="450"/>
      <c r="F14" s="426"/>
      <c r="G14" s="289" t="s">
        <v>255</v>
      </c>
      <c r="H14" s="264">
        <v>10</v>
      </c>
      <c r="I14" s="544"/>
      <c r="J14" s="545"/>
      <c r="K14" s="432"/>
    </row>
    <row r="15" spans="1:11" ht="18" customHeight="1" x14ac:dyDescent="0.2">
      <c r="A15" s="426"/>
      <c r="B15" s="426"/>
      <c r="C15" s="426" t="s">
        <v>46</v>
      </c>
      <c r="D15" s="426" t="s">
        <v>47</v>
      </c>
      <c r="E15" s="448">
        <v>20</v>
      </c>
      <c r="F15" s="426" t="s">
        <v>508</v>
      </c>
      <c r="G15" s="289" t="s">
        <v>256</v>
      </c>
      <c r="H15" s="44">
        <v>20</v>
      </c>
      <c r="I15" s="544"/>
      <c r="J15" s="545">
        <f>IF(I15&gt;95,20,IF(I15&gt;90,10,IF(I15&gt;=80,0,-10)))</f>
        <v>-10</v>
      </c>
      <c r="K15" s="430" t="s">
        <v>50</v>
      </c>
    </row>
    <row r="16" spans="1:11" ht="18" customHeight="1" x14ac:dyDescent="0.2">
      <c r="A16" s="426"/>
      <c r="B16" s="426"/>
      <c r="C16" s="426"/>
      <c r="D16" s="426"/>
      <c r="E16" s="448"/>
      <c r="F16" s="426"/>
      <c r="G16" s="289" t="s">
        <v>257</v>
      </c>
      <c r="H16" s="44">
        <v>10</v>
      </c>
      <c r="I16" s="544"/>
      <c r="J16" s="545"/>
      <c r="K16" s="431"/>
    </row>
    <row r="17" spans="1:12" ht="18" customHeight="1" x14ac:dyDescent="0.2">
      <c r="A17" s="426"/>
      <c r="B17" s="426"/>
      <c r="C17" s="426"/>
      <c r="D17" s="426"/>
      <c r="E17" s="448"/>
      <c r="F17" s="426"/>
      <c r="G17" s="289" t="s">
        <v>53</v>
      </c>
      <c r="H17" s="44">
        <v>0</v>
      </c>
      <c r="I17" s="544"/>
      <c r="J17" s="545"/>
      <c r="K17" s="431"/>
    </row>
    <row r="18" spans="1:12" ht="18" customHeight="1" x14ac:dyDescent="0.2">
      <c r="A18" s="426"/>
      <c r="B18" s="426"/>
      <c r="C18" s="426"/>
      <c r="D18" s="426"/>
      <c r="E18" s="448"/>
      <c r="F18" s="426"/>
      <c r="G18" s="289" t="s">
        <v>55</v>
      </c>
      <c r="H18" s="44">
        <v>-10</v>
      </c>
      <c r="I18" s="544"/>
      <c r="J18" s="545"/>
      <c r="K18" s="432"/>
      <c r="L18" s="271">
        <f>SUM(J4:J18)</f>
        <v>-10</v>
      </c>
    </row>
    <row r="19" spans="1:12" ht="28.5" customHeight="1" x14ac:dyDescent="0.2">
      <c r="A19" s="427" t="s">
        <v>522</v>
      </c>
      <c r="B19" s="433">
        <v>100</v>
      </c>
      <c r="C19" s="433" t="s">
        <v>523</v>
      </c>
      <c r="D19" s="439" t="s">
        <v>59</v>
      </c>
      <c r="E19" s="451">
        <v>40</v>
      </c>
      <c r="F19" s="426" t="s">
        <v>60</v>
      </c>
      <c r="G19" s="292" t="s">
        <v>61</v>
      </c>
      <c r="H19" s="264">
        <v>-2</v>
      </c>
      <c r="I19" s="301"/>
      <c r="J19" s="616">
        <f>E19+H19*I19+H20*I20+H21*I21+H22*I22+H23*I23+H24*I24+H25*I25</f>
        <v>40</v>
      </c>
      <c r="K19" s="483" t="s">
        <v>63</v>
      </c>
    </row>
    <row r="20" spans="1:12" ht="28.5" customHeight="1" x14ac:dyDescent="0.2">
      <c r="A20" s="428"/>
      <c r="B20" s="434"/>
      <c r="C20" s="434"/>
      <c r="D20" s="440"/>
      <c r="E20" s="452"/>
      <c r="F20" s="426"/>
      <c r="G20" s="292" t="s">
        <v>66</v>
      </c>
      <c r="H20" s="264">
        <v>-5</v>
      </c>
      <c r="I20" s="301"/>
      <c r="J20" s="617"/>
      <c r="K20" s="484"/>
    </row>
    <row r="21" spans="1:12" ht="28.5" customHeight="1" x14ac:dyDescent="0.2">
      <c r="A21" s="428"/>
      <c r="B21" s="434"/>
      <c r="C21" s="434"/>
      <c r="D21" s="440"/>
      <c r="E21" s="452"/>
      <c r="F21" s="426"/>
      <c r="G21" s="292" t="s">
        <v>68</v>
      </c>
      <c r="H21" s="264">
        <v>-10</v>
      </c>
      <c r="I21" s="301"/>
      <c r="J21" s="617"/>
      <c r="K21" s="484"/>
    </row>
    <row r="22" spans="1:12" ht="28.5" customHeight="1" x14ac:dyDescent="0.2">
      <c r="A22" s="428"/>
      <c r="B22" s="434"/>
      <c r="C22" s="434"/>
      <c r="D22" s="440"/>
      <c r="E22" s="452"/>
      <c r="F22" s="426"/>
      <c r="G22" s="292" t="s">
        <v>69</v>
      </c>
      <c r="H22" s="264">
        <v>-10</v>
      </c>
      <c r="I22" s="301"/>
      <c r="J22" s="617"/>
      <c r="K22" s="485"/>
    </row>
    <row r="23" spans="1:12" ht="28.5" customHeight="1" x14ac:dyDescent="0.2">
      <c r="A23" s="428"/>
      <c r="B23" s="434"/>
      <c r="C23" s="434"/>
      <c r="D23" s="440"/>
      <c r="E23" s="452"/>
      <c r="F23" s="426"/>
      <c r="G23" s="13" t="s">
        <v>70</v>
      </c>
      <c r="H23" s="264">
        <v>-10</v>
      </c>
      <c r="I23" s="301"/>
      <c r="J23" s="617"/>
      <c r="K23" s="483" t="s">
        <v>63</v>
      </c>
    </row>
    <row r="24" spans="1:12" ht="28.5" customHeight="1" x14ac:dyDescent="0.2">
      <c r="A24" s="428"/>
      <c r="B24" s="434"/>
      <c r="C24" s="434"/>
      <c r="D24" s="440"/>
      <c r="E24" s="452"/>
      <c r="F24" s="426"/>
      <c r="G24" s="13" t="s">
        <v>71</v>
      </c>
      <c r="H24" s="264">
        <v>-10</v>
      </c>
      <c r="I24" s="301"/>
      <c r="J24" s="617"/>
      <c r="K24" s="484"/>
    </row>
    <row r="25" spans="1:12" ht="28.5" customHeight="1" x14ac:dyDescent="0.2">
      <c r="A25" s="428"/>
      <c r="B25" s="434"/>
      <c r="C25" s="435"/>
      <c r="D25" s="440"/>
      <c r="E25" s="453"/>
      <c r="F25" s="426"/>
      <c r="G25" s="292" t="s">
        <v>72</v>
      </c>
      <c r="H25" s="264">
        <v>-20</v>
      </c>
      <c r="I25" s="301"/>
      <c r="J25" s="618"/>
      <c r="K25" s="485"/>
    </row>
    <row r="26" spans="1:12" ht="18" customHeight="1" x14ac:dyDescent="0.2">
      <c r="A26" s="428"/>
      <c r="B26" s="434"/>
      <c r="C26" s="433" t="s">
        <v>524</v>
      </c>
      <c r="D26" s="433" t="s">
        <v>536</v>
      </c>
      <c r="E26" s="430">
        <v>60</v>
      </c>
      <c r="F26" s="434" t="s">
        <v>459</v>
      </c>
      <c r="G26" s="13" t="s">
        <v>75</v>
      </c>
      <c r="H26" s="264">
        <v>-10</v>
      </c>
      <c r="I26" s="301"/>
      <c r="J26" s="616">
        <f>E26+H26*I26+H27*I27+H28*I28+H29*I29</f>
        <v>60</v>
      </c>
      <c r="K26" s="483" t="s">
        <v>77</v>
      </c>
    </row>
    <row r="27" spans="1:12" ht="18" customHeight="1" x14ac:dyDescent="0.2">
      <c r="A27" s="428"/>
      <c r="B27" s="434"/>
      <c r="C27" s="434"/>
      <c r="D27" s="434"/>
      <c r="E27" s="431"/>
      <c r="F27" s="434"/>
      <c r="G27" s="13" t="s">
        <v>79</v>
      </c>
      <c r="H27" s="264">
        <v>-15</v>
      </c>
      <c r="I27" s="301"/>
      <c r="J27" s="617"/>
      <c r="K27" s="484"/>
    </row>
    <row r="28" spans="1:12" ht="18" customHeight="1" x14ac:dyDescent="0.2">
      <c r="A28" s="428"/>
      <c r="B28" s="434"/>
      <c r="C28" s="434"/>
      <c r="D28" s="434"/>
      <c r="E28" s="431"/>
      <c r="F28" s="434"/>
      <c r="G28" s="292" t="s">
        <v>81</v>
      </c>
      <c r="H28" s="264">
        <v>-20</v>
      </c>
      <c r="I28" s="301"/>
      <c r="J28" s="617"/>
      <c r="K28" s="484"/>
    </row>
    <row r="29" spans="1:12" ht="18" customHeight="1" x14ac:dyDescent="0.2">
      <c r="A29" s="429"/>
      <c r="B29" s="435"/>
      <c r="C29" s="435"/>
      <c r="D29" s="435"/>
      <c r="E29" s="432"/>
      <c r="F29" s="435"/>
      <c r="G29" s="299" t="s">
        <v>82</v>
      </c>
      <c r="H29" s="264">
        <v>-10</v>
      </c>
      <c r="I29" s="301"/>
      <c r="J29" s="618"/>
      <c r="K29" s="485"/>
      <c r="L29" s="25">
        <f>SUM(J19:J29)</f>
        <v>100</v>
      </c>
    </row>
    <row r="30" spans="1:12" ht="15" customHeight="1" x14ac:dyDescent="0.2">
      <c r="A30" s="433" t="s">
        <v>528</v>
      </c>
      <c r="B30" s="433">
        <v>180</v>
      </c>
      <c r="C30" s="426" t="s">
        <v>525</v>
      </c>
      <c r="D30" s="591" t="s">
        <v>410</v>
      </c>
      <c r="E30" s="605">
        <v>80</v>
      </c>
      <c r="F30" s="454" t="s">
        <v>451</v>
      </c>
      <c r="G30" s="289" t="s">
        <v>126</v>
      </c>
      <c r="H30" s="264">
        <v>-5</v>
      </c>
      <c r="I30" s="301"/>
      <c r="J30" s="619">
        <f>E30+H30*I30+H31*I31+H32*I32+H33*I33+H34*I34</f>
        <v>80</v>
      </c>
      <c r="K30" s="430" t="s">
        <v>63</v>
      </c>
    </row>
    <row r="31" spans="1:12" ht="15" customHeight="1" x14ac:dyDescent="0.2">
      <c r="A31" s="434"/>
      <c r="B31" s="434"/>
      <c r="C31" s="426"/>
      <c r="D31" s="591"/>
      <c r="E31" s="605"/>
      <c r="F31" s="455"/>
      <c r="G31" s="289" t="s">
        <v>129</v>
      </c>
      <c r="H31" s="264">
        <v>-8</v>
      </c>
      <c r="I31" s="301"/>
      <c r="J31" s="620"/>
      <c r="K31" s="432"/>
    </row>
    <row r="32" spans="1:12" ht="15" customHeight="1" x14ac:dyDescent="0.2">
      <c r="A32" s="434"/>
      <c r="B32" s="434"/>
      <c r="C32" s="426"/>
      <c r="D32" s="591"/>
      <c r="E32" s="605"/>
      <c r="F32" s="455"/>
      <c r="G32" s="289" t="s">
        <v>131</v>
      </c>
      <c r="H32" s="264">
        <v>-10</v>
      </c>
      <c r="I32" s="301"/>
      <c r="J32" s="620"/>
      <c r="K32" s="483" t="s">
        <v>77</v>
      </c>
    </row>
    <row r="33" spans="1:12" ht="15" customHeight="1" x14ac:dyDescent="0.2">
      <c r="A33" s="434"/>
      <c r="B33" s="434"/>
      <c r="C33" s="426"/>
      <c r="D33" s="591"/>
      <c r="E33" s="605"/>
      <c r="F33" s="455"/>
      <c r="G33" s="289" t="s">
        <v>132</v>
      </c>
      <c r="H33" s="264">
        <v>-15</v>
      </c>
      <c r="I33" s="301"/>
      <c r="J33" s="620"/>
      <c r="K33" s="484"/>
    </row>
    <row r="34" spans="1:12" ht="15" customHeight="1" x14ac:dyDescent="0.2">
      <c r="A34" s="434"/>
      <c r="B34" s="434"/>
      <c r="C34" s="426"/>
      <c r="D34" s="591"/>
      <c r="E34" s="605"/>
      <c r="F34" s="455"/>
      <c r="G34" s="289" t="s">
        <v>133</v>
      </c>
      <c r="H34" s="264">
        <v>-20</v>
      </c>
      <c r="I34" s="301"/>
      <c r="J34" s="621"/>
      <c r="K34" s="485"/>
    </row>
    <row r="35" spans="1:12" ht="21" customHeight="1" x14ac:dyDescent="0.2">
      <c r="A35" s="434"/>
      <c r="B35" s="434"/>
      <c r="C35" s="433" t="s">
        <v>134</v>
      </c>
      <c r="D35" s="433" t="s">
        <v>135</v>
      </c>
      <c r="E35" s="430">
        <v>20</v>
      </c>
      <c r="F35" s="433" t="s">
        <v>520</v>
      </c>
      <c r="G35" s="289" t="s">
        <v>304</v>
      </c>
      <c r="H35" s="264">
        <v>20</v>
      </c>
      <c r="I35" s="301"/>
      <c r="J35" s="619">
        <f>MEDIAN(H35*I35+H36*I36,20,0)</f>
        <v>0</v>
      </c>
      <c r="K35" s="430" t="s">
        <v>104</v>
      </c>
    </row>
    <row r="36" spans="1:12" ht="24" customHeight="1" x14ac:dyDescent="0.2">
      <c r="A36" s="434"/>
      <c r="B36" s="434"/>
      <c r="C36" s="434"/>
      <c r="D36" s="434"/>
      <c r="E36" s="431"/>
      <c r="F36" s="434"/>
      <c r="G36" s="289" t="s">
        <v>306</v>
      </c>
      <c r="H36" s="264">
        <v>10</v>
      </c>
      <c r="I36" s="301"/>
      <c r="J36" s="621"/>
      <c r="K36" s="432"/>
    </row>
    <row r="37" spans="1:12" ht="21" customHeight="1" x14ac:dyDescent="0.2">
      <c r="A37" s="434"/>
      <c r="B37" s="434"/>
      <c r="C37" s="426" t="s">
        <v>526</v>
      </c>
      <c r="D37" s="426" t="s">
        <v>139</v>
      </c>
      <c r="E37" s="448">
        <v>20</v>
      </c>
      <c r="F37" s="433" t="s">
        <v>453</v>
      </c>
      <c r="G37" s="53" t="s">
        <v>307</v>
      </c>
      <c r="H37" s="54">
        <v>20</v>
      </c>
      <c r="I37" s="585"/>
      <c r="J37" s="619">
        <f>IF(I37=100%,20,IF(I37&gt;=8.25%,10,IF(I37&gt;=0,0,IF(I37&lt;0,-5,))))</f>
        <v>0</v>
      </c>
      <c r="K37" s="430" t="s">
        <v>38</v>
      </c>
    </row>
    <row r="38" spans="1:12" ht="21" customHeight="1" x14ac:dyDescent="0.2">
      <c r="A38" s="434"/>
      <c r="B38" s="434"/>
      <c r="C38" s="426"/>
      <c r="D38" s="426"/>
      <c r="E38" s="448"/>
      <c r="F38" s="434"/>
      <c r="G38" s="53" t="s">
        <v>448</v>
      </c>
      <c r="H38" s="54">
        <v>10</v>
      </c>
      <c r="I38" s="586"/>
      <c r="J38" s="620"/>
      <c r="K38" s="431"/>
    </row>
    <row r="39" spans="1:12" ht="21" customHeight="1" x14ac:dyDescent="0.2">
      <c r="A39" s="434"/>
      <c r="B39" s="434"/>
      <c r="C39" s="426"/>
      <c r="D39" s="426"/>
      <c r="E39" s="448"/>
      <c r="F39" s="434"/>
      <c r="G39" s="53" t="s">
        <v>460</v>
      </c>
      <c r="H39" s="54">
        <v>5</v>
      </c>
      <c r="I39" s="586"/>
      <c r="J39" s="620"/>
      <c r="K39" s="431"/>
    </row>
    <row r="40" spans="1:12" ht="21" customHeight="1" x14ac:dyDescent="0.2">
      <c r="A40" s="434"/>
      <c r="B40" s="434"/>
      <c r="C40" s="426"/>
      <c r="D40" s="426"/>
      <c r="E40" s="448"/>
      <c r="F40" s="434"/>
      <c r="G40" s="291" t="s">
        <v>461</v>
      </c>
      <c r="H40" s="54">
        <v>0</v>
      </c>
      <c r="I40" s="586"/>
      <c r="J40" s="620"/>
      <c r="K40" s="431"/>
    </row>
    <row r="41" spans="1:12" ht="21" customHeight="1" x14ac:dyDescent="0.2">
      <c r="A41" s="434"/>
      <c r="B41" s="434"/>
      <c r="C41" s="426"/>
      <c r="D41" s="426"/>
      <c r="E41" s="448"/>
      <c r="F41" s="435"/>
      <c r="G41" s="33" t="s">
        <v>145</v>
      </c>
      <c r="H41" s="54">
        <v>-5</v>
      </c>
      <c r="I41" s="587"/>
      <c r="J41" s="621"/>
      <c r="K41" s="432"/>
      <c r="L41" s="77"/>
    </row>
    <row r="42" spans="1:12" ht="30" customHeight="1" x14ac:dyDescent="0.2">
      <c r="A42" s="434"/>
      <c r="B42" s="434"/>
      <c r="C42" s="433" t="s">
        <v>462</v>
      </c>
      <c r="D42" s="433" t="s">
        <v>462</v>
      </c>
      <c r="E42" s="430">
        <v>60</v>
      </c>
      <c r="F42" s="433" t="s">
        <v>463</v>
      </c>
      <c r="G42" s="54" t="s">
        <v>474</v>
      </c>
      <c r="H42" s="54">
        <v>0.5</v>
      </c>
      <c r="I42" s="301"/>
      <c r="J42" s="309">
        <f>MEDIAN(H42*I42,60,0)</f>
        <v>0</v>
      </c>
      <c r="K42" s="430" t="s">
        <v>509</v>
      </c>
      <c r="L42" s="77"/>
    </row>
    <row r="43" spans="1:12" ht="22.5" customHeight="1" x14ac:dyDescent="0.2">
      <c r="A43" s="434"/>
      <c r="B43" s="434"/>
      <c r="C43" s="434"/>
      <c r="D43" s="434"/>
      <c r="E43" s="431"/>
      <c r="F43" s="434"/>
      <c r="G43" s="33" t="s">
        <v>475</v>
      </c>
      <c r="H43" s="54">
        <v>0.1</v>
      </c>
      <c r="I43" s="301"/>
      <c r="J43" s="624">
        <f>MEDIAN(H43*I43+H44*I44,60,0)</f>
        <v>0</v>
      </c>
      <c r="K43" s="431"/>
      <c r="L43" s="77"/>
    </row>
    <row r="44" spans="1:12" ht="22.5" customHeight="1" x14ac:dyDescent="0.2">
      <c r="A44" s="434"/>
      <c r="B44" s="435"/>
      <c r="C44" s="434"/>
      <c r="D44" s="434"/>
      <c r="E44" s="431"/>
      <c r="F44" s="434"/>
      <c r="G44" s="33" t="s">
        <v>476</v>
      </c>
      <c r="H44" s="54">
        <v>0.5</v>
      </c>
      <c r="I44" s="301"/>
      <c r="J44" s="625"/>
      <c r="K44" s="432"/>
      <c r="L44" s="310">
        <f>SUM(J30:J44)</f>
        <v>80</v>
      </c>
    </row>
    <row r="45" spans="1:12" ht="19.5" customHeight="1" x14ac:dyDescent="0.2">
      <c r="A45" s="426" t="s">
        <v>147</v>
      </c>
      <c r="B45" s="600">
        <v>80</v>
      </c>
      <c r="C45" s="433" t="s">
        <v>154</v>
      </c>
      <c r="D45" s="433" t="s">
        <v>155</v>
      </c>
      <c r="E45" s="430">
        <v>10</v>
      </c>
      <c r="F45" s="433" t="s">
        <v>156</v>
      </c>
      <c r="G45" s="433" t="s">
        <v>464</v>
      </c>
      <c r="H45" s="309">
        <f t="shared" ref="H45:H50" si="0">MEDIAN(I45*2,10,0)</f>
        <v>0</v>
      </c>
      <c r="I45" s="257"/>
      <c r="J45" s="610">
        <f>MEDIAN((H45*5%+H46*5%+H47*10%+H48*10%+H49*20%+H50*50%),30,0)</f>
        <v>0</v>
      </c>
      <c r="K45" s="448" t="s">
        <v>112</v>
      </c>
    </row>
    <row r="46" spans="1:12" ht="19.5" customHeight="1" x14ac:dyDescent="0.2">
      <c r="A46" s="426"/>
      <c r="B46" s="600"/>
      <c r="C46" s="434"/>
      <c r="D46" s="434"/>
      <c r="E46" s="431"/>
      <c r="F46" s="434"/>
      <c r="G46" s="434"/>
      <c r="H46" s="309">
        <f t="shared" si="0"/>
        <v>0</v>
      </c>
      <c r="I46" s="257"/>
      <c r="J46" s="610"/>
      <c r="K46" s="448"/>
    </row>
    <row r="47" spans="1:12" ht="19.5" customHeight="1" x14ac:dyDescent="0.2">
      <c r="A47" s="426"/>
      <c r="B47" s="600"/>
      <c r="C47" s="434"/>
      <c r="D47" s="434"/>
      <c r="E47" s="431"/>
      <c r="F47" s="434"/>
      <c r="G47" s="434"/>
      <c r="H47" s="309">
        <f t="shared" si="0"/>
        <v>0</v>
      </c>
      <c r="I47" s="257"/>
      <c r="J47" s="610"/>
      <c r="K47" s="448"/>
    </row>
    <row r="48" spans="1:12" ht="19.5" customHeight="1" x14ac:dyDescent="0.2">
      <c r="A48" s="426"/>
      <c r="B48" s="600"/>
      <c r="C48" s="434"/>
      <c r="D48" s="434"/>
      <c r="E48" s="431"/>
      <c r="F48" s="434"/>
      <c r="G48" s="434"/>
      <c r="H48" s="309">
        <f t="shared" si="0"/>
        <v>0</v>
      </c>
      <c r="I48" s="257"/>
      <c r="J48" s="610"/>
      <c r="K48" s="448"/>
    </row>
    <row r="49" spans="1:12" ht="19.5" customHeight="1" x14ac:dyDescent="0.2">
      <c r="A49" s="426"/>
      <c r="B49" s="600"/>
      <c r="C49" s="434"/>
      <c r="D49" s="434"/>
      <c r="E49" s="431"/>
      <c r="F49" s="434"/>
      <c r="G49" s="434"/>
      <c r="H49" s="309">
        <f t="shared" si="0"/>
        <v>0</v>
      </c>
      <c r="I49" s="257"/>
      <c r="J49" s="610"/>
      <c r="K49" s="448"/>
    </row>
    <row r="50" spans="1:12" ht="19.5" customHeight="1" x14ac:dyDescent="0.2">
      <c r="A50" s="426"/>
      <c r="B50" s="600"/>
      <c r="C50" s="435"/>
      <c r="D50" s="435"/>
      <c r="E50" s="432"/>
      <c r="F50" s="435"/>
      <c r="G50" s="435"/>
      <c r="H50" s="309">
        <f t="shared" si="0"/>
        <v>0</v>
      </c>
      <c r="I50" s="257"/>
      <c r="J50" s="611"/>
      <c r="K50" s="448"/>
    </row>
    <row r="51" spans="1:12" ht="21" customHeight="1" x14ac:dyDescent="0.2">
      <c r="A51" s="426"/>
      <c r="B51" s="600"/>
      <c r="C51" s="433" t="s">
        <v>160</v>
      </c>
      <c r="D51" s="433" t="s">
        <v>161</v>
      </c>
      <c r="E51" s="479">
        <v>30</v>
      </c>
      <c r="F51" s="430" t="s">
        <v>465</v>
      </c>
      <c r="G51" s="289" t="s">
        <v>313</v>
      </c>
      <c r="H51" s="54">
        <v>10</v>
      </c>
      <c r="I51" s="301"/>
      <c r="J51" s="577">
        <f>MEDIAN(H51*I51+H52*I52,30,0)</f>
        <v>0</v>
      </c>
      <c r="K51" s="448" t="s">
        <v>518</v>
      </c>
    </row>
    <row r="52" spans="1:12" ht="21" customHeight="1" x14ac:dyDescent="0.2">
      <c r="A52" s="426"/>
      <c r="B52" s="600"/>
      <c r="C52" s="435"/>
      <c r="D52" s="435"/>
      <c r="E52" s="480"/>
      <c r="F52" s="432"/>
      <c r="G52" s="289" t="s">
        <v>314</v>
      </c>
      <c r="H52" s="54">
        <v>20</v>
      </c>
      <c r="I52" s="301"/>
      <c r="J52" s="579"/>
      <c r="K52" s="448"/>
    </row>
    <row r="53" spans="1:12" ht="32.25" customHeight="1" x14ac:dyDescent="0.2">
      <c r="A53" s="426"/>
      <c r="B53" s="600"/>
      <c r="C53" s="291" t="s">
        <v>527</v>
      </c>
      <c r="D53" s="7" t="s">
        <v>167</v>
      </c>
      <c r="E53" s="296">
        <v>20</v>
      </c>
      <c r="F53" s="289" t="s">
        <v>466</v>
      </c>
      <c r="G53" s="289" t="s">
        <v>163</v>
      </c>
      <c r="H53" s="54">
        <v>10</v>
      </c>
      <c r="I53" s="257"/>
      <c r="J53" s="303">
        <f>MEDIAN(H53*I53,20,0)</f>
        <v>0</v>
      </c>
      <c r="K53" s="306" t="s">
        <v>519</v>
      </c>
    </row>
    <row r="54" spans="1:12" ht="28.5" customHeight="1" x14ac:dyDescent="0.2">
      <c r="A54" s="426"/>
      <c r="B54" s="600"/>
      <c r="C54" s="289" t="s">
        <v>169</v>
      </c>
      <c r="D54" s="289" t="s">
        <v>170</v>
      </c>
      <c r="E54" s="294">
        <v>10</v>
      </c>
      <c r="F54" s="289" t="s">
        <v>171</v>
      </c>
      <c r="G54" s="289" t="s">
        <v>172</v>
      </c>
      <c r="H54" s="54">
        <v>10</v>
      </c>
      <c r="I54" s="257"/>
      <c r="J54" s="303">
        <f>MEDIAN(H54*I54,10,0)</f>
        <v>0</v>
      </c>
      <c r="K54" s="294" t="s">
        <v>519</v>
      </c>
      <c r="L54" s="77"/>
    </row>
    <row r="55" spans="1:12" ht="29.25" customHeight="1" x14ac:dyDescent="0.2">
      <c r="A55" s="426"/>
      <c r="B55" s="600"/>
      <c r="C55" s="289" t="s">
        <v>384</v>
      </c>
      <c r="D55" s="7" t="s">
        <v>478</v>
      </c>
      <c r="E55" s="297">
        <v>10</v>
      </c>
      <c r="F55" s="290" t="s">
        <v>408</v>
      </c>
      <c r="G55" s="290" t="s">
        <v>151</v>
      </c>
      <c r="H55" s="54">
        <v>2</v>
      </c>
      <c r="I55" s="301"/>
      <c r="J55" s="303">
        <f>H55*I55</f>
        <v>0</v>
      </c>
      <c r="K55" s="294" t="s">
        <v>519</v>
      </c>
      <c r="L55" s="272">
        <f>SUM(J45:J55)</f>
        <v>0</v>
      </c>
    </row>
    <row r="56" spans="1:12" ht="18" customHeight="1" x14ac:dyDescent="0.2">
      <c r="A56" s="433" t="s">
        <v>377</v>
      </c>
      <c r="B56" s="426">
        <v>165</v>
      </c>
      <c r="C56" s="433" t="s">
        <v>96</v>
      </c>
      <c r="D56" s="433" t="s">
        <v>382</v>
      </c>
      <c r="E56" s="430">
        <v>30</v>
      </c>
      <c r="F56" s="430" t="s">
        <v>467</v>
      </c>
      <c r="G56" s="439" t="s">
        <v>382</v>
      </c>
      <c r="H56" s="273">
        <f t="shared" ref="H56:H61" si="1">MEDIAN(I56*6,30,0)</f>
        <v>0</v>
      </c>
      <c r="I56" s="257"/>
      <c r="J56" s="610">
        <f>MEDIAN((H56*5%+H57*5%+H58*10%+H59*10%+H60*20%+H61*50%),30,0)</f>
        <v>0</v>
      </c>
      <c r="K56" s="430" t="s">
        <v>396</v>
      </c>
    </row>
    <row r="57" spans="1:12" ht="18" customHeight="1" x14ac:dyDescent="0.2">
      <c r="A57" s="434"/>
      <c r="B57" s="426"/>
      <c r="C57" s="434"/>
      <c r="D57" s="434"/>
      <c r="E57" s="431"/>
      <c r="F57" s="431"/>
      <c r="G57" s="440"/>
      <c r="H57" s="273">
        <f t="shared" si="1"/>
        <v>0</v>
      </c>
      <c r="I57" s="257"/>
      <c r="J57" s="610"/>
      <c r="K57" s="431"/>
    </row>
    <row r="58" spans="1:12" ht="18" customHeight="1" x14ac:dyDescent="0.2">
      <c r="A58" s="434"/>
      <c r="B58" s="426"/>
      <c r="C58" s="434"/>
      <c r="D58" s="434"/>
      <c r="E58" s="431"/>
      <c r="F58" s="431"/>
      <c r="G58" s="440"/>
      <c r="H58" s="273">
        <f t="shared" si="1"/>
        <v>0</v>
      </c>
      <c r="I58" s="257"/>
      <c r="J58" s="610"/>
      <c r="K58" s="431"/>
    </row>
    <row r="59" spans="1:12" ht="18" customHeight="1" x14ac:dyDescent="0.2">
      <c r="A59" s="434"/>
      <c r="B59" s="426"/>
      <c r="C59" s="434"/>
      <c r="D59" s="434"/>
      <c r="E59" s="431"/>
      <c r="F59" s="431"/>
      <c r="G59" s="440"/>
      <c r="H59" s="273">
        <f t="shared" si="1"/>
        <v>0</v>
      </c>
      <c r="I59" s="257"/>
      <c r="J59" s="610"/>
      <c r="K59" s="431"/>
    </row>
    <row r="60" spans="1:12" ht="18" customHeight="1" x14ac:dyDescent="0.2">
      <c r="A60" s="434"/>
      <c r="B60" s="426"/>
      <c r="C60" s="434"/>
      <c r="D60" s="434"/>
      <c r="E60" s="431"/>
      <c r="F60" s="431"/>
      <c r="G60" s="440"/>
      <c r="H60" s="273">
        <f t="shared" si="1"/>
        <v>0</v>
      </c>
      <c r="I60" s="257"/>
      <c r="J60" s="610"/>
      <c r="K60" s="431"/>
    </row>
    <row r="61" spans="1:12" ht="18" customHeight="1" x14ac:dyDescent="0.2">
      <c r="A61" s="434"/>
      <c r="B61" s="426"/>
      <c r="C61" s="435"/>
      <c r="D61" s="435"/>
      <c r="E61" s="432"/>
      <c r="F61" s="432"/>
      <c r="G61" s="491"/>
      <c r="H61" s="273">
        <f t="shared" si="1"/>
        <v>0</v>
      </c>
      <c r="I61" s="257"/>
      <c r="J61" s="611"/>
      <c r="K61" s="432"/>
    </row>
    <row r="62" spans="1:12" ht="15" customHeight="1" x14ac:dyDescent="0.2">
      <c r="A62" s="434"/>
      <c r="B62" s="426"/>
      <c r="C62" s="426" t="s">
        <v>101</v>
      </c>
      <c r="D62" s="433" t="s">
        <v>349</v>
      </c>
      <c r="E62" s="479">
        <v>15</v>
      </c>
      <c r="F62" s="433" t="s">
        <v>511</v>
      </c>
      <c r="G62" s="291" t="s">
        <v>480</v>
      </c>
      <c r="H62" s="280">
        <f t="shared" ref="H62:H67" si="2">IF(I62&gt;=91%,15,IF(I62&gt;=81%,10,IF(I62&gt;=71%,8,IF(I62&gt;=61%,5,0))))</f>
        <v>0</v>
      </c>
      <c r="I62" s="260"/>
      <c r="J62" s="610">
        <f>H62*5%+H63*5%+H64*10%+H65*10%+H66*20%+H67*50%</f>
        <v>0</v>
      </c>
      <c r="K62" s="430" t="s">
        <v>112</v>
      </c>
    </row>
    <row r="63" spans="1:12" ht="15" customHeight="1" x14ac:dyDescent="0.2">
      <c r="A63" s="434"/>
      <c r="B63" s="426"/>
      <c r="C63" s="426"/>
      <c r="D63" s="434"/>
      <c r="E63" s="615"/>
      <c r="F63" s="434"/>
      <c r="G63" s="291" t="s">
        <v>481</v>
      </c>
      <c r="H63" s="280">
        <f t="shared" si="2"/>
        <v>0</v>
      </c>
      <c r="I63" s="260"/>
      <c r="J63" s="610"/>
      <c r="K63" s="431"/>
    </row>
    <row r="64" spans="1:12" ht="15" customHeight="1" x14ac:dyDescent="0.2">
      <c r="A64" s="434"/>
      <c r="B64" s="426"/>
      <c r="C64" s="426"/>
      <c r="D64" s="434"/>
      <c r="E64" s="615"/>
      <c r="F64" s="434"/>
      <c r="G64" s="291" t="s">
        <v>482</v>
      </c>
      <c r="H64" s="280">
        <f t="shared" si="2"/>
        <v>0</v>
      </c>
      <c r="I64" s="260"/>
      <c r="J64" s="610"/>
      <c r="K64" s="431"/>
    </row>
    <row r="65" spans="1:11" ht="15" customHeight="1" x14ac:dyDescent="0.2">
      <c r="A65" s="434"/>
      <c r="B65" s="426"/>
      <c r="C65" s="426"/>
      <c r="D65" s="434"/>
      <c r="E65" s="615"/>
      <c r="F65" s="434"/>
      <c r="G65" s="291" t="s">
        <v>483</v>
      </c>
      <c r="H65" s="280">
        <f t="shared" si="2"/>
        <v>0</v>
      </c>
      <c r="I65" s="260"/>
      <c r="J65" s="610"/>
      <c r="K65" s="431"/>
    </row>
    <row r="66" spans="1:11" ht="15" customHeight="1" x14ac:dyDescent="0.2">
      <c r="A66" s="434"/>
      <c r="B66" s="426"/>
      <c r="C66" s="426"/>
      <c r="D66" s="434"/>
      <c r="E66" s="615"/>
      <c r="F66" s="434"/>
      <c r="G66" s="291" t="s">
        <v>502</v>
      </c>
      <c r="H66" s="280">
        <f t="shared" si="2"/>
        <v>0</v>
      </c>
      <c r="I66" s="260"/>
      <c r="J66" s="610"/>
      <c r="K66" s="431"/>
    </row>
    <row r="67" spans="1:11" ht="15" customHeight="1" x14ac:dyDescent="0.2">
      <c r="A67" s="434"/>
      <c r="B67" s="426"/>
      <c r="C67" s="426"/>
      <c r="D67" s="435"/>
      <c r="E67" s="480"/>
      <c r="F67" s="435"/>
      <c r="G67" s="291">
        <v>0</v>
      </c>
      <c r="H67" s="280">
        <f t="shared" si="2"/>
        <v>0</v>
      </c>
      <c r="I67" s="260"/>
      <c r="J67" s="611"/>
      <c r="K67" s="432"/>
    </row>
    <row r="68" spans="1:11" ht="15" customHeight="1" x14ac:dyDescent="0.2">
      <c r="A68" s="434"/>
      <c r="B68" s="426"/>
      <c r="C68" s="426"/>
      <c r="D68" s="433" t="s">
        <v>106</v>
      </c>
      <c r="E68" s="479">
        <v>40</v>
      </c>
      <c r="F68" s="430" t="s">
        <v>512</v>
      </c>
      <c r="G68" s="291" t="s">
        <v>484</v>
      </c>
      <c r="H68" s="300">
        <f t="shared" ref="H68:H73" si="3">IF(I68&gt;=91%,40,IF(I68&gt;=81%,30,IF(I68&gt;=71%,20,IF(I68&gt;=61%,10,IF(I68&gt;0,5,0)))))</f>
        <v>0</v>
      </c>
      <c r="I68" s="260"/>
      <c r="J68" s="610">
        <f>H68*5%+H69*5%+H70*10%+H71*10%+H72*20%+H73*50%</f>
        <v>0</v>
      </c>
      <c r="K68" s="430" t="s">
        <v>112</v>
      </c>
    </row>
    <row r="69" spans="1:11" ht="15" customHeight="1" x14ac:dyDescent="0.2">
      <c r="A69" s="434"/>
      <c r="B69" s="426"/>
      <c r="C69" s="426"/>
      <c r="D69" s="434"/>
      <c r="E69" s="615"/>
      <c r="F69" s="431"/>
      <c r="G69" s="291" t="s">
        <v>487</v>
      </c>
      <c r="H69" s="300">
        <f t="shared" si="3"/>
        <v>0</v>
      </c>
      <c r="I69" s="260"/>
      <c r="J69" s="610"/>
      <c r="K69" s="431"/>
    </row>
    <row r="70" spans="1:11" ht="15" customHeight="1" x14ac:dyDescent="0.2">
      <c r="A70" s="434"/>
      <c r="B70" s="426"/>
      <c r="C70" s="426"/>
      <c r="D70" s="434"/>
      <c r="E70" s="615"/>
      <c r="F70" s="431"/>
      <c r="G70" s="291" t="s">
        <v>485</v>
      </c>
      <c r="H70" s="300">
        <f t="shared" si="3"/>
        <v>0</v>
      </c>
      <c r="I70" s="260"/>
      <c r="J70" s="610"/>
      <c r="K70" s="431"/>
    </row>
    <row r="71" spans="1:11" ht="15" customHeight="1" x14ac:dyDescent="0.2">
      <c r="A71" s="434"/>
      <c r="B71" s="426"/>
      <c r="C71" s="426"/>
      <c r="D71" s="434"/>
      <c r="E71" s="615"/>
      <c r="F71" s="431"/>
      <c r="G71" s="291" t="s">
        <v>486</v>
      </c>
      <c r="H71" s="300">
        <f t="shared" si="3"/>
        <v>0</v>
      </c>
      <c r="I71" s="260"/>
      <c r="J71" s="610"/>
      <c r="K71" s="431"/>
    </row>
    <row r="72" spans="1:11" ht="15" customHeight="1" x14ac:dyDescent="0.2">
      <c r="A72" s="434"/>
      <c r="B72" s="426"/>
      <c r="C72" s="426"/>
      <c r="D72" s="434"/>
      <c r="E72" s="615"/>
      <c r="F72" s="431"/>
      <c r="G72" s="291" t="s">
        <v>501</v>
      </c>
      <c r="H72" s="300">
        <f t="shared" si="3"/>
        <v>0</v>
      </c>
      <c r="I72" s="260"/>
      <c r="J72" s="610"/>
      <c r="K72" s="431"/>
    </row>
    <row r="73" spans="1:11" ht="15" customHeight="1" x14ac:dyDescent="0.2">
      <c r="A73" s="434"/>
      <c r="B73" s="426"/>
      <c r="C73" s="426"/>
      <c r="D73" s="435"/>
      <c r="E73" s="480"/>
      <c r="F73" s="432"/>
      <c r="G73" s="291">
        <v>0</v>
      </c>
      <c r="H73" s="300">
        <f t="shared" si="3"/>
        <v>0</v>
      </c>
      <c r="I73" s="260"/>
      <c r="J73" s="611"/>
      <c r="K73" s="432"/>
    </row>
    <row r="74" spans="1:11" ht="15" customHeight="1" x14ac:dyDescent="0.2">
      <c r="A74" s="434"/>
      <c r="B74" s="426"/>
      <c r="C74" s="455"/>
      <c r="D74" s="433" t="s">
        <v>114</v>
      </c>
      <c r="E74" s="479">
        <v>20</v>
      </c>
      <c r="F74" s="430" t="s">
        <v>510</v>
      </c>
      <c r="G74" s="240" t="s">
        <v>491</v>
      </c>
      <c r="H74" s="300">
        <f t="shared" ref="H74:H79" si="4">IF(I74&gt;=51%,20,IF(I74&gt;=41%,15,IF(I74&gt;=31%,10,IF(I74&gt;=11%,8,IF(I74&gt;0,5,0)))))</f>
        <v>0</v>
      </c>
      <c r="I74" s="260"/>
      <c r="J74" s="610">
        <f>H74*5%+H75*5%+H76*10%+H77*10%+H78*20%+H79*50%</f>
        <v>0</v>
      </c>
      <c r="K74" s="430" t="s">
        <v>112</v>
      </c>
    </row>
    <row r="75" spans="1:11" ht="15" customHeight="1" x14ac:dyDescent="0.2">
      <c r="A75" s="434"/>
      <c r="B75" s="426"/>
      <c r="C75" s="455"/>
      <c r="D75" s="434"/>
      <c r="E75" s="615"/>
      <c r="F75" s="431"/>
      <c r="G75" s="291" t="s">
        <v>488</v>
      </c>
      <c r="H75" s="300">
        <f t="shared" si="4"/>
        <v>0</v>
      </c>
      <c r="I75" s="260"/>
      <c r="J75" s="610"/>
      <c r="K75" s="431"/>
    </row>
    <row r="76" spans="1:11" ht="15" customHeight="1" x14ac:dyDescent="0.2">
      <c r="A76" s="434"/>
      <c r="B76" s="426"/>
      <c r="C76" s="455"/>
      <c r="D76" s="434"/>
      <c r="E76" s="615"/>
      <c r="F76" s="431"/>
      <c r="G76" s="291" t="s">
        <v>489</v>
      </c>
      <c r="H76" s="300">
        <f t="shared" si="4"/>
        <v>0</v>
      </c>
      <c r="I76" s="260"/>
      <c r="J76" s="610"/>
      <c r="K76" s="431"/>
    </row>
    <row r="77" spans="1:11" ht="15" customHeight="1" x14ac:dyDescent="0.2">
      <c r="A77" s="434"/>
      <c r="B77" s="426"/>
      <c r="C77" s="455"/>
      <c r="D77" s="434"/>
      <c r="E77" s="615"/>
      <c r="F77" s="431"/>
      <c r="G77" s="33" t="s">
        <v>490</v>
      </c>
      <c r="H77" s="300">
        <f t="shared" si="4"/>
        <v>0</v>
      </c>
      <c r="I77" s="260"/>
      <c r="J77" s="610"/>
      <c r="K77" s="431"/>
    </row>
    <row r="78" spans="1:11" ht="15" customHeight="1" x14ac:dyDescent="0.2">
      <c r="A78" s="434"/>
      <c r="B78" s="426"/>
      <c r="C78" s="455"/>
      <c r="D78" s="434"/>
      <c r="E78" s="615"/>
      <c r="F78" s="431"/>
      <c r="G78" s="291" t="s">
        <v>500</v>
      </c>
      <c r="H78" s="300">
        <f t="shared" si="4"/>
        <v>0</v>
      </c>
      <c r="I78" s="260"/>
      <c r="J78" s="610"/>
      <c r="K78" s="431"/>
    </row>
    <row r="79" spans="1:11" ht="15" customHeight="1" x14ac:dyDescent="0.2">
      <c r="A79" s="434"/>
      <c r="B79" s="426"/>
      <c r="C79" s="455"/>
      <c r="D79" s="435"/>
      <c r="E79" s="480"/>
      <c r="F79" s="432"/>
      <c r="G79" s="230">
        <v>0</v>
      </c>
      <c r="H79" s="300">
        <f t="shared" si="4"/>
        <v>0</v>
      </c>
      <c r="I79" s="260"/>
      <c r="J79" s="611"/>
      <c r="K79" s="432"/>
    </row>
    <row r="80" spans="1:11" ht="15" customHeight="1" x14ac:dyDescent="0.2">
      <c r="A80" s="434"/>
      <c r="B80" s="426"/>
      <c r="C80" s="455"/>
      <c r="D80" s="433" t="s">
        <v>117</v>
      </c>
      <c r="E80" s="430">
        <v>45</v>
      </c>
      <c r="F80" s="430" t="s">
        <v>468</v>
      </c>
      <c r="G80" s="291" t="s">
        <v>492</v>
      </c>
      <c r="H80" s="300">
        <f t="shared" ref="H80:H85" si="5">IF(I80&gt;=31%,45,IF(I80&gt;=21%,35,IF(I80&gt;=11%,25,IF(I80&gt;0,10,0))))</f>
        <v>0</v>
      </c>
      <c r="I80" s="260"/>
      <c r="J80" s="610">
        <f>H80*5%+H81*5%+H82*10%+H83*10%+H84*20%+H85*50%</f>
        <v>0</v>
      </c>
      <c r="K80" s="430" t="s">
        <v>112</v>
      </c>
    </row>
    <row r="81" spans="1:12" ht="15" customHeight="1" x14ac:dyDescent="0.2">
      <c r="A81" s="434"/>
      <c r="B81" s="426"/>
      <c r="C81" s="455"/>
      <c r="D81" s="434"/>
      <c r="E81" s="431"/>
      <c r="F81" s="431"/>
      <c r="G81" s="291" t="s">
        <v>493</v>
      </c>
      <c r="H81" s="300">
        <f t="shared" si="5"/>
        <v>0</v>
      </c>
      <c r="I81" s="260"/>
      <c r="J81" s="610"/>
      <c r="K81" s="431"/>
    </row>
    <row r="82" spans="1:12" ht="15" customHeight="1" x14ac:dyDescent="0.2">
      <c r="A82" s="434"/>
      <c r="B82" s="426"/>
      <c r="C82" s="455"/>
      <c r="D82" s="434"/>
      <c r="E82" s="431"/>
      <c r="F82" s="431"/>
      <c r="G82" s="33" t="s">
        <v>494</v>
      </c>
      <c r="H82" s="300">
        <f t="shared" si="5"/>
        <v>0</v>
      </c>
      <c r="I82" s="260"/>
      <c r="J82" s="610"/>
      <c r="K82" s="431"/>
    </row>
    <row r="83" spans="1:12" ht="15" customHeight="1" x14ac:dyDescent="0.2">
      <c r="A83" s="434"/>
      <c r="B83" s="426"/>
      <c r="C83" s="455"/>
      <c r="D83" s="434"/>
      <c r="E83" s="431"/>
      <c r="F83" s="431"/>
      <c r="G83" s="291" t="s">
        <v>499</v>
      </c>
      <c r="H83" s="300">
        <f t="shared" si="5"/>
        <v>0</v>
      </c>
      <c r="I83" s="260"/>
      <c r="J83" s="610"/>
      <c r="K83" s="431"/>
    </row>
    <row r="84" spans="1:12" ht="15" customHeight="1" x14ac:dyDescent="0.2">
      <c r="A84" s="434"/>
      <c r="B84" s="426"/>
      <c r="C84" s="455"/>
      <c r="D84" s="434"/>
      <c r="E84" s="431"/>
      <c r="F84" s="431"/>
      <c r="G84" s="291">
        <v>0</v>
      </c>
      <c r="H84" s="300">
        <f t="shared" si="5"/>
        <v>0</v>
      </c>
      <c r="I84" s="260"/>
      <c r="J84" s="610"/>
      <c r="K84" s="431"/>
    </row>
    <row r="85" spans="1:12" ht="15" customHeight="1" x14ac:dyDescent="0.2">
      <c r="A85" s="434"/>
      <c r="B85" s="426"/>
      <c r="C85" s="455"/>
      <c r="D85" s="434"/>
      <c r="E85" s="431"/>
      <c r="F85" s="431"/>
      <c r="G85" s="304"/>
      <c r="H85" s="300">
        <f t="shared" si="5"/>
        <v>0</v>
      </c>
      <c r="I85" s="260"/>
      <c r="J85" s="611"/>
      <c r="K85" s="431"/>
    </row>
    <row r="86" spans="1:12" ht="15" customHeight="1" x14ac:dyDescent="0.2">
      <c r="A86" s="434"/>
      <c r="B86" s="426"/>
      <c r="C86" s="455"/>
      <c r="D86" s="433" t="s">
        <v>120</v>
      </c>
      <c r="E86" s="430">
        <v>15</v>
      </c>
      <c r="F86" s="430" t="s">
        <v>469</v>
      </c>
      <c r="G86" s="291" t="s">
        <v>495</v>
      </c>
      <c r="H86" s="300">
        <f t="shared" ref="H86:H91" si="6">IF(I86&gt;=31%,15,IF(I86&gt;=21%,12,IF(I86&gt;=11%,10,IF(I86&gt;0,8,0))))</f>
        <v>0</v>
      </c>
      <c r="I86" s="260"/>
      <c r="J86" s="610">
        <f>H86*5%+H87*5%+H88*10%+H89*10%+H90*20%+H91*50%</f>
        <v>0</v>
      </c>
      <c r="K86" s="430" t="s">
        <v>112</v>
      </c>
    </row>
    <row r="87" spans="1:12" ht="15" customHeight="1" x14ac:dyDescent="0.2">
      <c r="A87" s="434"/>
      <c r="B87" s="426"/>
      <c r="C87" s="455"/>
      <c r="D87" s="434"/>
      <c r="E87" s="431"/>
      <c r="F87" s="431"/>
      <c r="G87" s="291" t="s">
        <v>496</v>
      </c>
      <c r="H87" s="300">
        <f t="shared" si="6"/>
        <v>0</v>
      </c>
      <c r="I87" s="260"/>
      <c r="J87" s="610"/>
      <c r="K87" s="431"/>
    </row>
    <row r="88" spans="1:12" ht="15" customHeight="1" x14ac:dyDescent="0.2">
      <c r="A88" s="434"/>
      <c r="B88" s="426"/>
      <c r="C88" s="455"/>
      <c r="D88" s="434"/>
      <c r="E88" s="431"/>
      <c r="F88" s="431"/>
      <c r="G88" s="33" t="s">
        <v>497</v>
      </c>
      <c r="H88" s="300">
        <f t="shared" si="6"/>
        <v>0</v>
      </c>
      <c r="I88" s="260"/>
      <c r="J88" s="610"/>
      <c r="K88" s="431"/>
    </row>
    <row r="89" spans="1:12" ht="15" customHeight="1" x14ac:dyDescent="0.2">
      <c r="A89" s="434"/>
      <c r="B89" s="426"/>
      <c r="C89" s="455"/>
      <c r="D89" s="434"/>
      <c r="E89" s="431"/>
      <c r="F89" s="431"/>
      <c r="G89" s="291" t="s">
        <v>498</v>
      </c>
      <c r="H89" s="300">
        <f t="shared" si="6"/>
        <v>0</v>
      </c>
      <c r="I89" s="260"/>
      <c r="J89" s="610"/>
      <c r="K89" s="431"/>
    </row>
    <row r="90" spans="1:12" ht="15" customHeight="1" x14ac:dyDescent="0.2">
      <c r="A90" s="434"/>
      <c r="B90" s="426"/>
      <c r="C90" s="455"/>
      <c r="D90" s="434"/>
      <c r="E90" s="431"/>
      <c r="F90" s="431"/>
      <c r="G90" s="291">
        <v>0</v>
      </c>
      <c r="H90" s="300">
        <f t="shared" si="6"/>
        <v>0</v>
      </c>
      <c r="I90" s="260"/>
      <c r="J90" s="610"/>
      <c r="K90" s="431"/>
    </row>
    <row r="91" spans="1:12" ht="15" customHeight="1" x14ac:dyDescent="0.2">
      <c r="A91" s="435"/>
      <c r="B91" s="426"/>
      <c r="C91" s="455"/>
      <c r="D91" s="434"/>
      <c r="E91" s="431"/>
      <c r="F91" s="431"/>
      <c r="G91" s="304"/>
      <c r="H91" s="300">
        <f t="shared" si="6"/>
        <v>0</v>
      </c>
      <c r="I91" s="260"/>
      <c r="J91" s="611"/>
      <c r="K91" s="431"/>
      <c r="L91" s="218">
        <f>SUM(J56:J91)</f>
        <v>0</v>
      </c>
    </row>
    <row r="92" spans="1:12" s="1" customFormat="1" ht="28.5" customHeight="1" x14ac:dyDescent="0.2">
      <c r="A92" s="430" t="s">
        <v>315</v>
      </c>
      <c r="B92" s="426">
        <v>210</v>
      </c>
      <c r="C92" s="426" t="s">
        <v>177</v>
      </c>
      <c r="D92" s="289" t="s">
        <v>178</v>
      </c>
      <c r="E92" s="55">
        <f>20%*200</f>
        <v>40</v>
      </c>
      <c r="F92" s="56" t="s">
        <v>179</v>
      </c>
      <c r="G92" s="298" t="s">
        <v>470</v>
      </c>
      <c r="H92" s="268">
        <v>1</v>
      </c>
      <c r="I92" s="301"/>
      <c r="J92" s="622">
        <f>MEDIAN(H92*I92+H93*I93,60,0)</f>
        <v>0</v>
      </c>
      <c r="K92" s="35" t="s">
        <v>181</v>
      </c>
      <c r="L92" s="2"/>
    </row>
    <row r="93" spans="1:12" s="1" customFormat="1" ht="28.5" customHeight="1" x14ac:dyDescent="0.2">
      <c r="A93" s="431"/>
      <c r="B93" s="426"/>
      <c r="C93" s="426"/>
      <c r="D93" s="292" t="s">
        <v>183</v>
      </c>
      <c r="E93" s="292">
        <v>20</v>
      </c>
      <c r="F93" s="292" t="s">
        <v>184</v>
      </c>
      <c r="G93" s="292" t="s">
        <v>177</v>
      </c>
      <c r="H93" s="54">
        <v>8</v>
      </c>
      <c r="I93" s="301"/>
      <c r="J93" s="623"/>
      <c r="K93" s="35" t="s">
        <v>343</v>
      </c>
      <c r="L93" s="2"/>
    </row>
    <row r="94" spans="1:12" s="1" customFormat="1" ht="28.5" customHeight="1" x14ac:dyDescent="0.2">
      <c r="A94" s="431"/>
      <c r="B94" s="426"/>
      <c r="C94" s="426" t="s">
        <v>186</v>
      </c>
      <c r="D94" s="289" t="s">
        <v>187</v>
      </c>
      <c r="E94" s="55">
        <v>30</v>
      </c>
      <c r="F94" s="289" t="s">
        <v>188</v>
      </c>
      <c r="G94" s="294" t="s">
        <v>189</v>
      </c>
      <c r="H94" s="33">
        <v>1.5</v>
      </c>
      <c r="I94" s="301"/>
      <c r="J94" s="308">
        <f>MEDIAN(H94*I94,30,0)</f>
        <v>0</v>
      </c>
      <c r="K94" s="35" t="s">
        <v>190</v>
      </c>
      <c r="L94" s="2"/>
    </row>
    <row r="95" spans="1:12" s="1" customFormat="1" ht="28.5" customHeight="1" x14ac:dyDescent="0.2">
      <c r="A95" s="431"/>
      <c r="B95" s="426"/>
      <c r="C95" s="426"/>
      <c r="D95" s="289" t="s">
        <v>191</v>
      </c>
      <c r="E95" s="55">
        <v>10</v>
      </c>
      <c r="F95" s="289" t="s">
        <v>192</v>
      </c>
      <c r="G95" s="294" t="s">
        <v>193</v>
      </c>
      <c r="H95" s="33">
        <v>0.5</v>
      </c>
      <c r="I95" s="301"/>
      <c r="J95" s="308">
        <f>MEDIAN(H95*I95,10,0)</f>
        <v>0</v>
      </c>
      <c r="K95" s="35" t="s">
        <v>194</v>
      </c>
      <c r="L95" s="64"/>
    </row>
    <row r="96" spans="1:12" s="1" customFormat="1" ht="33.75" customHeight="1" x14ac:dyDescent="0.2">
      <c r="A96" s="431"/>
      <c r="B96" s="426"/>
      <c r="C96" s="426" t="s">
        <v>213</v>
      </c>
      <c r="D96" s="292" t="s">
        <v>214</v>
      </c>
      <c r="E96" s="281">
        <v>40</v>
      </c>
      <c r="F96" s="36" t="s">
        <v>428</v>
      </c>
      <c r="G96" s="294" t="s">
        <v>214</v>
      </c>
      <c r="H96" s="33">
        <v>2</v>
      </c>
      <c r="I96" s="301"/>
      <c r="J96" s="308">
        <f>MEDIAN(H96*I96/5,40,0)</f>
        <v>0</v>
      </c>
      <c r="K96" s="36" t="s">
        <v>428</v>
      </c>
      <c r="L96" s="2"/>
    </row>
    <row r="97" spans="1:12" s="1" customFormat="1" ht="28.5" customHeight="1" x14ac:dyDescent="0.2">
      <c r="A97" s="431"/>
      <c r="B97" s="426"/>
      <c r="C97" s="426"/>
      <c r="D97" s="292" t="s">
        <v>471</v>
      </c>
      <c r="E97" s="280">
        <v>20</v>
      </c>
      <c r="F97" s="289" t="s">
        <v>427</v>
      </c>
      <c r="G97" s="294" t="s">
        <v>218</v>
      </c>
      <c r="H97" s="269">
        <v>2</v>
      </c>
      <c r="I97" s="301"/>
      <c r="J97" s="308">
        <f>MEDIAN(H97*I97,20,0)</f>
        <v>0</v>
      </c>
      <c r="K97" s="36" t="s">
        <v>430</v>
      </c>
      <c r="L97" s="271">
        <f>SUM(J92:J97)</f>
        <v>0</v>
      </c>
    </row>
    <row r="98" spans="1:12" s="1" customFormat="1" ht="15" customHeight="1" x14ac:dyDescent="0.2">
      <c r="A98" s="431"/>
      <c r="B98" s="426"/>
      <c r="C98" s="433" t="s">
        <v>199</v>
      </c>
      <c r="D98" s="517" t="s">
        <v>200</v>
      </c>
      <c r="E98" s="528">
        <v>30</v>
      </c>
      <c r="F98" s="433" t="s">
        <v>505</v>
      </c>
      <c r="G98" s="430" t="s">
        <v>202</v>
      </c>
      <c r="H98" s="273">
        <f t="shared" ref="H98:H103" si="7">MEDIAN(I98*1,30,0)</f>
        <v>0</v>
      </c>
      <c r="I98" s="274"/>
      <c r="J98" s="610">
        <f>H98*5%+H99*5%+H100*10%+H101*10%+H102*20%+H103*50%</f>
        <v>0</v>
      </c>
      <c r="K98" s="487" t="s">
        <v>472</v>
      </c>
      <c r="L98" s="2"/>
    </row>
    <row r="99" spans="1:12" s="1" customFormat="1" ht="15" customHeight="1" x14ac:dyDescent="0.2">
      <c r="A99" s="431"/>
      <c r="B99" s="426"/>
      <c r="C99" s="434"/>
      <c r="D99" s="518"/>
      <c r="E99" s="529"/>
      <c r="F99" s="434"/>
      <c r="G99" s="431"/>
      <c r="H99" s="273">
        <f t="shared" si="7"/>
        <v>0</v>
      </c>
      <c r="I99" s="274"/>
      <c r="J99" s="610"/>
      <c r="K99" s="488"/>
      <c r="L99" s="2"/>
    </row>
    <row r="100" spans="1:12" s="1" customFormat="1" ht="15" customHeight="1" x14ac:dyDescent="0.2">
      <c r="A100" s="431"/>
      <c r="B100" s="426"/>
      <c r="C100" s="434"/>
      <c r="D100" s="518"/>
      <c r="E100" s="529"/>
      <c r="F100" s="434"/>
      <c r="G100" s="431"/>
      <c r="H100" s="273">
        <f t="shared" si="7"/>
        <v>0</v>
      </c>
      <c r="I100" s="274"/>
      <c r="J100" s="610"/>
      <c r="K100" s="488"/>
      <c r="L100" s="2"/>
    </row>
    <row r="101" spans="1:12" s="1" customFormat="1" ht="15" customHeight="1" x14ac:dyDescent="0.2">
      <c r="A101" s="431"/>
      <c r="B101" s="426"/>
      <c r="C101" s="434"/>
      <c r="D101" s="518"/>
      <c r="E101" s="529"/>
      <c r="F101" s="434"/>
      <c r="G101" s="431"/>
      <c r="H101" s="273">
        <f t="shared" si="7"/>
        <v>0</v>
      </c>
      <c r="I101" s="274"/>
      <c r="J101" s="610"/>
      <c r="K101" s="488"/>
      <c r="L101" s="2"/>
    </row>
    <row r="102" spans="1:12" s="1" customFormat="1" ht="15" customHeight="1" x14ac:dyDescent="0.2">
      <c r="A102" s="431"/>
      <c r="B102" s="426"/>
      <c r="C102" s="434"/>
      <c r="D102" s="518"/>
      <c r="E102" s="529"/>
      <c r="F102" s="434"/>
      <c r="G102" s="431"/>
      <c r="H102" s="273">
        <f t="shared" si="7"/>
        <v>0</v>
      </c>
      <c r="I102" s="274"/>
      <c r="J102" s="610"/>
      <c r="K102" s="488"/>
      <c r="L102" s="2"/>
    </row>
    <row r="103" spans="1:12" s="1" customFormat="1" ht="15" customHeight="1" x14ac:dyDescent="0.2">
      <c r="A103" s="431"/>
      <c r="B103" s="426"/>
      <c r="C103" s="434"/>
      <c r="D103" s="519"/>
      <c r="E103" s="530"/>
      <c r="F103" s="435"/>
      <c r="G103" s="432"/>
      <c r="H103" s="273">
        <f t="shared" si="7"/>
        <v>0</v>
      </c>
      <c r="I103" s="274"/>
      <c r="J103" s="611"/>
      <c r="K103" s="489"/>
      <c r="L103" s="2"/>
    </row>
    <row r="104" spans="1:12" s="1" customFormat="1" ht="15" customHeight="1" x14ac:dyDescent="0.2">
      <c r="A104" s="431"/>
      <c r="B104" s="426"/>
      <c r="C104" s="434"/>
      <c r="D104" s="517" t="s">
        <v>204</v>
      </c>
      <c r="E104" s="451">
        <f>5%*200</f>
        <v>10</v>
      </c>
      <c r="F104" s="433" t="s">
        <v>506</v>
      </c>
      <c r="G104" s="430" t="s">
        <v>202</v>
      </c>
      <c r="H104" s="273">
        <f t="shared" ref="H104:H109" si="8">MEDIAN(I104*1,10,0)</f>
        <v>0</v>
      </c>
      <c r="I104" s="301"/>
      <c r="J104" s="610">
        <f>H104*5%+H105*5%+H106*10%+H107*10%+H108*20%+H109*50%</f>
        <v>0</v>
      </c>
      <c r="K104" s="487" t="s">
        <v>503</v>
      </c>
      <c r="L104" s="2"/>
    </row>
    <row r="105" spans="1:12" s="1" customFormat="1" ht="15" customHeight="1" x14ac:dyDescent="0.2">
      <c r="A105" s="431"/>
      <c r="B105" s="426"/>
      <c r="C105" s="434"/>
      <c r="D105" s="518"/>
      <c r="E105" s="452"/>
      <c r="F105" s="434"/>
      <c r="G105" s="431"/>
      <c r="H105" s="273">
        <f t="shared" si="8"/>
        <v>0</v>
      </c>
      <c r="I105" s="301"/>
      <c r="J105" s="610"/>
      <c r="K105" s="488"/>
      <c r="L105" s="2"/>
    </row>
    <row r="106" spans="1:12" s="1" customFormat="1" ht="15" customHeight="1" x14ac:dyDescent="0.2">
      <c r="A106" s="431"/>
      <c r="B106" s="426"/>
      <c r="C106" s="434"/>
      <c r="D106" s="518"/>
      <c r="E106" s="452"/>
      <c r="F106" s="434"/>
      <c r="G106" s="431"/>
      <c r="H106" s="273">
        <f t="shared" si="8"/>
        <v>0</v>
      </c>
      <c r="I106" s="301"/>
      <c r="J106" s="610"/>
      <c r="K106" s="488"/>
      <c r="L106" s="2"/>
    </row>
    <row r="107" spans="1:12" s="1" customFormat="1" ht="15" customHeight="1" x14ac:dyDescent="0.2">
      <c r="A107" s="431"/>
      <c r="B107" s="426"/>
      <c r="C107" s="434"/>
      <c r="D107" s="518"/>
      <c r="E107" s="452"/>
      <c r="F107" s="434"/>
      <c r="G107" s="431"/>
      <c r="H107" s="273">
        <f t="shared" si="8"/>
        <v>0</v>
      </c>
      <c r="I107" s="301"/>
      <c r="J107" s="610"/>
      <c r="K107" s="488"/>
      <c r="L107" s="2"/>
    </row>
    <row r="108" spans="1:12" s="1" customFormat="1" ht="15" customHeight="1" x14ac:dyDescent="0.2">
      <c r="A108" s="431"/>
      <c r="B108" s="426"/>
      <c r="C108" s="434"/>
      <c r="D108" s="518"/>
      <c r="E108" s="452"/>
      <c r="F108" s="434"/>
      <c r="G108" s="431"/>
      <c r="H108" s="273">
        <f t="shared" si="8"/>
        <v>0</v>
      </c>
      <c r="I108" s="301"/>
      <c r="J108" s="610"/>
      <c r="K108" s="488"/>
      <c r="L108" s="2"/>
    </row>
    <row r="109" spans="1:12" s="1" customFormat="1" ht="15" customHeight="1" x14ac:dyDescent="0.2">
      <c r="A109" s="431"/>
      <c r="B109" s="426"/>
      <c r="C109" s="434"/>
      <c r="D109" s="519"/>
      <c r="E109" s="453"/>
      <c r="F109" s="435"/>
      <c r="G109" s="432"/>
      <c r="H109" s="273">
        <f t="shared" si="8"/>
        <v>0</v>
      </c>
      <c r="I109" s="301"/>
      <c r="J109" s="611"/>
      <c r="K109" s="489"/>
      <c r="L109" s="2"/>
    </row>
    <row r="110" spans="1:12" s="1" customFormat="1" ht="15" customHeight="1" x14ac:dyDescent="0.2">
      <c r="A110" s="431"/>
      <c r="B110" s="426"/>
      <c r="C110" s="434"/>
      <c r="D110" s="517" t="s">
        <v>207</v>
      </c>
      <c r="E110" s="451">
        <f>5%*200</f>
        <v>10</v>
      </c>
      <c r="F110" s="433" t="s">
        <v>507</v>
      </c>
      <c r="G110" s="430" t="s">
        <v>209</v>
      </c>
      <c r="H110" s="273">
        <f t="shared" ref="H110:H115" si="9">MEDIAN(I110*2,10,0)</f>
        <v>0</v>
      </c>
      <c r="I110" s="301"/>
      <c r="J110" s="610">
        <f>H110*5%+H111*5%+H112*10%+H113*10%+H114*20%+H115*50%</f>
        <v>0</v>
      </c>
      <c r="K110" s="487" t="s">
        <v>504</v>
      </c>
      <c r="L110" s="2"/>
    </row>
    <row r="111" spans="1:12" s="1" customFormat="1" ht="15" customHeight="1" x14ac:dyDescent="0.2">
      <c r="A111" s="431"/>
      <c r="B111" s="426"/>
      <c r="C111" s="434"/>
      <c r="D111" s="518"/>
      <c r="E111" s="452"/>
      <c r="F111" s="434"/>
      <c r="G111" s="431"/>
      <c r="H111" s="273">
        <f t="shared" si="9"/>
        <v>0</v>
      </c>
      <c r="I111" s="301"/>
      <c r="J111" s="610"/>
      <c r="K111" s="488"/>
      <c r="L111" s="2"/>
    </row>
    <row r="112" spans="1:12" s="1" customFormat="1" ht="15" customHeight="1" x14ac:dyDescent="0.2">
      <c r="A112" s="431"/>
      <c r="B112" s="426"/>
      <c r="C112" s="434"/>
      <c r="D112" s="518"/>
      <c r="E112" s="452"/>
      <c r="F112" s="434"/>
      <c r="G112" s="431"/>
      <c r="H112" s="273">
        <f t="shared" si="9"/>
        <v>0</v>
      </c>
      <c r="I112" s="301"/>
      <c r="J112" s="610"/>
      <c r="K112" s="488"/>
      <c r="L112" s="2"/>
    </row>
    <row r="113" spans="1:12" s="1" customFormat="1" ht="15" customHeight="1" x14ac:dyDescent="0.2">
      <c r="A113" s="431"/>
      <c r="B113" s="426"/>
      <c r="C113" s="434"/>
      <c r="D113" s="518"/>
      <c r="E113" s="452"/>
      <c r="F113" s="434"/>
      <c r="G113" s="431"/>
      <c r="H113" s="273">
        <f t="shared" si="9"/>
        <v>0</v>
      </c>
      <c r="I113" s="301"/>
      <c r="J113" s="610"/>
      <c r="K113" s="488"/>
      <c r="L113" s="2"/>
    </row>
    <row r="114" spans="1:12" s="1" customFormat="1" ht="15" customHeight="1" x14ac:dyDescent="0.2">
      <c r="A114" s="431"/>
      <c r="B114" s="426"/>
      <c r="C114" s="434"/>
      <c r="D114" s="518"/>
      <c r="E114" s="452"/>
      <c r="F114" s="434"/>
      <c r="G114" s="431"/>
      <c r="H114" s="273">
        <f t="shared" si="9"/>
        <v>0</v>
      </c>
      <c r="I114" s="301"/>
      <c r="J114" s="610"/>
      <c r="K114" s="488"/>
      <c r="L114" s="2"/>
    </row>
    <row r="115" spans="1:12" s="1" customFormat="1" ht="15" customHeight="1" x14ac:dyDescent="0.2">
      <c r="A115" s="431"/>
      <c r="B115" s="426"/>
      <c r="C115" s="434"/>
      <c r="D115" s="519"/>
      <c r="E115" s="453"/>
      <c r="F115" s="435"/>
      <c r="G115" s="432"/>
      <c r="H115" s="273">
        <f t="shared" si="9"/>
        <v>0</v>
      </c>
      <c r="I115" s="301"/>
      <c r="J115" s="611"/>
      <c r="K115" s="489"/>
      <c r="L115" s="311">
        <f>SUM(J98:J115)</f>
        <v>0</v>
      </c>
    </row>
    <row r="116" spans="1:12" ht="31.5" customHeight="1" x14ac:dyDescent="0.2">
      <c r="A116" s="448" t="s">
        <v>332</v>
      </c>
      <c r="B116" s="437">
        <v>210</v>
      </c>
      <c r="C116" s="438" t="s">
        <v>221</v>
      </c>
      <c r="D116" s="293" t="s">
        <v>222</v>
      </c>
      <c r="E116" s="292">
        <v>60</v>
      </c>
      <c r="F116" s="60" t="s">
        <v>223</v>
      </c>
      <c r="G116" s="61" t="s">
        <v>180</v>
      </c>
      <c r="H116" s="268">
        <v>6</v>
      </c>
      <c r="I116" s="301"/>
      <c r="J116" s="603">
        <f>MEDIAN(H116*I116+H117*I117,80,0)</f>
        <v>0</v>
      </c>
      <c r="K116" s="35" t="s">
        <v>432</v>
      </c>
    </row>
    <row r="117" spans="1:12" ht="24" customHeight="1" x14ac:dyDescent="0.2">
      <c r="A117" s="448"/>
      <c r="B117" s="437"/>
      <c r="C117" s="438"/>
      <c r="D117" s="293" t="s">
        <v>183</v>
      </c>
      <c r="E117" s="292">
        <v>20</v>
      </c>
      <c r="F117" s="292" t="s">
        <v>184</v>
      </c>
      <c r="G117" s="292" t="s">
        <v>177</v>
      </c>
      <c r="H117" s="54">
        <v>8</v>
      </c>
      <c r="I117" s="301"/>
      <c r="J117" s="604"/>
      <c r="K117" s="35" t="s">
        <v>431</v>
      </c>
    </row>
    <row r="118" spans="1:12" ht="32.25" customHeight="1" x14ac:dyDescent="0.2">
      <c r="A118" s="448"/>
      <c r="B118" s="437"/>
      <c r="C118" s="292" t="s">
        <v>226</v>
      </c>
      <c r="D118" s="293" t="s">
        <v>227</v>
      </c>
      <c r="E118" s="292">
        <v>30</v>
      </c>
      <c r="F118" s="292" t="s">
        <v>425</v>
      </c>
      <c r="G118" s="292" t="s">
        <v>177</v>
      </c>
      <c r="H118" s="54">
        <v>4</v>
      </c>
      <c r="I118" s="263"/>
      <c r="J118" s="254">
        <f>MEDIAN(H118*I118,30,0)</f>
        <v>0</v>
      </c>
      <c r="K118" s="35" t="s">
        <v>426</v>
      </c>
    </row>
    <row r="119" spans="1:12" ht="32.25" customHeight="1" x14ac:dyDescent="0.2">
      <c r="A119" s="448"/>
      <c r="B119" s="437"/>
      <c r="C119" s="292" t="s">
        <v>195</v>
      </c>
      <c r="D119" s="293" t="s">
        <v>195</v>
      </c>
      <c r="E119" s="292">
        <v>30</v>
      </c>
      <c r="F119" s="292" t="s">
        <v>230</v>
      </c>
      <c r="G119" s="292" t="s">
        <v>336</v>
      </c>
      <c r="H119" s="54">
        <v>6</v>
      </c>
      <c r="I119" s="301"/>
      <c r="J119" s="254">
        <f>MEDIAN(H119*I119,30,0)</f>
        <v>0</v>
      </c>
      <c r="K119" s="35" t="s">
        <v>231</v>
      </c>
      <c r="L119" s="63">
        <f>SUM(J116:J119)</f>
        <v>0</v>
      </c>
    </row>
    <row r="120" spans="1:12" ht="17.25" customHeight="1" x14ac:dyDescent="0.2">
      <c r="A120" s="448"/>
      <c r="B120" s="437"/>
      <c r="C120" s="438" t="s">
        <v>199</v>
      </c>
      <c r="D120" s="517" t="s">
        <v>232</v>
      </c>
      <c r="E120" s="511">
        <v>10</v>
      </c>
      <c r="F120" s="511" t="s">
        <v>514</v>
      </c>
      <c r="G120" s="292" t="s">
        <v>402</v>
      </c>
      <c r="H120" s="267">
        <f t="shared" ref="H120:H125" si="10">IF(I120&gt;=5,10,0)</f>
        <v>0</v>
      </c>
      <c r="I120" s="274"/>
      <c r="J120" s="610">
        <f>H120*5%+H121*5%+H122*10%+H123*10%+H124*20%+H125*50%</f>
        <v>0</v>
      </c>
      <c r="K120" s="448" t="s">
        <v>473</v>
      </c>
    </row>
    <row r="121" spans="1:12" ht="16.5" x14ac:dyDescent="0.2">
      <c r="A121" s="448"/>
      <c r="B121" s="437"/>
      <c r="C121" s="438"/>
      <c r="D121" s="518"/>
      <c r="E121" s="512"/>
      <c r="F121" s="512"/>
      <c r="G121" s="292" t="s">
        <v>402</v>
      </c>
      <c r="H121" s="267">
        <f t="shared" si="10"/>
        <v>0</v>
      </c>
      <c r="I121" s="274"/>
      <c r="J121" s="610"/>
      <c r="K121" s="448"/>
    </row>
    <row r="122" spans="1:12" ht="16.5" x14ac:dyDescent="0.2">
      <c r="A122" s="448"/>
      <c r="B122" s="437"/>
      <c r="C122" s="438"/>
      <c r="D122" s="518"/>
      <c r="E122" s="512"/>
      <c r="F122" s="512"/>
      <c r="G122" s="292" t="s">
        <v>402</v>
      </c>
      <c r="H122" s="267">
        <f t="shared" si="10"/>
        <v>0</v>
      </c>
      <c r="I122" s="274"/>
      <c r="J122" s="610"/>
      <c r="K122" s="448"/>
    </row>
    <row r="123" spans="1:12" ht="16.5" x14ac:dyDescent="0.2">
      <c r="A123" s="448"/>
      <c r="B123" s="437"/>
      <c r="C123" s="438"/>
      <c r="D123" s="518"/>
      <c r="E123" s="512"/>
      <c r="F123" s="512"/>
      <c r="G123" s="292" t="s">
        <v>402</v>
      </c>
      <c r="H123" s="267">
        <f t="shared" si="10"/>
        <v>0</v>
      </c>
      <c r="I123" s="274"/>
      <c r="J123" s="610"/>
      <c r="K123" s="448"/>
    </row>
    <row r="124" spans="1:12" ht="16.5" x14ac:dyDescent="0.2">
      <c r="A124" s="448"/>
      <c r="B124" s="437"/>
      <c r="C124" s="438"/>
      <c r="D124" s="518"/>
      <c r="E124" s="512"/>
      <c r="F124" s="512"/>
      <c r="G124" s="292" t="s">
        <v>402</v>
      </c>
      <c r="H124" s="267">
        <f t="shared" si="10"/>
        <v>0</v>
      </c>
      <c r="I124" s="274"/>
      <c r="J124" s="610"/>
      <c r="K124" s="448"/>
    </row>
    <row r="125" spans="1:12" ht="16.5" customHeight="1" x14ac:dyDescent="0.2">
      <c r="A125" s="448"/>
      <c r="B125" s="437"/>
      <c r="C125" s="438"/>
      <c r="D125" s="519"/>
      <c r="E125" s="513"/>
      <c r="F125" s="513"/>
      <c r="G125" s="292" t="s">
        <v>402</v>
      </c>
      <c r="H125" s="267">
        <f t="shared" si="10"/>
        <v>0</v>
      </c>
      <c r="I125" s="274"/>
      <c r="J125" s="611"/>
      <c r="K125" s="448"/>
    </row>
    <row r="126" spans="1:12" ht="13.5" customHeight="1" x14ac:dyDescent="0.2">
      <c r="A126" s="448"/>
      <c r="B126" s="437"/>
      <c r="C126" s="438"/>
      <c r="D126" s="517" t="s">
        <v>237</v>
      </c>
      <c r="E126" s="511">
        <v>10</v>
      </c>
      <c r="F126" s="511" t="s">
        <v>513</v>
      </c>
      <c r="G126" s="292" t="s">
        <v>402</v>
      </c>
      <c r="H126" s="267">
        <f t="shared" ref="H126:H131" si="11">IF(I126&gt;=14,10,0)</f>
        <v>0</v>
      </c>
      <c r="I126" s="274"/>
      <c r="J126" s="610">
        <f>H126*5%+H127*5%+H128*10%+H129*10%+H130*20%+H131*50%</f>
        <v>0</v>
      </c>
      <c r="K126" s="430" t="s">
        <v>473</v>
      </c>
    </row>
    <row r="127" spans="1:12" ht="16.5" x14ac:dyDescent="0.2">
      <c r="A127" s="448"/>
      <c r="B127" s="437"/>
      <c r="C127" s="438"/>
      <c r="D127" s="518"/>
      <c r="E127" s="512"/>
      <c r="F127" s="512"/>
      <c r="G127" s="292" t="s">
        <v>402</v>
      </c>
      <c r="H127" s="267">
        <f t="shared" si="11"/>
        <v>0</v>
      </c>
      <c r="I127" s="274"/>
      <c r="J127" s="610"/>
      <c r="K127" s="431"/>
    </row>
    <row r="128" spans="1:12" ht="16.5" x14ac:dyDescent="0.2">
      <c r="A128" s="448"/>
      <c r="B128" s="437"/>
      <c r="C128" s="438"/>
      <c r="D128" s="518"/>
      <c r="E128" s="512"/>
      <c r="F128" s="512"/>
      <c r="G128" s="292" t="s">
        <v>402</v>
      </c>
      <c r="H128" s="267">
        <f t="shared" si="11"/>
        <v>0</v>
      </c>
      <c r="I128" s="274"/>
      <c r="J128" s="610"/>
      <c r="K128" s="431"/>
    </row>
    <row r="129" spans="1:12" ht="16.5" x14ac:dyDescent="0.2">
      <c r="A129" s="448"/>
      <c r="B129" s="437"/>
      <c r="C129" s="438"/>
      <c r="D129" s="518"/>
      <c r="E129" s="512"/>
      <c r="F129" s="512"/>
      <c r="G129" s="292" t="s">
        <v>402</v>
      </c>
      <c r="H129" s="267">
        <f t="shared" si="11"/>
        <v>0</v>
      </c>
      <c r="I129" s="274"/>
      <c r="J129" s="610"/>
      <c r="K129" s="431"/>
    </row>
    <row r="130" spans="1:12" ht="16.5" x14ac:dyDescent="0.2">
      <c r="A130" s="448"/>
      <c r="B130" s="437"/>
      <c r="C130" s="438"/>
      <c r="D130" s="518"/>
      <c r="E130" s="512"/>
      <c r="F130" s="512"/>
      <c r="G130" s="292" t="s">
        <v>402</v>
      </c>
      <c r="H130" s="267">
        <f t="shared" si="11"/>
        <v>0</v>
      </c>
      <c r="I130" s="274"/>
      <c r="J130" s="610"/>
      <c r="K130" s="431"/>
    </row>
    <row r="131" spans="1:12" ht="16.5" x14ac:dyDescent="0.2">
      <c r="A131" s="448"/>
      <c r="B131" s="437"/>
      <c r="C131" s="438"/>
      <c r="D131" s="519"/>
      <c r="E131" s="513"/>
      <c r="F131" s="513"/>
      <c r="G131" s="292" t="s">
        <v>402</v>
      </c>
      <c r="H131" s="267">
        <f t="shared" si="11"/>
        <v>0</v>
      </c>
      <c r="I131" s="274"/>
      <c r="J131" s="611"/>
      <c r="K131" s="432"/>
    </row>
    <row r="132" spans="1:12" ht="14.25" customHeight="1" x14ac:dyDescent="0.2">
      <c r="A132" s="448"/>
      <c r="B132" s="437"/>
      <c r="C132" s="438"/>
      <c r="D132" s="517" t="s">
        <v>204</v>
      </c>
      <c r="E132" s="511">
        <v>10</v>
      </c>
      <c r="F132" s="511" t="s">
        <v>515</v>
      </c>
      <c r="G132" s="292" t="s">
        <v>402</v>
      </c>
      <c r="H132" s="267">
        <f t="shared" ref="H132:H137" si="12">IF(I132&gt;=2,10,0)</f>
        <v>0</v>
      </c>
      <c r="I132" s="274"/>
      <c r="J132" s="610">
        <f>H132*5%+H133*5%+H134*10%+H135*10%+H136*20%+H137*50%</f>
        <v>0</v>
      </c>
      <c r="K132" s="430" t="s">
        <v>473</v>
      </c>
    </row>
    <row r="133" spans="1:12" ht="16.5" x14ac:dyDescent="0.2">
      <c r="A133" s="448"/>
      <c r="B133" s="437"/>
      <c r="C133" s="438"/>
      <c r="D133" s="518"/>
      <c r="E133" s="512"/>
      <c r="F133" s="512"/>
      <c r="G133" s="292" t="s">
        <v>402</v>
      </c>
      <c r="H133" s="267">
        <f t="shared" si="12"/>
        <v>0</v>
      </c>
      <c r="I133" s="274"/>
      <c r="J133" s="610"/>
      <c r="K133" s="431"/>
    </row>
    <row r="134" spans="1:12" ht="16.5" x14ac:dyDescent="0.2">
      <c r="A134" s="448"/>
      <c r="B134" s="437"/>
      <c r="C134" s="438"/>
      <c r="D134" s="518"/>
      <c r="E134" s="512"/>
      <c r="F134" s="512"/>
      <c r="G134" s="292" t="s">
        <v>402</v>
      </c>
      <c r="H134" s="267">
        <f t="shared" si="12"/>
        <v>0</v>
      </c>
      <c r="I134" s="274"/>
      <c r="J134" s="610"/>
      <c r="K134" s="431"/>
    </row>
    <row r="135" spans="1:12" ht="16.5" x14ac:dyDescent="0.2">
      <c r="A135" s="448"/>
      <c r="B135" s="437"/>
      <c r="C135" s="438"/>
      <c r="D135" s="518"/>
      <c r="E135" s="512"/>
      <c r="F135" s="512"/>
      <c r="G135" s="292" t="s">
        <v>402</v>
      </c>
      <c r="H135" s="267">
        <f t="shared" si="12"/>
        <v>0</v>
      </c>
      <c r="I135" s="274"/>
      <c r="J135" s="610"/>
      <c r="K135" s="431"/>
    </row>
    <row r="136" spans="1:12" ht="16.5" x14ac:dyDescent="0.2">
      <c r="A136" s="448"/>
      <c r="B136" s="437"/>
      <c r="C136" s="438"/>
      <c r="D136" s="518"/>
      <c r="E136" s="512"/>
      <c r="F136" s="512"/>
      <c r="G136" s="292" t="s">
        <v>402</v>
      </c>
      <c r="H136" s="267">
        <f t="shared" si="12"/>
        <v>0</v>
      </c>
      <c r="I136" s="274"/>
      <c r="J136" s="610"/>
      <c r="K136" s="431"/>
    </row>
    <row r="137" spans="1:12" ht="16.5" x14ac:dyDescent="0.2">
      <c r="A137" s="448"/>
      <c r="B137" s="437"/>
      <c r="C137" s="438"/>
      <c r="D137" s="519"/>
      <c r="E137" s="513"/>
      <c r="F137" s="513"/>
      <c r="G137" s="292" t="s">
        <v>402</v>
      </c>
      <c r="H137" s="267">
        <f t="shared" si="12"/>
        <v>0</v>
      </c>
      <c r="I137" s="274"/>
      <c r="J137" s="611"/>
      <c r="K137" s="432"/>
    </row>
    <row r="138" spans="1:12" ht="17.25" customHeight="1" x14ac:dyDescent="0.2">
      <c r="A138" s="448"/>
      <c r="B138" s="437"/>
      <c r="C138" s="438"/>
      <c r="D138" s="517" t="s">
        <v>240</v>
      </c>
      <c r="E138" s="612">
        <v>20</v>
      </c>
      <c r="F138" s="511" t="s">
        <v>516</v>
      </c>
      <c r="G138" s="292" t="s">
        <v>402</v>
      </c>
      <c r="H138" s="267">
        <f t="shared" ref="H138:H149" si="13">IF(I138&gt;=1,20,0)</f>
        <v>0</v>
      </c>
      <c r="I138" s="274"/>
      <c r="J138" s="610">
        <f>H138*5%+H139*5%+H140*10%+H141*10%+H142*20%+H143*50%</f>
        <v>0</v>
      </c>
      <c r="K138" s="430" t="s">
        <v>473</v>
      </c>
    </row>
    <row r="139" spans="1:12" ht="16.5" x14ac:dyDescent="0.2">
      <c r="A139" s="448"/>
      <c r="B139" s="437"/>
      <c r="C139" s="438"/>
      <c r="D139" s="518"/>
      <c r="E139" s="613"/>
      <c r="F139" s="512"/>
      <c r="G139" s="292" t="s">
        <v>402</v>
      </c>
      <c r="H139" s="267">
        <f t="shared" si="13"/>
        <v>0</v>
      </c>
      <c r="I139" s="274"/>
      <c r="J139" s="610"/>
      <c r="K139" s="431"/>
    </row>
    <row r="140" spans="1:12" ht="16.5" x14ac:dyDescent="0.2">
      <c r="A140" s="448"/>
      <c r="B140" s="437"/>
      <c r="C140" s="438"/>
      <c r="D140" s="518"/>
      <c r="E140" s="613"/>
      <c r="F140" s="512"/>
      <c r="G140" s="292" t="s">
        <v>402</v>
      </c>
      <c r="H140" s="267">
        <f t="shared" si="13"/>
        <v>0</v>
      </c>
      <c r="I140" s="274"/>
      <c r="J140" s="610"/>
      <c r="K140" s="431"/>
    </row>
    <row r="141" spans="1:12" ht="16.5" x14ac:dyDescent="0.2">
      <c r="A141" s="448"/>
      <c r="B141" s="437"/>
      <c r="C141" s="438"/>
      <c r="D141" s="518"/>
      <c r="E141" s="613"/>
      <c r="F141" s="512"/>
      <c r="G141" s="292" t="s">
        <v>402</v>
      </c>
      <c r="H141" s="267">
        <f t="shared" si="13"/>
        <v>0</v>
      </c>
      <c r="I141" s="274"/>
      <c r="J141" s="610"/>
      <c r="K141" s="431"/>
    </row>
    <row r="142" spans="1:12" ht="16.5" x14ac:dyDescent="0.2">
      <c r="A142" s="448"/>
      <c r="B142" s="437"/>
      <c r="C142" s="438"/>
      <c r="D142" s="518"/>
      <c r="E142" s="613"/>
      <c r="F142" s="512"/>
      <c r="G142" s="292" t="s">
        <v>402</v>
      </c>
      <c r="H142" s="267">
        <f t="shared" si="13"/>
        <v>0</v>
      </c>
      <c r="I142" s="274"/>
      <c r="J142" s="610"/>
      <c r="K142" s="431"/>
    </row>
    <row r="143" spans="1:12" ht="16.5" x14ac:dyDescent="0.2">
      <c r="A143" s="448"/>
      <c r="B143" s="437"/>
      <c r="C143" s="438"/>
      <c r="D143" s="519"/>
      <c r="E143" s="614"/>
      <c r="F143" s="513"/>
      <c r="G143" s="292" t="s">
        <v>402</v>
      </c>
      <c r="H143" s="267">
        <f t="shared" si="13"/>
        <v>0</v>
      </c>
      <c r="I143" s="274"/>
      <c r="J143" s="611"/>
      <c r="K143" s="432"/>
    </row>
    <row r="144" spans="1:12" ht="15.75" customHeight="1" x14ac:dyDescent="0.2">
      <c r="A144" s="448"/>
      <c r="B144" s="437"/>
      <c r="C144" s="438"/>
      <c r="D144" s="444" t="s">
        <v>242</v>
      </c>
      <c r="E144" s="536">
        <v>20</v>
      </c>
      <c r="F144" s="438" t="s">
        <v>517</v>
      </c>
      <c r="G144" s="292" t="s">
        <v>402</v>
      </c>
      <c r="H144" s="267">
        <f t="shared" si="13"/>
        <v>0</v>
      </c>
      <c r="I144" s="274"/>
      <c r="J144" s="610">
        <f>H144*5%+H145*5%+H146*10%+H147*10%+H148*20%+H149*50%</f>
        <v>0</v>
      </c>
      <c r="K144" s="430" t="s">
        <v>473</v>
      </c>
      <c r="L144" s="104"/>
    </row>
    <row r="145" spans="1:12" ht="15.75" customHeight="1" x14ac:dyDescent="0.2">
      <c r="A145" s="448"/>
      <c r="B145" s="437"/>
      <c r="C145" s="438"/>
      <c r="D145" s="444"/>
      <c r="E145" s="536"/>
      <c r="F145" s="438"/>
      <c r="G145" s="292" t="s">
        <v>402</v>
      </c>
      <c r="H145" s="267">
        <f t="shared" si="13"/>
        <v>0</v>
      </c>
      <c r="I145" s="274"/>
      <c r="J145" s="610"/>
      <c r="K145" s="431"/>
    </row>
    <row r="146" spans="1:12" ht="16.5" x14ac:dyDescent="0.2">
      <c r="A146" s="448"/>
      <c r="B146" s="437"/>
      <c r="C146" s="438"/>
      <c r="D146" s="444"/>
      <c r="E146" s="536"/>
      <c r="F146" s="438"/>
      <c r="G146" s="292" t="s">
        <v>402</v>
      </c>
      <c r="H146" s="267">
        <f t="shared" si="13"/>
        <v>0</v>
      </c>
      <c r="I146" s="274"/>
      <c r="J146" s="610"/>
      <c r="K146" s="431"/>
    </row>
    <row r="147" spans="1:12" ht="16.5" x14ac:dyDescent="0.2">
      <c r="A147" s="448"/>
      <c r="B147" s="437"/>
      <c r="C147" s="438"/>
      <c r="D147" s="444"/>
      <c r="E147" s="536"/>
      <c r="F147" s="438"/>
      <c r="G147" s="292" t="s">
        <v>402</v>
      </c>
      <c r="H147" s="267">
        <f t="shared" si="13"/>
        <v>0</v>
      </c>
      <c r="I147" s="274"/>
      <c r="J147" s="610"/>
      <c r="K147" s="431"/>
    </row>
    <row r="148" spans="1:12" ht="16.5" x14ac:dyDescent="0.2">
      <c r="A148" s="448"/>
      <c r="B148" s="437"/>
      <c r="C148" s="438"/>
      <c r="D148" s="444"/>
      <c r="E148" s="536"/>
      <c r="F148" s="438"/>
      <c r="G148" s="292" t="s">
        <v>402</v>
      </c>
      <c r="H148" s="267">
        <f t="shared" si="13"/>
        <v>0</v>
      </c>
      <c r="I148" s="274"/>
      <c r="J148" s="610"/>
      <c r="K148" s="431"/>
    </row>
    <row r="149" spans="1:12" ht="16.5" x14ac:dyDescent="0.2">
      <c r="A149" s="448"/>
      <c r="B149" s="437"/>
      <c r="C149" s="438"/>
      <c r="D149" s="444"/>
      <c r="E149" s="536"/>
      <c r="F149" s="438"/>
      <c r="G149" s="292" t="s">
        <v>402</v>
      </c>
      <c r="H149" s="266">
        <f t="shared" si="13"/>
        <v>0</v>
      </c>
      <c r="I149" s="305"/>
      <c r="J149" s="611"/>
      <c r="K149" s="432"/>
      <c r="L149" s="255">
        <f>SUM(J120:J149)</f>
        <v>0</v>
      </c>
    </row>
    <row r="150" spans="1:12" ht="18.75" customHeight="1" x14ac:dyDescent="0.2">
      <c r="J150" s="40">
        <f>SUM(J4:J149)</f>
        <v>170</v>
      </c>
      <c r="L150" s="245">
        <f>L149+L119+L115+L97+L91+L55+L44+L29+L18</f>
        <v>170</v>
      </c>
    </row>
  </sheetData>
  <autoFilter ref="A3:L3"/>
  <mergeCells count="184">
    <mergeCell ref="K86:K91"/>
    <mergeCell ref="F35:F36"/>
    <mergeCell ref="J35:J36"/>
    <mergeCell ref="C30:C34"/>
    <mergeCell ref="D30:D34"/>
    <mergeCell ref="E30:E34"/>
    <mergeCell ref="F30:F34"/>
    <mergeCell ref="K35:K36"/>
    <mergeCell ref="C37:C41"/>
    <mergeCell ref="D37:D41"/>
    <mergeCell ref="J37:J41"/>
    <mergeCell ref="K37:K41"/>
    <mergeCell ref="F42:F44"/>
    <mergeCell ref="E42:E44"/>
    <mergeCell ref="D42:D44"/>
    <mergeCell ref="J43:J44"/>
    <mergeCell ref="F68:F73"/>
    <mergeCell ref="J68:J73"/>
    <mergeCell ref="K42:K44"/>
    <mergeCell ref="E37:E41"/>
    <mergeCell ref="F37:F41"/>
    <mergeCell ref="I37:I41"/>
    <mergeCell ref="K51:K52"/>
    <mergeCell ref="C42:C44"/>
    <mergeCell ref="A92:A115"/>
    <mergeCell ref="B92:B115"/>
    <mergeCell ref="J92:J93"/>
    <mergeCell ref="C94:C95"/>
    <mergeCell ref="C96:C97"/>
    <mergeCell ref="C98:C115"/>
    <mergeCell ref="D98:D103"/>
    <mergeCell ref="E98:E103"/>
    <mergeCell ref="F98:F103"/>
    <mergeCell ref="G98:G103"/>
    <mergeCell ref="J98:J103"/>
    <mergeCell ref="J104:J109"/>
    <mergeCell ref="D104:D109"/>
    <mergeCell ref="E104:E109"/>
    <mergeCell ref="F104:F109"/>
    <mergeCell ref="G104:G109"/>
    <mergeCell ref="J110:J115"/>
    <mergeCell ref="D110:D115"/>
    <mergeCell ref="E110:E115"/>
    <mergeCell ref="F110:F115"/>
    <mergeCell ref="G110:G115"/>
    <mergeCell ref="C92:C93"/>
    <mergeCell ref="A56:A91"/>
    <mergeCell ref="B56:B91"/>
    <mergeCell ref="C56:C61"/>
    <mergeCell ref="D56:D61"/>
    <mergeCell ref="E56:E61"/>
    <mergeCell ref="F56:F61"/>
    <mergeCell ref="G56:G61"/>
    <mergeCell ref="J56:J61"/>
    <mergeCell ref="C74:C91"/>
    <mergeCell ref="D86:D91"/>
    <mergeCell ref="E86:E91"/>
    <mergeCell ref="F86:F91"/>
    <mergeCell ref="J86:J91"/>
    <mergeCell ref="C62:C73"/>
    <mergeCell ref="D62:D67"/>
    <mergeCell ref="E62:E67"/>
    <mergeCell ref="F62:F67"/>
    <mergeCell ref="J62:J67"/>
    <mergeCell ref="D80:D85"/>
    <mergeCell ref="E80:E85"/>
    <mergeCell ref="F80:F85"/>
    <mergeCell ref="J80:J85"/>
    <mergeCell ref="D68:D73"/>
    <mergeCell ref="E68:E73"/>
    <mergeCell ref="K30:K31"/>
    <mergeCell ref="K32:K34"/>
    <mergeCell ref="C35:C36"/>
    <mergeCell ref="D35:D36"/>
    <mergeCell ref="E35:E36"/>
    <mergeCell ref="B30:B44"/>
    <mergeCell ref="G45:G50"/>
    <mergeCell ref="F45:F50"/>
    <mergeCell ref="E45:E50"/>
    <mergeCell ref="D45:D50"/>
    <mergeCell ref="C45:C50"/>
    <mergeCell ref="J45:J50"/>
    <mergeCell ref="K45:K50"/>
    <mergeCell ref="D26:D29"/>
    <mergeCell ref="E26:E29"/>
    <mergeCell ref="F26:F29"/>
    <mergeCell ref="J26:J29"/>
    <mergeCell ref="A45:A55"/>
    <mergeCell ref="B45:B55"/>
    <mergeCell ref="C51:C52"/>
    <mergeCell ref="D51:D52"/>
    <mergeCell ref="E51:E52"/>
    <mergeCell ref="F51:F52"/>
    <mergeCell ref="J51:J52"/>
    <mergeCell ref="A30:A44"/>
    <mergeCell ref="J30:J34"/>
    <mergeCell ref="E19:E25"/>
    <mergeCell ref="F19:F25"/>
    <mergeCell ref="J19:J25"/>
    <mergeCell ref="A4:A18"/>
    <mergeCell ref="B4:B18"/>
    <mergeCell ref="C4:C10"/>
    <mergeCell ref="D4:D8"/>
    <mergeCell ref="E4:E8"/>
    <mergeCell ref="F4:F8"/>
    <mergeCell ref="I4:I8"/>
    <mergeCell ref="J4:J8"/>
    <mergeCell ref="E15:E18"/>
    <mergeCell ref="F15:F18"/>
    <mergeCell ref="I15:I18"/>
    <mergeCell ref="J15:J18"/>
    <mergeCell ref="E12:E14"/>
    <mergeCell ref="F12:F14"/>
    <mergeCell ref="I12:I14"/>
    <mergeCell ref="J12:J14"/>
    <mergeCell ref="A19:A29"/>
    <mergeCell ref="B19:B29"/>
    <mergeCell ref="C19:C25"/>
    <mergeCell ref="D19:D25"/>
    <mergeCell ref="C26:C29"/>
    <mergeCell ref="K15:K18"/>
    <mergeCell ref="K19:K22"/>
    <mergeCell ref="K23:K25"/>
    <mergeCell ref="K26:K29"/>
    <mergeCell ref="K74:K79"/>
    <mergeCell ref="A1:G1"/>
    <mergeCell ref="I1:J1"/>
    <mergeCell ref="A2:A3"/>
    <mergeCell ref="B2:B3"/>
    <mergeCell ref="C2:C3"/>
    <mergeCell ref="D2:D3"/>
    <mergeCell ref="E2:E3"/>
    <mergeCell ref="F2:F3"/>
    <mergeCell ref="G2:H2"/>
    <mergeCell ref="K4:K8"/>
    <mergeCell ref="I2:I3"/>
    <mergeCell ref="J2:J3"/>
    <mergeCell ref="K2:K3"/>
    <mergeCell ref="K12:K14"/>
    <mergeCell ref="C15:C18"/>
    <mergeCell ref="D15:D18"/>
    <mergeCell ref="K56:K61"/>
    <mergeCell ref="C12:C14"/>
    <mergeCell ref="D12:D14"/>
    <mergeCell ref="A116:A149"/>
    <mergeCell ref="B116:B149"/>
    <mergeCell ref="C116:C117"/>
    <mergeCell ref="J116:J117"/>
    <mergeCell ref="C120:C149"/>
    <mergeCell ref="D120:D125"/>
    <mergeCell ref="E120:E125"/>
    <mergeCell ref="F120:F125"/>
    <mergeCell ref="J120:J125"/>
    <mergeCell ref="J126:J131"/>
    <mergeCell ref="D126:D131"/>
    <mergeCell ref="E126:E131"/>
    <mergeCell ref="D144:D149"/>
    <mergeCell ref="E144:E149"/>
    <mergeCell ref="F144:F149"/>
    <mergeCell ref="J144:J149"/>
    <mergeCell ref="K144:K149"/>
    <mergeCell ref="K126:K131"/>
    <mergeCell ref="D132:D137"/>
    <mergeCell ref="E132:E137"/>
    <mergeCell ref="F132:F137"/>
    <mergeCell ref="J132:J137"/>
    <mergeCell ref="K62:K67"/>
    <mergeCell ref="K132:K137"/>
    <mergeCell ref="D138:D143"/>
    <mergeCell ref="E138:E143"/>
    <mergeCell ref="F138:F143"/>
    <mergeCell ref="J138:J143"/>
    <mergeCell ref="K138:K143"/>
    <mergeCell ref="K120:K125"/>
    <mergeCell ref="D74:D79"/>
    <mergeCell ref="E74:E79"/>
    <mergeCell ref="K80:K85"/>
    <mergeCell ref="K110:K115"/>
    <mergeCell ref="F126:F131"/>
    <mergeCell ref="K98:K103"/>
    <mergeCell ref="K104:K109"/>
    <mergeCell ref="K68:K73"/>
    <mergeCell ref="F74:F79"/>
    <mergeCell ref="J74:J79"/>
  </mergeCells>
  <phoneticPr fontId="23" type="noConversion"/>
  <dataValidations count="4">
    <dataValidation type="list" allowBlank="1" showInputMessage="1" showErrorMessage="1" sqref="I9">
      <formula1>"特长生"</formula1>
    </dataValidation>
    <dataValidation type="list" allowBlank="1" showInputMessage="1" showErrorMessage="1" sqref="I10">
      <formula1>"退伍军人,党员,退伍军人，党员"</formula1>
    </dataValidation>
    <dataValidation type="list" allowBlank="1" showInputMessage="1" showErrorMessage="1" sqref="I4:I8">
      <formula1>"高中,中专,大专非统招,大专统招,本科非统招,本科统招,本科以上非统招,本科以上统招"</formula1>
    </dataValidation>
    <dataValidation type="list" allowBlank="1" showInputMessage="1" showErrorMessage="1" sqref="I12:I14">
      <formula1>"杭州经纪人证,全国协理证,全国经纪人证"</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0"/>
  <sheetViews>
    <sheetView topLeftCell="A127" workbookViewId="0">
      <selection activeCell="G56" sqref="G56:G61"/>
    </sheetView>
  </sheetViews>
  <sheetFormatPr defaultColWidth="9" defaultRowHeight="12.75" x14ac:dyDescent="0.2"/>
  <cols>
    <col min="1" max="1" width="3.625" style="2" customWidth="1"/>
    <col min="2" max="2" width="4.625" style="2" customWidth="1"/>
    <col min="3" max="3" width="6.625" style="2" customWidth="1"/>
    <col min="4" max="4" width="12.125" style="2" customWidth="1"/>
    <col min="5" max="5" width="6" style="2" customWidth="1"/>
    <col min="6" max="6" width="22.125" style="2" customWidth="1"/>
    <col min="7" max="7" width="16.75" style="2" customWidth="1"/>
    <col min="8" max="8" width="7.5" style="2" customWidth="1"/>
    <col min="9" max="9" width="8" style="4" customWidth="1"/>
    <col min="10" max="10" width="7.5" style="40" customWidth="1"/>
    <col min="11" max="11" width="13.25" style="4" customWidth="1"/>
    <col min="12" max="12" width="8.875" style="2" customWidth="1"/>
    <col min="13" max="13" width="11.125" style="2" customWidth="1"/>
    <col min="14" max="16384" width="9" style="2"/>
  </cols>
  <sheetData>
    <row r="1" spans="1:11" ht="21" customHeight="1" x14ac:dyDescent="0.2">
      <c r="A1" s="422" t="s">
        <v>457</v>
      </c>
      <c r="B1" s="422"/>
      <c r="C1" s="422"/>
      <c r="D1" s="422"/>
      <c r="E1" s="422"/>
      <c r="F1" s="422"/>
      <c r="G1" s="422"/>
      <c r="H1" s="6"/>
      <c r="I1" s="558" t="s">
        <v>412</v>
      </c>
      <c r="J1" s="558"/>
    </row>
    <row r="2" spans="1:11" ht="16.5" customHeight="1" x14ac:dyDescent="0.2">
      <c r="A2" s="424" t="s">
        <v>1</v>
      </c>
      <c r="B2" s="423" t="s">
        <v>2</v>
      </c>
      <c r="C2" s="423" t="s">
        <v>3</v>
      </c>
      <c r="D2" s="423" t="s">
        <v>4</v>
      </c>
      <c r="E2" s="449" t="s">
        <v>5</v>
      </c>
      <c r="F2" s="423" t="s">
        <v>6</v>
      </c>
      <c r="G2" s="423" t="s">
        <v>7</v>
      </c>
      <c r="H2" s="423"/>
      <c r="I2" s="592" t="s">
        <v>341</v>
      </c>
      <c r="J2" s="537" t="s">
        <v>342</v>
      </c>
      <c r="K2" s="481" t="s">
        <v>8</v>
      </c>
    </row>
    <row r="3" spans="1:11" ht="18.75" customHeight="1" x14ac:dyDescent="0.2">
      <c r="A3" s="425"/>
      <c r="B3" s="423"/>
      <c r="C3" s="423"/>
      <c r="D3" s="423"/>
      <c r="E3" s="449"/>
      <c r="F3" s="423"/>
      <c r="G3" s="312" t="s">
        <v>11</v>
      </c>
      <c r="H3" s="319" t="s">
        <v>12</v>
      </c>
      <c r="I3" s="593"/>
      <c r="J3" s="538"/>
      <c r="K3" s="482"/>
    </row>
    <row r="4" spans="1:11" ht="18" customHeight="1" x14ac:dyDescent="0.2">
      <c r="A4" s="426" t="s">
        <v>354</v>
      </c>
      <c r="B4" s="426">
        <v>125</v>
      </c>
      <c r="C4" s="426" t="s">
        <v>529</v>
      </c>
      <c r="D4" s="426" t="s">
        <v>15</v>
      </c>
      <c r="E4" s="437">
        <v>30</v>
      </c>
      <c r="F4" s="426" t="s">
        <v>16</v>
      </c>
      <c r="G4" s="313" t="s">
        <v>17</v>
      </c>
      <c r="H4" s="264">
        <v>10</v>
      </c>
      <c r="I4" s="544"/>
      <c r="J4" s="545">
        <f>IF(I4="高中",10,IF(I4="中专",10,IF(I4="大专非统招",15,IF(I4="大专统招",20,IF(I4="本科非统招",25,IF(I4="本科以上非统招",25,IF(I4="本科统招",30,IF(I4="本科以上统招",30,))))))))</f>
        <v>0</v>
      </c>
      <c r="K4" s="430" t="s">
        <v>38</v>
      </c>
    </row>
    <row r="5" spans="1:11" ht="18" customHeight="1" x14ac:dyDescent="0.2">
      <c r="A5" s="426"/>
      <c r="B5" s="426"/>
      <c r="C5" s="426"/>
      <c r="D5" s="426"/>
      <c r="E5" s="437"/>
      <c r="F5" s="426"/>
      <c r="G5" s="313" t="s">
        <v>20</v>
      </c>
      <c r="H5" s="264">
        <v>15</v>
      </c>
      <c r="I5" s="544"/>
      <c r="J5" s="545"/>
      <c r="K5" s="431"/>
    </row>
    <row r="6" spans="1:11" ht="18" customHeight="1" x14ac:dyDescent="0.2">
      <c r="A6" s="426"/>
      <c r="B6" s="426"/>
      <c r="C6" s="426"/>
      <c r="D6" s="426"/>
      <c r="E6" s="437"/>
      <c r="F6" s="426"/>
      <c r="G6" s="313" t="s">
        <v>22</v>
      </c>
      <c r="H6" s="264">
        <v>20</v>
      </c>
      <c r="I6" s="544"/>
      <c r="J6" s="545"/>
      <c r="K6" s="431"/>
    </row>
    <row r="7" spans="1:11" ht="24.75" customHeight="1" x14ac:dyDescent="0.2">
      <c r="A7" s="426"/>
      <c r="B7" s="426"/>
      <c r="C7" s="426"/>
      <c r="D7" s="426"/>
      <c r="E7" s="437"/>
      <c r="F7" s="426"/>
      <c r="G7" s="313" t="s">
        <v>249</v>
      </c>
      <c r="H7" s="264">
        <v>25</v>
      </c>
      <c r="I7" s="544"/>
      <c r="J7" s="545"/>
      <c r="K7" s="431"/>
    </row>
    <row r="8" spans="1:11" ht="18" customHeight="1" x14ac:dyDescent="0.2">
      <c r="A8" s="426"/>
      <c r="B8" s="426"/>
      <c r="C8" s="426"/>
      <c r="D8" s="426"/>
      <c r="E8" s="437"/>
      <c r="F8" s="426"/>
      <c r="G8" s="313" t="s">
        <v>250</v>
      </c>
      <c r="H8" s="264">
        <v>30</v>
      </c>
      <c r="I8" s="544"/>
      <c r="J8" s="545"/>
      <c r="K8" s="431"/>
    </row>
    <row r="9" spans="1:11" ht="21.75" customHeight="1" x14ac:dyDescent="0.2">
      <c r="A9" s="426"/>
      <c r="B9" s="426"/>
      <c r="C9" s="426"/>
      <c r="D9" s="313" t="s">
        <v>28</v>
      </c>
      <c r="E9" s="315">
        <v>5</v>
      </c>
      <c r="F9" s="313" t="s">
        <v>251</v>
      </c>
      <c r="G9" s="313" t="s">
        <v>531</v>
      </c>
      <c r="H9" s="264">
        <v>5</v>
      </c>
      <c r="I9" s="325"/>
      <c r="J9" s="326">
        <f>IF(I9="特长生",5,0)</f>
        <v>0</v>
      </c>
      <c r="K9" s="318" t="s">
        <v>38</v>
      </c>
    </row>
    <row r="10" spans="1:11" ht="29.25" customHeight="1" x14ac:dyDescent="0.2">
      <c r="A10" s="426"/>
      <c r="B10" s="426"/>
      <c r="C10" s="426"/>
      <c r="D10" s="313" t="s">
        <v>32</v>
      </c>
      <c r="E10" s="328">
        <v>10</v>
      </c>
      <c r="F10" s="313" t="s">
        <v>417</v>
      </c>
      <c r="G10" s="313" t="s">
        <v>33</v>
      </c>
      <c r="H10" s="264">
        <v>10</v>
      </c>
      <c r="I10" s="325"/>
      <c r="J10" s="326">
        <f>IF(I10="退伍军人",10,IF(I10="党员",5,IF(I10="退伍军人，党员",15,)))</f>
        <v>0</v>
      </c>
      <c r="K10" s="318" t="s">
        <v>38</v>
      </c>
    </row>
    <row r="11" spans="1:11" ht="33.75" customHeight="1" x14ac:dyDescent="0.2">
      <c r="A11" s="426"/>
      <c r="B11" s="426"/>
      <c r="C11" s="313" t="s">
        <v>458</v>
      </c>
      <c r="D11" s="317" t="s">
        <v>458</v>
      </c>
      <c r="E11" s="320">
        <v>50</v>
      </c>
      <c r="F11" s="313" t="s">
        <v>479</v>
      </c>
      <c r="G11" s="318" t="s">
        <v>416</v>
      </c>
      <c r="H11" s="265">
        <v>1</v>
      </c>
      <c r="I11" s="325"/>
      <c r="J11" s="326">
        <f>MEDIAN(I11*H11,50,0)</f>
        <v>0</v>
      </c>
      <c r="K11" s="318" t="s">
        <v>38</v>
      </c>
    </row>
    <row r="12" spans="1:11" ht="18" customHeight="1" x14ac:dyDescent="0.2">
      <c r="A12" s="426"/>
      <c r="B12" s="426"/>
      <c r="C12" s="426" t="s">
        <v>521</v>
      </c>
      <c r="D12" s="426" t="s">
        <v>41</v>
      </c>
      <c r="E12" s="450">
        <v>10</v>
      </c>
      <c r="F12" s="426" t="s">
        <v>532</v>
      </c>
      <c r="G12" s="313" t="s">
        <v>253</v>
      </c>
      <c r="H12" s="264">
        <v>5</v>
      </c>
      <c r="I12" s="544"/>
      <c r="J12" s="545">
        <f>IF(I12="杭州经纪人证",5,IF(I12="全国协理证",8,IF(I12="全国经纪人证",10,)))</f>
        <v>0</v>
      </c>
      <c r="K12" s="430" t="s">
        <v>38</v>
      </c>
    </row>
    <row r="13" spans="1:11" ht="18" customHeight="1" x14ac:dyDescent="0.2">
      <c r="A13" s="426"/>
      <c r="B13" s="426"/>
      <c r="C13" s="426"/>
      <c r="D13" s="426"/>
      <c r="E13" s="450"/>
      <c r="F13" s="426"/>
      <c r="G13" s="313" t="s">
        <v>254</v>
      </c>
      <c r="H13" s="264">
        <v>8</v>
      </c>
      <c r="I13" s="544"/>
      <c r="J13" s="545"/>
      <c r="K13" s="431"/>
    </row>
    <row r="14" spans="1:11" ht="18" customHeight="1" x14ac:dyDescent="0.2">
      <c r="A14" s="426"/>
      <c r="B14" s="426"/>
      <c r="C14" s="426"/>
      <c r="D14" s="426"/>
      <c r="E14" s="450"/>
      <c r="F14" s="426"/>
      <c r="G14" s="313" t="s">
        <v>255</v>
      </c>
      <c r="H14" s="264">
        <v>10</v>
      </c>
      <c r="I14" s="544"/>
      <c r="J14" s="545"/>
      <c r="K14" s="432"/>
    </row>
    <row r="15" spans="1:11" ht="18" customHeight="1" x14ac:dyDescent="0.2">
      <c r="A15" s="426"/>
      <c r="B15" s="426"/>
      <c r="C15" s="426" t="s">
        <v>46</v>
      </c>
      <c r="D15" s="426" t="s">
        <v>47</v>
      </c>
      <c r="E15" s="448">
        <v>20</v>
      </c>
      <c r="F15" s="426" t="s">
        <v>508</v>
      </c>
      <c r="G15" s="313" t="s">
        <v>256</v>
      </c>
      <c r="H15" s="44">
        <v>20</v>
      </c>
      <c r="I15" s="544"/>
      <c r="J15" s="545">
        <f>IF(I15&gt;95,20,IF(I15&gt;90,10,IF(I15&gt;=80,0,-10)))</f>
        <v>-10</v>
      </c>
      <c r="K15" s="430" t="s">
        <v>50</v>
      </c>
    </row>
    <row r="16" spans="1:11" ht="18" customHeight="1" x14ac:dyDescent="0.2">
      <c r="A16" s="426"/>
      <c r="B16" s="426"/>
      <c r="C16" s="426"/>
      <c r="D16" s="426"/>
      <c r="E16" s="448"/>
      <c r="F16" s="426"/>
      <c r="G16" s="313" t="s">
        <v>257</v>
      </c>
      <c r="H16" s="44">
        <v>10</v>
      </c>
      <c r="I16" s="544"/>
      <c r="J16" s="545"/>
      <c r="K16" s="431"/>
    </row>
    <row r="17" spans="1:12" ht="18" customHeight="1" x14ac:dyDescent="0.2">
      <c r="A17" s="426"/>
      <c r="B17" s="426"/>
      <c r="C17" s="426"/>
      <c r="D17" s="426"/>
      <c r="E17" s="448"/>
      <c r="F17" s="426"/>
      <c r="G17" s="313" t="s">
        <v>53</v>
      </c>
      <c r="H17" s="44">
        <v>0</v>
      </c>
      <c r="I17" s="544"/>
      <c r="J17" s="545"/>
      <c r="K17" s="431"/>
    </row>
    <row r="18" spans="1:12" ht="18" customHeight="1" x14ac:dyDescent="0.2">
      <c r="A18" s="426"/>
      <c r="B18" s="426"/>
      <c r="C18" s="426"/>
      <c r="D18" s="426"/>
      <c r="E18" s="448"/>
      <c r="F18" s="426"/>
      <c r="G18" s="313" t="s">
        <v>55</v>
      </c>
      <c r="H18" s="44">
        <v>-10</v>
      </c>
      <c r="I18" s="544"/>
      <c r="J18" s="545"/>
      <c r="K18" s="432"/>
      <c r="L18" s="271">
        <f>SUM(J4:J18)</f>
        <v>-10</v>
      </c>
    </row>
    <row r="19" spans="1:12" ht="28.5" customHeight="1" x14ac:dyDescent="0.2">
      <c r="A19" s="427" t="s">
        <v>522</v>
      </c>
      <c r="B19" s="433">
        <v>100</v>
      </c>
      <c r="C19" s="433" t="s">
        <v>538</v>
      </c>
      <c r="D19" s="439" t="s">
        <v>59</v>
      </c>
      <c r="E19" s="451">
        <v>40</v>
      </c>
      <c r="F19" s="426" t="s">
        <v>60</v>
      </c>
      <c r="G19" s="316" t="s">
        <v>61</v>
      </c>
      <c r="H19" s="264">
        <v>-2</v>
      </c>
      <c r="I19" s="325"/>
      <c r="J19" s="616">
        <f>E19+H19*I19+H20*I20+H21*I21+H22*I22+H23*I23+H24*I24+H25*I25</f>
        <v>40</v>
      </c>
      <c r="K19" s="483" t="s">
        <v>63</v>
      </c>
    </row>
    <row r="20" spans="1:12" ht="28.5" customHeight="1" x14ac:dyDescent="0.2">
      <c r="A20" s="428"/>
      <c r="B20" s="434"/>
      <c r="C20" s="434"/>
      <c r="D20" s="440"/>
      <c r="E20" s="452"/>
      <c r="F20" s="426"/>
      <c r="G20" s="316" t="s">
        <v>66</v>
      </c>
      <c r="H20" s="264">
        <v>-5</v>
      </c>
      <c r="I20" s="325"/>
      <c r="J20" s="617"/>
      <c r="K20" s="484"/>
    </row>
    <row r="21" spans="1:12" ht="28.5" customHeight="1" x14ac:dyDescent="0.2">
      <c r="A21" s="428"/>
      <c r="B21" s="434"/>
      <c r="C21" s="434"/>
      <c r="D21" s="440"/>
      <c r="E21" s="452"/>
      <c r="F21" s="426"/>
      <c r="G21" s="316" t="s">
        <v>68</v>
      </c>
      <c r="H21" s="264">
        <v>-10</v>
      </c>
      <c r="I21" s="325"/>
      <c r="J21" s="617"/>
      <c r="K21" s="484"/>
    </row>
    <row r="22" spans="1:12" ht="28.5" customHeight="1" x14ac:dyDescent="0.2">
      <c r="A22" s="428"/>
      <c r="B22" s="434"/>
      <c r="C22" s="434"/>
      <c r="D22" s="440"/>
      <c r="E22" s="452"/>
      <c r="F22" s="426"/>
      <c r="G22" s="316" t="s">
        <v>69</v>
      </c>
      <c r="H22" s="264">
        <v>-10</v>
      </c>
      <c r="I22" s="325"/>
      <c r="J22" s="617"/>
      <c r="K22" s="485"/>
    </row>
    <row r="23" spans="1:12" ht="28.5" customHeight="1" x14ac:dyDescent="0.2">
      <c r="A23" s="428"/>
      <c r="B23" s="434"/>
      <c r="C23" s="434"/>
      <c r="D23" s="440"/>
      <c r="E23" s="452"/>
      <c r="F23" s="426"/>
      <c r="G23" s="13" t="s">
        <v>70</v>
      </c>
      <c r="H23" s="264">
        <v>-10</v>
      </c>
      <c r="I23" s="325"/>
      <c r="J23" s="617"/>
      <c r="K23" s="483" t="s">
        <v>63</v>
      </c>
    </row>
    <row r="24" spans="1:12" ht="28.5" customHeight="1" x14ac:dyDescent="0.2">
      <c r="A24" s="428"/>
      <c r="B24" s="434"/>
      <c r="C24" s="434"/>
      <c r="D24" s="440"/>
      <c r="E24" s="452"/>
      <c r="F24" s="426"/>
      <c r="G24" s="13" t="s">
        <v>71</v>
      </c>
      <c r="H24" s="264">
        <v>-10</v>
      </c>
      <c r="I24" s="325"/>
      <c r="J24" s="617"/>
      <c r="K24" s="484"/>
    </row>
    <row r="25" spans="1:12" ht="28.5" customHeight="1" x14ac:dyDescent="0.2">
      <c r="A25" s="428"/>
      <c r="B25" s="434"/>
      <c r="C25" s="434"/>
      <c r="D25" s="440"/>
      <c r="E25" s="453"/>
      <c r="F25" s="426"/>
      <c r="G25" s="316" t="s">
        <v>72</v>
      </c>
      <c r="H25" s="264">
        <v>-20</v>
      </c>
      <c r="I25" s="325"/>
      <c r="J25" s="618"/>
      <c r="K25" s="485"/>
    </row>
    <row r="26" spans="1:12" ht="18" customHeight="1" x14ac:dyDescent="0.2">
      <c r="A26" s="428"/>
      <c r="B26" s="434"/>
      <c r="C26" s="434"/>
      <c r="D26" s="433" t="s">
        <v>530</v>
      </c>
      <c r="E26" s="430">
        <v>60</v>
      </c>
      <c r="F26" s="434" t="s">
        <v>459</v>
      </c>
      <c r="G26" s="13" t="s">
        <v>75</v>
      </c>
      <c r="H26" s="264">
        <v>-10</v>
      </c>
      <c r="I26" s="325"/>
      <c r="J26" s="616">
        <f>E26+H26*I26+H27*I27+H28*I28+H29*I29</f>
        <v>60</v>
      </c>
      <c r="K26" s="483" t="s">
        <v>77</v>
      </c>
    </row>
    <row r="27" spans="1:12" ht="18" customHeight="1" x14ac:dyDescent="0.2">
      <c r="A27" s="428"/>
      <c r="B27" s="434"/>
      <c r="C27" s="434"/>
      <c r="D27" s="434"/>
      <c r="E27" s="431"/>
      <c r="F27" s="434"/>
      <c r="G27" s="13" t="s">
        <v>79</v>
      </c>
      <c r="H27" s="264">
        <v>-15</v>
      </c>
      <c r="I27" s="325"/>
      <c r="J27" s="617"/>
      <c r="K27" s="484"/>
    </row>
    <row r="28" spans="1:12" ht="18" customHeight="1" x14ac:dyDescent="0.2">
      <c r="A28" s="428"/>
      <c r="B28" s="434"/>
      <c r="C28" s="434"/>
      <c r="D28" s="434"/>
      <c r="E28" s="431"/>
      <c r="F28" s="434"/>
      <c r="G28" s="316" t="s">
        <v>81</v>
      </c>
      <c r="H28" s="264">
        <v>-20</v>
      </c>
      <c r="I28" s="325"/>
      <c r="J28" s="617"/>
      <c r="K28" s="484"/>
    </row>
    <row r="29" spans="1:12" ht="18" customHeight="1" x14ac:dyDescent="0.2">
      <c r="A29" s="429"/>
      <c r="B29" s="435"/>
      <c r="C29" s="435"/>
      <c r="D29" s="435"/>
      <c r="E29" s="432"/>
      <c r="F29" s="435"/>
      <c r="G29" s="323" t="s">
        <v>82</v>
      </c>
      <c r="H29" s="264">
        <v>-10</v>
      </c>
      <c r="I29" s="325"/>
      <c r="J29" s="618"/>
      <c r="K29" s="485"/>
      <c r="L29" s="25">
        <f>SUM(J19:J29)</f>
        <v>100</v>
      </c>
    </row>
    <row r="30" spans="1:12" ht="15" customHeight="1" x14ac:dyDescent="0.2">
      <c r="A30" s="433" t="s">
        <v>409</v>
      </c>
      <c r="B30" s="433">
        <v>180</v>
      </c>
      <c r="C30" s="426" t="s">
        <v>525</v>
      </c>
      <c r="D30" s="591" t="s">
        <v>410</v>
      </c>
      <c r="E30" s="605">
        <v>80</v>
      </c>
      <c r="F30" s="454" t="s">
        <v>451</v>
      </c>
      <c r="G30" s="313" t="s">
        <v>126</v>
      </c>
      <c r="H30" s="264">
        <v>-5</v>
      </c>
      <c r="I30" s="325"/>
      <c r="J30" s="619">
        <f>E30+H30*I30+H31*I31+H32*I32+H33*I33+H34*I34</f>
        <v>80</v>
      </c>
      <c r="K30" s="430" t="s">
        <v>63</v>
      </c>
    </row>
    <row r="31" spans="1:12" ht="15" customHeight="1" x14ac:dyDescent="0.2">
      <c r="A31" s="434"/>
      <c r="B31" s="434"/>
      <c r="C31" s="426"/>
      <c r="D31" s="591"/>
      <c r="E31" s="605"/>
      <c r="F31" s="455"/>
      <c r="G31" s="313" t="s">
        <v>129</v>
      </c>
      <c r="H31" s="264">
        <v>-8</v>
      </c>
      <c r="I31" s="325"/>
      <c r="J31" s="620"/>
      <c r="K31" s="432"/>
    </row>
    <row r="32" spans="1:12" ht="15" customHeight="1" x14ac:dyDescent="0.2">
      <c r="A32" s="434"/>
      <c r="B32" s="434"/>
      <c r="C32" s="426"/>
      <c r="D32" s="591"/>
      <c r="E32" s="605"/>
      <c r="F32" s="455"/>
      <c r="G32" s="313" t="s">
        <v>131</v>
      </c>
      <c r="H32" s="264">
        <v>-10</v>
      </c>
      <c r="I32" s="325"/>
      <c r="J32" s="620"/>
      <c r="K32" s="483" t="s">
        <v>77</v>
      </c>
    </row>
    <row r="33" spans="1:12" ht="15" customHeight="1" x14ac:dyDescent="0.2">
      <c r="A33" s="434"/>
      <c r="B33" s="434"/>
      <c r="C33" s="426"/>
      <c r="D33" s="591"/>
      <c r="E33" s="605"/>
      <c r="F33" s="455"/>
      <c r="G33" s="313" t="s">
        <v>132</v>
      </c>
      <c r="H33" s="264">
        <v>-15</v>
      </c>
      <c r="I33" s="325"/>
      <c r="J33" s="620"/>
      <c r="K33" s="484"/>
    </row>
    <row r="34" spans="1:12" ht="15" customHeight="1" x14ac:dyDescent="0.2">
      <c r="A34" s="434"/>
      <c r="B34" s="434"/>
      <c r="C34" s="426"/>
      <c r="D34" s="591"/>
      <c r="E34" s="605"/>
      <c r="F34" s="455"/>
      <c r="G34" s="313" t="s">
        <v>133</v>
      </c>
      <c r="H34" s="264">
        <v>-20</v>
      </c>
      <c r="I34" s="325"/>
      <c r="J34" s="621"/>
      <c r="K34" s="485"/>
    </row>
    <row r="35" spans="1:12" ht="21" customHeight="1" x14ac:dyDescent="0.2">
      <c r="A35" s="434"/>
      <c r="B35" s="434"/>
      <c r="C35" s="433" t="s">
        <v>134</v>
      </c>
      <c r="D35" s="433" t="s">
        <v>135</v>
      </c>
      <c r="E35" s="430">
        <v>20</v>
      </c>
      <c r="F35" s="433" t="s">
        <v>520</v>
      </c>
      <c r="G35" s="313" t="s">
        <v>304</v>
      </c>
      <c r="H35" s="264">
        <v>20</v>
      </c>
      <c r="I35" s="325"/>
      <c r="J35" s="619">
        <f>MEDIAN(H35*I35+H36*I36,20,0)</f>
        <v>0</v>
      </c>
      <c r="K35" s="430" t="s">
        <v>104</v>
      </c>
    </row>
    <row r="36" spans="1:12" ht="24" customHeight="1" x14ac:dyDescent="0.2">
      <c r="A36" s="434"/>
      <c r="B36" s="434"/>
      <c r="C36" s="434"/>
      <c r="D36" s="434"/>
      <c r="E36" s="431"/>
      <c r="F36" s="434"/>
      <c r="G36" s="313" t="s">
        <v>306</v>
      </c>
      <c r="H36" s="264">
        <v>10</v>
      </c>
      <c r="I36" s="325"/>
      <c r="J36" s="621"/>
      <c r="K36" s="432"/>
    </row>
    <row r="37" spans="1:12" ht="21" customHeight="1" x14ac:dyDescent="0.2">
      <c r="A37" s="434"/>
      <c r="B37" s="434"/>
      <c r="C37" s="426" t="s">
        <v>526</v>
      </c>
      <c r="D37" s="426" t="s">
        <v>139</v>
      </c>
      <c r="E37" s="448">
        <v>20</v>
      </c>
      <c r="F37" s="433" t="s">
        <v>453</v>
      </c>
      <c r="G37" s="53" t="s">
        <v>307</v>
      </c>
      <c r="H37" s="54">
        <v>20</v>
      </c>
      <c r="I37" s="585"/>
      <c r="J37" s="619">
        <f>IF(I37=100%,20,IF(I37&gt;=8.25%,10,IF(I37&gt;=0,0,IF(I37&lt;0,-5,))))</f>
        <v>0</v>
      </c>
      <c r="K37" s="430" t="s">
        <v>38</v>
      </c>
    </row>
    <row r="38" spans="1:12" ht="21" customHeight="1" x14ac:dyDescent="0.2">
      <c r="A38" s="434"/>
      <c r="B38" s="434"/>
      <c r="C38" s="426"/>
      <c r="D38" s="426"/>
      <c r="E38" s="448"/>
      <c r="F38" s="434"/>
      <c r="G38" s="53" t="s">
        <v>448</v>
      </c>
      <c r="H38" s="54">
        <v>10</v>
      </c>
      <c r="I38" s="586"/>
      <c r="J38" s="620"/>
      <c r="K38" s="431"/>
    </row>
    <row r="39" spans="1:12" ht="21" customHeight="1" x14ac:dyDescent="0.2">
      <c r="A39" s="434"/>
      <c r="B39" s="434"/>
      <c r="C39" s="426"/>
      <c r="D39" s="426"/>
      <c r="E39" s="448"/>
      <c r="F39" s="434"/>
      <c r="G39" s="53" t="s">
        <v>460</v>
      </c>
      <c r="H39" s="54">
        <v>5</v>
      </c>
      <c r="I39" s="586"/>
      <c r="J39" s="620"/>
      <c r="K39" s="431"/>
    </row>
    <row r="40" spans="1:12" ht="21" customHeight="1" x14ac:dyDescent="0.2">
      <c r="A40" s="434"/>
      <c r="B40" s="434"/>
      <c r="C40" s="426"/>
      <c r="D40" s="426"/>
      <c r="E40" s="448"/>
      <c r="F40" s="434"/>
      <c r="G40" s="315" t="s">
        <v>461</v>
      </c>
      <c r="H40" s="54">
        <v>0</v>
      </c>
      <c r="I40" s="586"/>
      <c r="J40" s="620"/>
      <c r="K40" s="431"/>
    </row>
    <row r="41" spans="1:12" ht="21" customHeight="1" x14ac:dyDescent="0.2">
      <c r="A41" s="434"/>
      <c r="B41" s="434"/>
      <c r="C41" s="426"/>
      <c r="D41" s="426"/>
      <c r="E41" s="448"/>
      <c r="F41" s="435"/>
      <c r="G41" s="33" t="s">
        <v>145</v>
      </c>
      <c r="H41" s="54">
        <v>-5</v>
      </c>
      <c r="I41" s="587"/>
      <c r="J41" s="621"/>
      <c r="K41" s="432"/>
      <c r="L41" s="77"/>
    </row>
    <row r="42" spans="1:12" ht="30" customHeight="1" x14ac:dyDescent="0.2">
      <c r="A42" s="434"/>
      <c r="B42" s="434"/>
      <c r="C42" s="433" t="s">
        <v>462</v>
      </c>
      <c r="D42" s="433" t="s">
        <v>462</v>
      </c>
      <c r="E42" s="430">
        <v>60</v>
      </c>
      <c r="F42" s="433" t="s">
        <v>463</v>
      </c>
      <c r="G42" s="54" t="s">
        <v>474</v>
      </c>
      <c r="H42" s="54">
        <v>0.5</v>
      </c>
      <c r="I42" s="325"/>
      <c r="J42" s="329">
        <f>MEDIAN(H42*I42,60,0)</f>
        <v>0</v>
      </c>
      <c r="K42" s="430"/>
      <c r="L42" s="77"/>
    </row>
    <row r="43" spans="1:12" ht="22.5" customHeight="1" x14ac:dyDescent="0.2">
      <c r="A43" s="434"/>
      <c r="B43" s="434"/>
      <c r="C43" s="434"/>
      <c r="D43" s="434"/>
      <c r="E43" s="431"/>
      <c r="F43" s="434"/>
      <c r="G43" s="33" t="s">
        <v>475</v>
      </c>
      <c r="H43" s="54">
        <v>0.1</v>
      </c>
      <c r="I43" s="325"/>
      <c r="J43" s="624">
        <f>MEDIAN(H43*I43+H44*I44,60,0)</f>
        <v>0</v>
      </c>
      <c r="K43" s="431"/>
      <c r="L43" s="77"/>
    </row>
    <row r="44" spans="1:12" ht="22.5" customHeight="1" x14ac:dyDescent="0.2">
      <c r="A44" s="434"/>
      <c r="B44" s="435"/>
      <c r="C44" s="434"/>
      <c r="D44" s="434"/>
      <c r="E44" s="431"/>
      <c r="F44" s="434"/>
      <c r="G44" s="33" t="s">
        <v>476</v>
      </c>
      <c r="H44" s="54">
        <v>0.5</v>
      </c>
      <c r="I44" s="325"/>
      <c r="J44" s="625"/>
      <c r="K44" s="432"/>
      <c r="L44" s="310">
        <f>SUM(J30:J44)</f>
        <v>80</v>
      </c>
    </row>
    <row r="45" spans="1:12" ht="19.5" customHeight="1" x14ac:dyDescent="0.2">
      <c r="A45" s="426" t="s">
        <v>147</v>
      </c>
      <c r="B45" s="600">
        <v>80</v>
      </c>
      <c r="C45" s="433" t="s">
        <v>154</v>
      </c>
      <c r="D45" s="433" t="s">
        <v>155</v>
      </c>
      <c r="E45" s="430">
        <v>10</v>
      </c>
      <c r="F45" s="433" t="s">
        <v>156</v>
      </c>
      <c r="G45" s="433" t="s">
        <v>464</v>
      </c>
      <c r="H45" s="329">
        <f t="shared" ref="H45:H50" si="0">MEDIAN(I45*2,10,0)</f>
        <v>0</v>
      </c>
      <c r="I45" s="257"/>
      <c r="J45" s="610">
        <f>MEDIAN((H45*5%+H46*5%+H47*10%+H48*10%+H49*20%+H50*50%),30,0)</f>
        <v>0</v>
      </c>
      <c r="K45" s="448" t="s">
        <v>112</v>
      </c>
    </row>
    <row r="46" spans="1:12" ht="19.5" customHeight="1" x14ac:dyDescent="0.2">
      <c r="A46" s="426"/>
      <c r="B46" s="600"/>
      <c r="C46" s="434"/>
      <c r="D46" s="434"/>
      <c r="E46" s="431"/>
      <c r="F46" s="434"/>
      <c r="G46" s="434"/>
      <c r="H46" s="329">
        <f t="shared" si="0"/>
        <v>0</v>
      </c>
      <c r="I46" s="257"/>
      <c r="J46" s="610"/>
      <c r="K46" s="448"/>
    </row>
    <row r="47" spans="1:12" ht="19.5" customHeight="1" x14ac:dyDescent="0.2">
      <c r="A47" s="426"/>
      <c r="B47" s="600"/>
      <c r="C47" s="434"/>
      <c r="D47" s="434"/>
      <c r="E47" s="431"/>
      <c r="F47" s="434"/>
      <c r="G47" s="434"/>
      <c r="H47" s="329">
        <f t="shared" si="0"/>
        <v>0</v>
      </c>
      <c r="I47" s="257"/>
      <c r="J47" s="610"/>
      <c r="K47" s="448"/>
    </row>
    <row r="48" spans="1:12" ht="19.5" customHeight="1" x14ac:dyDescent="0.2">
      <c r="A48" s="426"/>
      <c r="B48" s="600"/>
      <c r="C48" s="434"/>
      <c r="D48" s="434"/>
      <c r="E48" s="431"/>
      <c r="F48" s="434"/>
      <c r="G48" s="434"/>
      <c r="H48" s="329">
        <f t="shared" si="0"/>
        <v>0</v>
      </c>
      <c r="I48" s="257"/>
      <c r="J48" s="610"/>
      <c r="K48" s="448"/>
    </row>
    <row r="49" spans="1:12" ht="19.5" customHeight="1" x14ac:dyDescent="0.2">
      <c r="A49" s="426"/>
      <c r="B49" s="600"/>
      <c r="C49" s="434"/>
      <c r="D49" s="434"/>
      <c r="E49" s="431"/>
      <c r="F49" s="434"/>
      <c r="G49" s="434"/>
      <c r="H49" s="329">
        <f t="shared" si="0"/>
        <v>0</v>
      </c>
      <c r="I49" s="257"/>
      <c r="J49" s="610"/>
      <c r="K49" s="448"/>
    </row>
    <row r="50" spans="1:12" ht="19.5" customHeight="1" x14ac:dyDescent="0.2">
      <c r="A50" s="426"/>
      <c r="B50" s="600"/>
      <c r="C50" s="435"/>
      <c r="D50" s="435"/>
      <c r="E50" s="432"/>
      <c r="F50" s="435"/>
      <c r="G50" s="435"/>
      <c r="H50" s="329">
        <f t="shared" si="0"/>
        <v>0</v>
      </c>
      <c r="I50" s="257"/>
      <c r="J50" s="611"/>
      <c r="K50" s="448"/>
    </row>
    <row r="51" spans="1:12" ht="21" customHeight="1" x14ac:dyDescent="0.2">
      <c r="A51" s="426"/>
      <c r="B51" s="600"/>
      <c r="C51" s="433" t="s">
        <v>160</v>
      </c>
      <c r="D51" s="433" t="s">
        <v>161</v>
      </c>
      <c r="E51" s="479">
        <v>30</v>
      </c>
      <c r="F51" s="430" t="s">
        <v>465</v>
      </c>
      <c r="G51" s="313" t="s">
        <v>313</v>
      </c>
      <c r="H51" s="54">
        <v>10</v>
      </c>
      <c r="I51" s="325"/>
      <c r="J51" s="577">
        <f>MEDIAN(H51*I51+H52*I52,30,0)</f>
        <v>0</v>
      </c>
      <c r="K51" s="448" t="s">
        <v>518</v>
      </c>
    </row>
    <row r="52" spans="1:12" ht="21" customHeight="1" x14ac:dyDescent="0.2">
      <c r="A52" s="426"/>
      <c r="B52" s="600"/>
      <c r="C52" s="435"/>
      <c r="D52" s="435"/>
      <c r="E52" s="480"/>
      <c r="F52" s="432"/>
      <c r="G52" s="313" t="s">
        <v>314</v>
      </c>
      <c r="H52" s="54">
        <v>20</v>
      </c>
      <c r="I52" s="325"/>
      <c r="J52" s="579"/>
      <c r="K52" s="448"/>
    </row>
    <row r="53" spans="1:12" ht="32.25" customHeight="1" x14ac:dyDescent="0.2">
      <c r="A53" s="426"/>
      <c r="B53" s="600"/>
      <c r="C53" s="315" t="s">
        <v>527</v>
      </c>
      <c r="D53" s="7" t="s">
        <v>167</v>
      </c>
      <c r="E53" s="320">
        <v>20</v>
      </c>
      <c r="F53" s="313" t="s">
        <v>466</v>
      </c>
      <c r="G53" s="313" t="s">
        <v>163</v>
      </c>
      <c r="H53" s="54">
        <v>10</v>
      </c>
      <c r="I53" s="257"/>
      <c r="J53" s="327">
        <f>MEDIAN(H53*I53,20,0)</f>
        <v>0</v>
      </c>
      <c r="K53" s="318" t="s">
        <v>518</v>
      </c>
    </row>
    <row r="54" spans="1:12" ht="28.5" customHeight="1" x14ac:dyDescent="0.2">
      <c r="A54" s="426"/>
      <c r="B54" s="600"/>
      <c r="C54" s="313" t="s">
        <v>169</v>
      </c>
      <c r="D54" s="313" t="s">
        <v>170</v>
      </c>
      <c r="E54" s="318">
        <v>10</v>
      </c>
      <c r="F54" s="313" t="s">
        <v>171</v>
      </c>
      <c r="G54" s="313" t="s">
        <v>172</v>
      </c>
      <c r="H54" s="54">
        <v>10</v>
      </c>
      <c r="I54" s="257"/>
      <c r="J54" s="327">
        <f>MEDIAN(H54*I54,10,0)</f>
        <v>0</v>
      </c>
      <c r="K54" s="318" t="s">
        <v>518</v>
      </c>
      <c r="L54" s="77"/>
    </row>
    <row r="55" spans="1:12" ht="29.25" customHeight="1" x14ac:dyDescent="0.2">
      <c r="A55" s="426"/>
      <c r="B55" s="600"/>
      <c r="C55" s="313" t="s">
        <v>384</v>
      </c>
      <c r="D55" s="7" t="s">
        <v>478</v>
      </c>
      <c r="E55" s="321">
        <v>10</v>
      </c>
      <c r="F55" s="314" t="s">
        <v>408</v>
      </c>
      <c r="G55" s="314" t="s">
        <v>151</v>
      </c>
      <c r="H55" s="54">
        <v>2</v>
      </c>
      <c r="I55" s="325"/>
      <c r="J55" s="327">
        <f>H55*I55</f>
        <v>0</v>
      </c>
      <c r="K55" s="318" t="s">
        <v>518</v>
      </c>
      <c r="L55" s="272">
        <f>SUM(J45:J55)</f>
        <v>0</v>
      </c>
    </row>
    <row r="56" spans="1:12" ht="18" customHeight="1" x14ac:dyDescent="0.2">
      <c r="A56" s="433" t="s">
        <v>377</v>
      </c>
      <c r="B56" s="426">
        <v>165</v>
      </c>
      <c r="C56" s="433" t="s">
        <v>96</v>
      </c>
      <c r="D56" s="433" t="s">
        <v>382</v>
      </c>
      <c r="E56" s="430">
        <v>30</v>
      </c>
      <c r="F56" s="430" t="s">
        <v>467</v>
      </c>
      <c r="G56" s="439" t="s">
        <v>382</v>
      </c>
      <c r="H56" s="273">
        <f t="shared" ref="H56:H61" si="1">MEDIAN(I56*6,30,0)</f>
        <v>0</v>
      </c>
      <c r="I56" s="257"/>
      <c r="J56" s="610">
        <f>MEDIAN((H56*5%+H57*5%+H58*10%+H59*10%+H60*20%+H61*50%),30,0)</f>
        <v>0</v>
      </c>
      <c r="K56" s="430" t="s">
        <v>396</v>
      </c>
    </row>
    <row r="57" spans="1:12" ht="18" customHeight="1" x14ac:dyDescent="0.2">
      <c r="A57" s="434"/>
      <c r="B57" s="426"/>
      <c r="C57" s="434"/>
      <c r="D57" s="434"/>
      <c r="E57" s="431"/>
      <c r="F57" s="431"/>
      <c r="G57" s="440"/>
      <c r="H57" s="273">
        <f t="shared" si="1"/>
        <v>0</v>
      </c>
      <c r="I57" s="257"/>
      <c r="J57" s="610"/>
      <c r="K57" s="431"/>
    </row>
    <row r="58" spans="1:12" ht="18" customHeight="1" x14ac:dyDescent="0.2">
      <c r="A58" s="434"/>
      <c r="B58" s="426"/>
      <c r="C58" s="434"/>
      <c r="D58" s="434"/>
      <c r="E58" s="431"/>
      <c r="F58" s="431"/>
      <c r="G58" s="440"/>
      <c r="H58" s="273">
        <f t="shared" si="1"/>
        <v>0</v>
      </c>
      <c r="I58" s="257"/>
      <c r="J58" s="610"/>
      <c r="K58" s="431"/>
    </row>
    <row r="59" spans="1:12" ht="18" customHeight="1" x14ac:dyDescent="0.2">
      <c r="A59" s="434"/>
      <c r="B59" s="426"/>
      <c r="C59" s="434"/>
      <c r="D59" s="434"/>
      <c r="E59" s="431"/>
      <c r="F59" s="431"/>
      <c r="G59" s="440"/>
      <c r="H59" s="273">
        <f t="shared" si="1"/>
        <v>0</v>
      </c>
      <c r="I59" s="257"/>
      <c r="J59" s="610"/>
      <c r="K59" s="431"/>
    </row>
    <row r="60" spans="1:12" ht="18" customHeight="1" x14ac:dyDescent="0.2">
      <c r="A60" s="434"/>
      <c r="B60" s="426"/>
      <c r="C60" s="434"/>
      <c r="D60" s="434"/>
      <c r="E60" s="431"/>
      <c r="F60" s="431"/>
      <c r="G60" s="440"/>
      <c r="H60" s="273">
        <f t="shared" si="1"/>
        <v>0</v>
      </c>
      <c r="I60" s="257"/>
      <c r="J60" s="610"/>
      <c r="K60" s="431"/>
    </row>
    <row r="61" spans="1:12" ht="18" customHeight="1" x14ac:dyDescent="0.2">
      <c r="A61" s="434"/>
      <c r="B61" s="426"/>
      <c r="C61" s="435"/>
      <c r="D61" s="435"/>
      <c r="E61" s="432"/>
      <c r="F61" s="432"/>
      <c r="G61" s="491"/>
      <c r="H61" s="273">
        <f t="shared" si="1"/>
        <v>0</v>
      </c>
      <c r="I61" s="257"/>
      <c r="J61" s="611"/>
      <c r="K61" s="432"/>
    </row>
    <row r="62" spans="1:12" ht="15" customHeight="1" x14ac:dyDescent="0.2">
      <c r="A62" s="434"/>
      <c r="B62" s="426"/>
      <c r="C62" s="426" t="s">
        <v>101</v>
      </c>
      <c r="D62" s="433" t="s">
        <v>349</v>
      </c>
      <c r="E62" s="479">
        <v>15</v>
      </c>
      <c r="F62" s="433" t="s">
        <v>511</v>
      </c>
      <c r="G62" s="315" t="s">
        <v>480</v>
      </c>
      <c r="H62" s="280">
        <f t="shared" ref="H62:H67" si="2">IF(I62&gt;=91%,15,IF(I62&gt;=81%,10,IF(I62&gt;=71%,8,IF(I62&gt;=61%,5,0))))</f>
        <v>0</v>
      </c>
      <c r="I62" s="260"/>
      <c r="J62" s="610">
        <f>H62*5%+H63*5%+H64*10%+H65*10%+H66*20%+H67*50%</f>
        <v>0</v>
      </c>
      <c r="K62" s="430" t="s">
        <v>112</v>
      </c>
    </row>
    <row r="63" spans="1:12" ht="15" customHeight="1" x14ac:dyDescent="0.2">
      <c r="A63" s="434"/>
      <c r="B63" s="426"/>
      <c r="C63" s="426"/>
      <c r="D63" s="434"/>
      <c r="E63" s="615"/>
      <c r="F63" s="434"/>
      <c r="G63" s="315" t="s">
        <v>481</v>
      </c>
      <c r="H63" s="280">
        <f t="shared" si="2"/>
        <v>0</v>
      </c>
      <c r="I63" s="260"/>
      <c r="J63" s="610"/>
      <c r="K63" s="431"/>
    </row>
    <row r="64" spans="1:12" ht="15" customHeight="1" x14ac:dyDescent="0.2">
      <c r="A64" s="434"/>
      <c r="B64" s="426"/>
      <c r="C64" s="426"/>
      <c r="D64" s="434"/>
      <c r="E64" s="615"/>
      <c r="F64" s="434"/>
      <c r="G64" s="315" t="s">
        <v>482</v>
      </c>
      <c r="H64" s="280">
        <f t="shared" si="2"/>
        <v>0</v>
      </c>
      <c r="I64" s="260"/>
      <c r="J64" s="610"/>
      <c r="K64" s="431"/>
    </row>
    <row r="65" spans="1:11" ht="15" customHeight="1" x14ac:dyDescent="0.2">
      <c r="A65" s="434"/>
      <c r="B65" s="426"/>
      <c r="C65" s="426"/>
      <c r="D65" s="434"/>
      <c r="E65" s="615"/>
      <c r="F65" s="434"/>
      <c r="G65" s="315" t="s">
        <v>483</v>
      </c>
      <c r="H65" s="280">
        <f t="shared" si="2"/>
        <v>0</v>
      </c>
      <c r="I65" s="260"/>
      <c r="J65" s="610"/>
      <c r="K65" s="431"/>
    </row>
    <row r="66" spans="1:11" ht="15" customHeight="1" x14ac:dyDescent="0.2">
      <c r="A66" s="434"/>
      <c r="B66" s="426"/>
      <c r="C66" s="426"/>
      <c r="D66" s="434"/>
      <c r="E66" s="615"/>
      <c r="F66" s="434"/>
      <c r="G66" s="315" t="s">
        <v>502</v>
      </c>
      <c r="H66" s="280">
        <f t="shared" si="2"/>
        <v>0</v>
      </c>
      <c r="I66" s="260"/>
      <c r="J66" s="610"/>
      <c r="K66" s="431"/>
    </row>
    <row r="67" spans="1:11" ht="15" customHeight="1" x14ac:dyDescent="0.2">
      <c r="A67" s="434"/>
      <c r="B67" s="426"/>
      <c r="C67" s="426"/>
      <c r="D67" s="435"/>
      <c r="E67" s="480"/>
      <c r="F67" s="435"/>
      <c r="G67" s="315">
        <v>0</v>
      </c>
      <c r="H67" s="280">
        <f t="shared" si="2"/>
        <v>0</v>
      </c>
      <c r="I67" s="260"/>
      <c r="J67" s="611"/>
      <c r="K67" s="432"/>
    </row>
    <row r="68" spans="1:11" ht="15" customHeight="1" x14ac:dyDescent="0.2">
      <c r="A68" s="434"/>
      <c r="B68" s="426"/>
      <c r="C68" s="426"/>
      <c r="D68" s="433" t="s">
        <v>106</v>
      </c>
      <c r="E68" s="479">
        <v>40</v>
      </c>
      <c r="F68" s="430" t="s">
        <v>512</v>
      </c>
      <c r="G68" s="315" t="s">
        <v>484</v>
      </c>
      <c r="H68" s="324">
        <f t="shared" ref="H68:H73" si="3">IF(I68&gt;=91%,40,IF(I68&gt;=81%,30,IF(I68&gt;=71%,20,IF(I68&gt;=61%,10,IF(I68&gt;0,5,0)))))</f>
        <v>0</v>
      </c>
      <c r="I68" s="260"/>
      <c r="J68" s="610">
        <f>H68*5%+H69*5%+H70*10%+H71*10%+H72*20%+H73*50%</f>
        <v>0</v>
      </c>
      <c r="K68" s="430" t="s">
        <v>112</v>
      </c>
    </row>
    <row r="69" spans="1:11" ht="15" customHeight="1" x14ac:dyDescent="0.2">
      <c r="A69" s="434"/>
      <c r="B69" s="426"/>
      <c r="C69" s="426"/>
      <c r="D69" s="434"/>
      <c r="E69" s="615"/>
      <c r="F69" s="431"/>
      <c r="G69" s="315" t="s">
        <v>487</v>
      </c>
      <c r="H69" s="324">
        <f t="shared" si="3"/>
        <v>0</v>
      </c>
      <c r="I69" s="260"/>
      <c r="J69" s="610"/>
      <c r="K69" s="431"/>
    </row>
    <row r="70" spans="1:11" ht="15" customHeight="1" x14ac:dyDescent="0.2">
      <c r="A70" s="434"/>
      <c r="B70" s="426"/>
      <c r="C70" s="426"/>
      <c r="D70" s="434"/>
      <c r="E70" s="615"/>
      <c r="F70" s="431"/>
      <c r="G70" s="315" t="s">
        <v>485</v>
      </c>
      <c r="H70" s="324">
        <f t="shared" si="3"/>
        <v>0</v>
      </c>
      <c r="I70" s="260"/>
      <c r="J70" s="610"/>
      <c r="K70" s="431"/>
    </row>
    <row r="71" spans="1:11" ht="15" customHeight="1" x14ac:dyDescent="0.2">
      <c r="A71" s="434"/>
      <c r="B71" s="426"/>
      <c r="C71" s="426"/>
      <c r="D71" s="434"/>
      <c r="E71" s="615"/>
      <c r="F71" s="431"/>
      <c r="G71" s="315" t="s">
        <v>486</v>
      </c>
      <c r="H71" s="324">
        <f t="shared" si="3"/>
        <v>0</v>
      </c>
      <c r="I71" s="260"/>
      <c r="J71" s="610"/>
      <c r="K71" s="431"/>
    </row>
    <row r="72" spans="1:11" ht="15" customHeight="1" x14ac:dyDescent="0.2">
      <c r="A72" s="434"/>
      <c r="B72" s="426"/>
      <c r="C72" s="426"/>
      <c r="D72" s="434"/>
      <c r="E72" s="615"/>
      <c r="F72" s="431"/>
      <c r="G72" s="315" t="s">
        <v>501</v>
      </c>
      <c r="H72" s="324">
        <f t="shared" si="3"/>
        <v>0</v>
      </c>
      <c r="I72" s="260"/>
      <c r="J72" s="610"/>
      <c r="K72" s="431"/>
    </row>
    <row r="73" spans="1:11" ht="15" customHeight="1" x14ac:dyDescent="0.2">
      <c r="A73" s="434"/>
      <c r="B73" s="426"/>
      <c r="C73" s="426"/>
      <c r="D73" s="435"/>
      <c r="E73" s="480"/>
      <c r="F73" s="432"/>
      <c r="G73" s="315">
        <v>0</v>
      </c>
      <c r="H73" s="324">
        <f t="shared" si="3"/>
        <v>0</v>
      </c>
      <c r="I73" s="260"/>
      <c r="J73" s="611"/>
      <c r="K73" s="432"/>
    </row>
    <row r="74" spans="1:11" ht="15" customHeight="1" x14ac:dyDescent="0.2">
      <c r="A74" s="434"/>
      <c r="B74" s="426"/>
      <c r="C74" s="455"/>
      <c r="D74" s="433" t="s">
        <v>114</v>
      </c>
      <c r="E74" s="479">
        <v>20</v>
      </c>
      <c r="F74" s="430" t="s">
        <v>510</v>
      </c>
      <c r="G74" s="240" t="s">
        <v>491</v>
      </c>
      <c r="H74" s="324">
        <f t="shared" ref="H74:H79" si="4">IF(I74&gt;=51%,20,IF(I74&gt;=41%,15,IF(I74&gt;=31%,10,IF(I74&gt;=11%,8,IF(I74&gt;0,5,0)))))</f>
        <v>0</v>
      </c>
      <c r="I74" s="260"/>
      <c r="J74" s="610">
        <f>H74*5%+H75*5%+H76*10%+H77*10%+H78*20%+H79*50%</f>
        <v>0</v>
      </c>
      <c r="K74" s="430" t="s">
        <v>112</v>
      </c>
    </row>
    <row r="75" spans="1:11" ht="15" customHeight="1" x14ac:dyDescent="0.2">
      <c r="A75" s="434"/>
      <c r="B75" s="426"/>
      <c r="C75" s="455"/>
      <c r="D75" s="434"/>
      <c r="E75" s="615"/>
      <c r="F75" s="431"/>
      <c r="G75" s="315" t="s">
        <v>488</v>
      </c>
      <c r="H75" s="324">
        <f t="shared" si="4"/>
        <v>0</v>
      </c>
      <c r="I75" s="260"/>
      <c r="J75" s="610"/>
      <c r="K75" s="431"/>
    </row>
    <row r="76" spans="1:11" ht="15" customHeight="1" x14ac:dyDescent="0.2">
      <c r="A76" s="434"/>
      <c r="B76" s="426"/>
      <c r="C76" s="455"/>
      <c r="D76" s="434"/>
      <c r="E76" s="615"/>
      <c r="F76" s="431"/>
      <c r="G76" s="315" t="s">
        <v>489</v>
      </c>
      <c r="H76" s="324">
        <f t="shared" si="4"/>
        <v>0</v>
      </c>
      <c r="I76" s="260"/>
      <c r="J76" s="610"/>
      <c r="K76" s="431"/>
    </row>
    <row r="77" spans="1:11" ht="15" customHeight="1" x14ac:dyDescent="0.2">
      <c r="A77" s="434"/>
      <c r="B77" s="426"/>
      <c r="C77" s="455"/>
      <c r="D77" s="434"/>
      <c r="E77" s="615"/>
      <c r="F77" s="431"/>
      <c r="G77" s="33" t="s">
        <v>490</v>
      </c>
      <c r="H77" s="324">
        <f t="shared" si="4"/>
        <v>0</v>
      </c>
      <c r="I77" s="260"/>
      <c r="J77" s="610"/>
      <c r="K77" s="431"/>
    </row>
    <row r="78" spans="1:11" ht="15" customHeight="1" x14ac:dyDescent="0.2">
      <c r="A78" s="434"/>
      <c r="B78" s="426"/>
      <c r="C78" s="455"/>
      <c r="D78" s="434"/>
      <c r="E78" s="615"/>
      <c r="F78" s="431"/>
      <c r="G78" s="315" t="s">
        <v>500</v>
      </c>
      <c r="H78" s="324">
        <f t="shared" si="4"/>
        <v>0</v>
      </c>
      <c r="I78" s="260"/>
      <c r="J78" s="610"/>
      <c r="K78" s="431"/>
    </row>
    <row r="79" spans="1:11" ht="15" customHeight="1" x14ac:dyDescent="0.2">
      <c r="A79" s="434"/>
      <c r="B79" s="426"/>
      <c r="C79" s="455"/>
      <c r="D79" s="435"/>
      <c r="E79" s="480"/>
      <c r="F79" s="432"/>
      <c r="G79" s="230">
        <v>0</v>
      </c>
      <c r="H79" s="324">
        <f t="shared" si="4"/>
        <v>0</v>
      </c>
      <c r="I79" s="260"/>
      <c r="J79" s="611"/>
      <c r="K79" s="432"/>
    </row>
    <row r="80" spans="1:11" ht="15" customHeight="1" x14ac:dyDescent="0.2">
      <c r="A80" s="434"/>
      <c r="B80" s="426"/>
      <c r="C80" s="455"/>
      <c r="D80" s="433" t="s">
        <v>117</v>
      </c>
      <c r="E80" s="430">
        <v>45</v>
      </c>
      <c r="F80" s="430" t="s">
        <v>468</v>
      </c>
      <c r="G80" s="315" t="s">
        <v>492</v>
      </c>
      <c r="H80" s="324">
        <f t="shared" ref="H80:H85" si="5">IF(I80&gt;=31%,45,IF(I80&gt;=21%,35,IF(I80&gt;=11%,25,IF(I80&gt;0,10,0))))</f>
        <v>0</v>
      </c>
      <c r="I80" s="260"/>
      <c r="J80" s="610">
        <f>H80*5%+H81*5%+H82*10%+H83*10%+H84*20%+H85*50%</f>
        <v>0</v>
      </c>
      <c r="K80" s="430" t="s">
        <v>112</v>
      </c>
    </row>
    <row r="81" spans="1:12" ht="15" customHeight="1" x14ac:dyDescent="0.2">
      <c r="A81" s="434"/>
      <c r="B81" s="426"/>
      <c r="C81" s="455"/>
      <c r="D81" s="434"/>
      <c r="E81" s="431"/>
      <c r="F81" s="431"/>
      <c r="G81" s="315" t="s">
        <v>493</v>
      </c>
      <c r="H81" s="324">
        <f t="shared" si="5"/>
        <v>0</v>
      </c>
      <c r="I81" s="260"/>
      <c r="J81" s="610"/>
      <c r="K81" s="431"/>
    </row>
    <row r="82" spans="1:12" ht="15" customHeight="1" x14ac:dyDescent="0.2">
      <c r="A82" s="434"/>
      <c r="B82" s="426"/>
      <c r="C82" s="455"/>
      <c r="D82" s="434"/>
      <c r="E82" s="431"/>
      <c r="F82" s="431"/>
      <c r="G82" s="33" t="s">
        <v>494</v>
      </c>
      <c r="H82" s="324">
        <f t="shared" si="5"/>
        <v>0</v>
      </c>
      <c r="I82" s="260"/>
      <c r="J82" s="610"/>
      <c r="K82" s="431"/>
    </row>
    <row r="83" spans="1:12" ht="15" customHeight="1" x14ac:dyDescent="0.2">
      <c r="A83" s="434"/>
      <c r="B83" s="426"/>
      <c r="C83" s="455"/>
      <c r="D83" s="434"/>
      <c r="E83" s="431"/>
      <c r="F83" s="431"/>
      <c r="G83" s="315" t="s">
        <v>499</v>
      </c>
      <c r="H83" s="324">
        <f t="shared" si="5"/>
        <v>0</v>
      </c>
      <c r="I83" s="260"/>
      <c r="J83" s="610"/>
      <c r="K83" s="431"/>
    </row>
    <row r="84" spans="1:12" ht="15" customHeight="1" x14ac:dyDescent="0.2">
      <c r="A84" s="434"/>
      <c r="B84" s="426"/>
      <c r="C84" s="455"/>
      <c r="D84" s="434"/>
      <c r="E84" s="431"/>
      <c r="F84" s="431"/>
      <c r="G84" s="315">
        <v>0</v>
      </c>
      <c r="H84" s="324">
        <f t="shared" si="5"/>
        <v>0</v>
      </c>
      <c r="I84" s="260"/>
      <c r="J84" s="610"/>
      <c r="K84" s="431"/>
    </row>
    <row r="85" spans="1:12" ht="15" customHeight="1" x14ac:dyDescent="0.2">
      <c r="A85" s="434"/>
      <c r="B85" s="426"/>
      <c r="C85" s="455"/>
      <c r="D85" s="434"/>
      <c r="E85" s="431"/>
      <c r="F85" s="431"/>
      <c r="G85" s="328"/>
      <c r="H85" s="324">
        <f t="shared" si="5"/>
        <v>0</v>
      </c>
      <c r="I85" s="260"/>
      <c r="J85" s="611"/>
      <c r="K85" s="431"/>
    </row>
    <row r="86" spans="1:12" ht="15" customHeight="1" x14ac:dyDescent="0.2">
      <c r="A86" s="434"/>
      <c r="B86" s="426"/>
      <c r="C86" s="455"/>
      <c r="D86" s="433" t="s">
        <v>120</v>
      </c>
      <c r="E86" s="430">
        <v>15</v>
      </c>
      <c r="F86" s="430" t="s">
        <v>469</v>
      </c>
      <c r="G86" s="315" t="s">
        <v>495</v>
      </c>
      <c r="H86" s="324">
        <f t="shared" ref="H86:H91" si="6">IF(I86&gt;=31%,15,IF(I86&gt;=21%,12,IF(I86&gt;=11%,10,IF(I86&gt;0,8,0))))</f>
        <v>0</v>
      </c>
      <c r="I86" s="260"/>
      <c r="J86" s="610">
        <f>H86*5%+H87*5%+H88*10%+H89*10%+H90*20%+H91*50%</f>
        <v>0</v>
      </c>
      <c r="K86" s="430" t="s">
        <v>112</v>
      </c>
    </row>
    <row r="87" spans="1:12" ht="15" customHeight="1" x14ac:dyDescent="0.2">
      <c r="A87" s="434"/>
      <c r="B87" s="426"/>
      <c r="C87" s="455"/>
      <c r="D87" s="434"/>
      <c r="E87" s="431"/>
      <c r="F87" s="431"/>
      <c r="G87" s="315" t="s">
        <v>496</v>
      </c>
      <c r="H87" s="324">
        <f t="shared" si="6"/>
        <v>0</v>
      </c>
      <c r="I87" s="260"/>
      <c r="J87" s="610"/>
      <c r="K87" s="431"/>
    </row>
    <row r="88" spans="1:12" ht="15" customHeight="1" x14ac:dyDescent="0.2">
      <c r="A88" s="434"/>
      <c r="B88" s="426"/>
      <c r="C88" s="455"/>
      <c r="D88" s="434"/>
      <c r="E88" s="431"/>
      <c r="F88" s="431"/>
      <c r="G88" s="33" t="s">
        <v>497</v>
      </c>
      <c r="H88" s="324">
        <f t="shared" si="6"/>
        <v>0</v>
      </c>
      <c r="I88" s="260"/>
      <c r="J88" s="610"/>
      <c r="K88" s="431"/>
    </row>
    <row r="89" spans="1:12" ht="15" customHeight="1" x14ac:dyDescent="0.2">
      <c r="A89" s="434"/>
      <c r="B89" s="426"/>
      <c r="C89" s="455"/>
      <c r="D89" s="434"/>
      <c r="E89" s="431"/>
      <c r="F89" s="431"/>
      <c r="G89" s="315" t="s">
        <v>498</v>
      </c>
      <c r="H89" s="324">
        <f t="shared" si="6"/>
        <v>0</v>
      </c>
      <c r="I89" s="260"/>
      <c r="J89" s="610"/>
      <c r="K89" s="431"/>
    </row>
    <row r="90" spans="1:12" ht="15" customHeight="1" x14ac:dyDescent="0.2">
      <c r="A90" s="434"/>
      <c r="B90" s="426"/>
      <c r="C90" s="455"/>
      <c r="D90" s="434"/>
      <c r="E90" s="431"/>
      <c r="F90" s="431"/>
      <c r="G90" s="315">
        <v>0</v>
      </c>
      <c r="H90" s="324">
        <f t="shared" si="6"/>
        <v>0</v>
      </c>
      <c r="I90" s="260"/>
      <c r="J90" s="610"/>
      <c r="K90" s="431"/>
    </row>
    <row r="91" spans="1:12" ht="15" customHeight="1" x14ac:dyDescent="0.2">
      <c r="A91" s="435"/>
      <c r="B91" s="426"/>
      <c r="C91" s="455"/>
      <c r="D91" s="434"/>
      <c r="E91" s="431"/>
      <c r="F91" s="431"/>
      <c r="G91" s="328"/>
      <c r="H91" s="324">
        <f t="shared" si="6"/>
        <v>0</v>
      </c>
      <c r="I91" s="260"/>
      <c r="J91" s="611"/>
      <c r="K91" s="431"/>
      <c r="L91" s="218">
        <f>SUM(J56:J91)</f>
        <v>0</v>
      </c>
    </row>
    <row r="92" spans="1:12" s="1" customFormat="1" ht="28.5" customHeight="1" x14ac:dyDescent="0.2">
      <c r="A92" s="430" t="s">
        <v>315</v>
      </c>
      <c r="B92" s="426">
        <v>210</v>
      </c>
      <c r="C92" s="426" t="s">
        <v>177</v>
      </c>
      <c r="D92" s="313" t="s">
        <v>178</v>
      </c>
      <c r="E92" s="55">
        <f>20%*200</f>
        <v>40</v>
      </c>
      <c r="F92" s="56" t="s">
        <v>179</v>
      </c>
      <c r="G92" s="322" t="s">
        <v>470</v>
      </c>
      <c r="H92" s="268">
        <v>1</v>
      </c>
      <c r="I92" s="325"/>
      <c r="J92" s="622">
        <f>MEDIAN(H92*I92+H93*I93,60,0)</f>
        <v>0</v>
      </c>
      <c r="K92" s="35" t="s">
        <v>181</v>
      </c>
      <c r="L92" s="2"/>
    </row>
    <row r="93" spans="1:12" s="1" customFormat="1" ht="28.5" customHeight="1" x14ac:dyDescent="0.2">
      <c r="A93" s="431"/>
      <c r="B93" s="426"/>
      <c r="C93" s="426"/>
      <c r="D93" s="316" t="s">
        <v>183</v>
      </c>
      <c r="E93" s="316">
        <v>20</v>
      </c>
      <c r="F93" s="316" t="s">
        <v>184</v>
      </c>
      <c r="G93" s="316" t="s">
        <v>177</v>
      </c>
      <c r="H93" s="54">
        <v>8</v>
      </c>
      <c r="I93" s="325"/>
      <c r="J93" s="623"/>
      <c r="K93" s="35" t="s">
        <v>343</v>
      </c>
      <c r="L93" s="2"/>
    </row>
    <row r="94" spans="1:12" s="1" customFormat="1" ht="28.5" customHeight="1" x14ac:dyDescent="0.2">
      <c r="A94" s="431"/>
      <c r="B94" s="426"/>
      <c r="C94" s="426" t="s">
        <v>186</v>
      </c>
      <c r="D94" s="313" t="s">
        <v>187</v>
      </c>
      <c r="E94" s="55">
        <v>30</v>
      </c>
      <c r="F94" s="313" t="s">
        <v>188</v>
      </c>
      <c r="G94" s="318" t="s">
        <v>189</v>
      </c>
      <c r="H94" s="33">
        <v>1.5</v>
      </c>
      <c r="I94" s="325"/>
      <c r="J94" s="330">
        <f>MEDIAN(H94*I94,30,0)</f>
        <v>0</v>
      </c>
      <c r="K94" s="35" t="s">
        <v>190</v>
      </c>
      <c r="L94" s="2"/>
    </row>
    <row r="95" spans="1:12" s="1" customFormat="1" ht="28.5" customHeight="1" x14ac:dyDescent="0.2">
      <c r="A95" s="431"/>
      <c r="B95" s="426"/>
      <c r="C95" s="426"/>
      <c r="D95" s="313" t="s">
        <v>191</v>
      </c>
      <c r="E95" s="55">
        <v>10</v>
      </c>
      <c r="F95" s="313" t="s">
        <v>192</v>
      </c>
      <c r="G95" s="318" t="s">
        <v>193</v>
      </c>
      <c r="H95" s="33">
        <v>0.5</v>
      </c>
      <c r="I95" s="325"/>
      <c r="J95" s="330">
        <f>MEDIAN(H95*I95,10,0)</f>
        <v>0</v>
      </c>
      <c r="K95" s="35" t="s">
        <v>194</v>
      </c>
      <c r="L95" s="64"/>
    </row>
    <row r="96" spans="1:12" s="1" customFormat="1" ht="33.75" customHeight="1" x14ac:dyDescent="0.2">
      <c r="A96" s="431"/>
      <c r="B96" s="426"/>
      <c r="C96" s="426" t="s">
        <v>213</v>
      </c>
      <c r="D96" s="316" t="s">
        <v>214</v>
      </c>
      <c r="E96" s="281">
        <v>40</v>
      </c>
      <c r="F96" s="36" t="s">
        <v>428</v>
      </c>
      <c r="G96" s="318" t="s">
        <v>214</v>
      </c>
      <c r="H96" s="33">
        <v>2</v>
      </c>
      <c r="I96" s="325"/>
      <c r="J96" s="330">
        <f>MEDIAN(H96*I96/5,40,0)</f>
        <v>0</v>
      </c>
      <c r="K96" s="36" t="s">
        <v>428</v>
      </c>
      <c r="L96" s="2"/>
    </row>
    <row r="97" spans="1:12" s="1" customFormat="1" ht="28.5" customHeight="1" x14ac:dyDescent="0.2">
      <c r="A97" s="431"/>
      <c r="B97" s="426"/>
      <c r="C97" s="426"/>
      <c r="D97" s="316" t="s">
        <v>471</v>
      </c>
      <c r="E97" s="280">
        <v>20</v>
      </c>
      <c r="F97" s="313" t="s">
        <v>427</v>
      </c>
      <c r="G97" s="318" t="s">
        <v>218</v>
      </c>
      <c r="H97" s="269">
        <v>2</v>
      </c>
      <c r="I97" s="325"/>
      <c r="J97" s="330">
        <f>MEDIAN(H97*I97,20,0)</f>
        <v>0</v>
      </c>
      <c r="K97" s="36" t="s">
        <v>430</v>
      </c>
      <c r="L97" s="271">
        <f>SUM(J92:J97)</f>
        <v>0</v>
      </c>
    </row>
    <row r="98" spans="1:12" s="1" customFormat="1" ht="15" customHeight="1" x14ac:dyDescent="0.2">
      <c r="A98" s="431"/>
      <c r="B98" s="426"/>
      <c r="C98" s="433" t="s">
        <v>199</v>
      </c>
      <c r="D98" s="517" t="s">
        <v>200</v>
      </c>
      <c r="E98" s="528">
        <v>30</v>
      </c>
      <c r="F98" s="433" t="s">
        <v>533</v>
      </c>
      <c r="G98" s="430" t="s">
        <v>202</v>
      </c>
      <c r="H98" s="273">
        <f t="shared" ref="H98:H103" si="7">MEDIAN(I98*1,30,0)</f>
        <v>0</v>
      </c>
      <c r="I98" s="274"/>
      <c r="J98" s="610">
        <f>H98*5%+H99*5%+H100*10%+H101*10%+H102*20%+H103*50%</f>
        <v>0</v>
      </c>
      <c r="K98" s="487" t="s">
        <v>472</v>
      </c>
      <c r="L98" s="2"/>
    </row>
    <row r="99" spans="1:12" s="1" customFormat="1" ht="15" customHeight="1" x14ac:dyDescent="0.2">
      <c r="A99" s="431"/>
      <c r="B99" s="426"/>
      <c r="C99" s="434"/>
      <c r="D99" s="518"/>
      <c r="E99" s="529"/>
      <c r="F99" s="434"/>
      <c r="G99" s="431"/>
      <c r="H99" s="273">
        <f t="shared" si="7"/>
        <v>0</v>
      </c>
      <c r="I99" s="274"/>
      <c r="J99" s="610"/>
      <c r="K99" s="488"/>
      <c r="L99" s="2"/>
    </row>
    <row r="100" spans="1:12" s="1" customFormat="1" ht="15" customHeight="1" x14ac:dyDescent="0.2">
      <c r="A100" s="431"/>
      <c r="B100" s="426"/>
      <c r="C100" s="434"/>
      <c r="D100" s="518"/>
      <c r="E100" s="529"/>
      <c r="F100" s="434"/>
      <c r="G100" s="431"/>
      <c r="H100" s="273">
        <f t="shared" si="7"/>
        <v>0</v>
      </c>
      <c r="I100" s="274"/>
      <c r="J100" s="610"/>
      <c r="K100" s="488"/>
      <c r="L100" s="2"/>
    </row>
    <row r="101" spans="1:12" s="1" customFormat="1" ht="15" customHeight="1" x14ac:dyDescent="0.2">
      <c r="A101" s="431"/>
      <c r="B101" s="426"/>
      <c r="C101" s="434"/>
      <c r="D101" s="518"/>
      <c r="E101" s="529"/>
      <c r="F101" s="434"/>
      <c r="G101" s="431"/>
      <c r="H101" s="273">
        <f t="shared" si="7"/>
        <v>0</v>
      </c>
      <c r="I101" s="274"/>
      <c r="J101" s="610"/>
      <c r="K101" s="488"/>
      <c r="L101" s="2"/>
    </row>
    <row r="102" spans="1:12" s="1" customFormat="1" ht="15" customHeight="1" x14ac:dyDescent="0.2">
      <c r="A102" s="431"/>
      <c r="B102" s="426"/>
      <c r="C102" s="434"/>
      <c r="D102" s="518"/>
      <c r="E102" s="529"/>
      <c r="F102" s="434"/>
      <c r="G102" s="431"/>
      <c r="H102" s="273">
        <f t="shared" si="7"/>
        <v>0</v>
      </c>
      <c r="I102" s="274"/>
      <c r="J102" s="610"/>
      <c r="K102" s="488"/>
      <c r="L102" s="2"/>
    </row>
    <row r="103" spans="1:12" s="1" customFormat="1" ht="15" customHeight="1" x14ac:dyDescent="0.2">
      <c r="A103" s="431"/>
      <c r="B103" s="426"/>
      <c r="C103" s="434"/>
      <c r="D103" s="519"/>
      <c r="E103" s="530"/>
      <c r="F103" s="435"/>
      <c r="G103" s="432"/>
      <c r="H103" s="273">
        <f t="shared" si="7"/>
        <v>0</v>
      </c>
      <c r="I103" s="274"/>
      <c r="J103" s="611"/>
      <c r="K103" s="489"/>
      <c r="L103" s="2"/>
    </row>
    <row r="104" spans="1:12" s="1" customFormat="1" ht="15" customHeight="1" x14ac:dyDescent="0.2">
      <c r="A104" s="431"/>
      <c r="B104" s="426"/>
      <c r="C104" s="434"/>
      <c r="D104" s="517" t="s">
        <v>204</v>
      </c>
      <c r="E104" s="451">
        <f>5%*200</f>
        <v>10</v>
      </c>
      <c r="F104" s="433" t="s">
        <v>506</v>
      </c>
      <c r="G104" s="430" t="s">
        <v>202</v>
      </c>
      <c r="H104" s="273">
        <f t="shared" ref="H104:H109" si="8">MEDIAN(I104*1,10,0)</f>
        <v>0</v>
      </c>
      <c r="I104" s="325"/>
      <c r="J104" s="610">
        <f>H104*5%+H105*5%+H106*10%+H107*10%+H108*20%+H109*50%</f>
        <v>0</v>
      </c>
      <c r="K104" s="487" t="s">
        <v>503</v>
      </c>
      <c r="L104" s="2"/>
    </row>
    <row r="105" spans="1:12" s="1" customFormat="1" ht="15" customHeight="1" x14ac:dyDescent="0.2">
      <c r="A105" s="431"/>
      <c r="B105" s="426"/>
      <c r="C105" s="434"/>
      <c r="D105" s="518"/>
      <c r="E105" s="452"/>
      <c r="F105" s="434"/>
      <c r="G105" s="431"/>
      <c r="H105" s="273">
        <f t="shared" si="8"/>
        <v>0</v>
      </c>
      <c r="I105" s="325"/>
      <c r="J105" s="610"/>
      <c r="K105" s="488"/>
      <c r="L105" s="2"/>
    </row>
    <row r="106" spans="1:12" s="1" customFormat="1" ht="15" customHeight="1" x14ac:dyDescent="0.2">
      <c r="A106" s="431"/>
      <c r="B106" s="426"/>
      <c r="C106" s="434"/>
      <c r="D106" s="518"/>
      <c r="E106" s="452"/>
      <c r="F106" s="434"/>
      <c r="G106" s="431"/>
      <c r="H106" s="273">
        <f t="shared" si="8"/>
        <v>0</v>
      </c>
      <c r="I106" s="325"/>
      <c r="J106" s="610"/>
      <c r="K106" s="488"/>
      <c r="L106" s="2"/>
    </row>
    <row r="107" spans="1:12" s="1" customFormat="1" ht="15" customHeight="1" x14ac:dyDescent="0.2">
      <c r="A107" s="431"/>
      <c r="B107" s="426"/>
      <c r="C107" s="434"/>
      <c r="D107" s="518"/>
      <c r="E107" s="452"/>
      <c r="F107" s="434"/>
      <c r="G107" s="431"/>
      <c r="H107" s="273">
        <f t="shared" si="8"/>
        <v>0</v>
      </c>
      <c r="I107" s="325"/>
      <c r="J107" s="610"/>
      <c r="K107" s="488"/>
      <c r="L107" s="2"/>
    </row>
    <row r="108" spans="1:12" s="1" customFormat="1" ht="15" customHeight="1" x14ac:dyDescent="0.2">
      <c r="A108" s="431"/>
      <c r="B108" s="426"/>
      <c r="C108" s="434"/>
      <c r="D108" s="518"/>
      <c r="E108" s="452"/>
      <c r="F108" s="434"/>
      <c r="G108" s="431"/>
      <c r="H108" s="273">
        <f t="shared" si="8"/>
        <v>0</v>
      </c>
      <c r="I108" s="325"/>
      <c r="J108" s="610"/>
      <c r="K108" s="488"/>
      <c r="L108" s="2"/>
    </row>
    <row r="109" spans="1:12" s="1" customFormat="1" ht="15" customHeight="1" x14ac:dyDescent="0.2">
      <c r="A109" s="431"/>
      <c r="B109" s="426"/>
      <c r="C109" s="434"/>
      <c r="D109" s="519"/>
      <c r="E109" s="453"/>
      <c r="F109" s="435"/>
      <c r="G109" s="432"/>
      <c r="H109" s="273">
        <f t="shared" si="8"/>
        <v>0</v>
      </c>
      <c r="I109" s="325"/>
      <c r="J109" s="611"/>
      <c r="K109" s="489"/>
      <c r="L109" s="2"/>
    </row>
    <row r="110" spans="1:12" s="1" customFormat="1" ht="15" customHeight="1" x14ac:dyDescent="0.2">
      <c r="A110" s="431"/>
      <c r="B110" s="426"/>
      <c r="C110" s="434"/>
      <c r="D110" s="517" t="s">
        <v>207</v>
      </c>
      <c r="E110" s="451">
        <f>5%*200</f>
        <v>10</v>
      </c>
      <c r="F110" s="433" t="s">
        <v>507</v>
      </c>
      <c r="G110" s="430" t="s">
        <v>209</v>
      </c>
      <c r="H110" s="273">
        <f t="shared" ref="H110:H115" si="9">MEDIAN(I110*2,10,0)</f>
        <v>0</v>
      </c>
      <c r="I110" s="325"/>
      <c r="J110" s="610">
        <f>H110*5%+H111*5%+H112*10%+H113*10%+H114*20%+H115*50%</f>
        <v>0</v>
      </c>
      <c r="K110" s="487" t="s">
        <v>504</v>
      </c>
      <c r="L110" s="2"/>
    </row>
    <row r="111" spans="1:12" s="1" customFormat="1" ht="15" customHeight="1" x14ac:dyDescent="0.2">
      <c r="A111" s="431"/>
      <c r="B111" s="426"/>
      <c r="C111" s="434"/>
      <c r="D111" s="518"/>
      <c r="E111" s="452"/>
      <c r="F111" s="434"/>
      <c r="G111" s="431"/>
      <c r="H111" s="273">
        <f t="shared" si="9"/>
        <v>0</v>
      </c>
      <c r="I111" s="325"/>
      <c r="J111" s="610"/>
      <c r="K111" s="488"/>
      <c r="L111" s="2"/>
    </row>
    <row r="112" spans="1:12" s="1" customFormat="1" ht="15" customHeight="1" x14ac:dyDescent="0.2">
      <c r="A112" s="431"/>
      <c r="B112" s="426"/>
      <c r="C112" s="434"/>
      <c r="D112" s="518"/>
      <c r="E112" s="452"/>
      <c r="F112" s="434"/>
      <c r="G112" s="431"/>
      <c r="H112" s="273">
        <f t="shared" si="9"/>
        <v>0</v>
      </c>
      <c r="I112" s="325"/>
      <c r="J112" s="610"/>
      <c r="K112" s="488"/>
      <c r="L112" s="2"/>
    </row>
    <row r="113" spans="1:12" s="1" customFormat="1" ht="15" customHeight="1" x14ac:dyDescent="0.2">
      <c r="A113" s="431"/>
      <c r="B113" s="426"/>
      <c r="C113" s="434"/>
      <c r="D113" s="518"/>
      <c r="E113" s="452"/>
      <c r="F113" s="434"/>
      <c r="G113" s="431"/>
      <c r="H113" s="273">
        <f t="shared" si="9"/>
        <v>0</v>
      </c>
      <c r="I113" s="325"/>
      <c r="J113" s="610"/>
      <c r="K113" s="488"/>
      <c r="L113" s="2"/>
    </row>
    <row r="114" spans="1:12" s="1" customFormat="1" ht="15" customHeight="1" x14ac:dyDescent="0.2">
      <c r="A114" s="431"/>
      <c r="B114" s="426"/>
      <c r="C114" s="434"/>
      <c r="D114" s="518"/>
      <c r="E114" s="452"/>
      <c r="F114" s="434"/>
      <c r="G114" s="431"/>
      <c r="H114" s="273">
        <f t="shared" si="9"/>
        <v>0</v>
      </c>
      <c r="I114" s="325"/>
      <c r="J114" s="610"/>
      <c r="K114" s="488"/>
      <c r="L114" s="2"/>
    </row>
    <row r="115" spans="1:12" s="1" customFormat="1" ht="15" customHeight="1" x14ac:dyDescent="0.2">
      <c r="A115" s="431"/>
      <c r="B115" s="426"/>
      <c r="C115" s="434"/>
      <c r="D115" s="519"/>
      <c r="E115" s="453"/>
      <c r="F115" s="435"/>
      <c r="G115" s="432"/>
      <c r="H115" s="273">
        <f t="shared" si="9"/>
        <v>0</v>
      </c>
      <c r="I115" s="325"/>
      <c r="J115" s="611"/>
      <c r="K115" s="489"/>
      <c r="L115" s="311">
        <f>SUM(J98:J115)</f>
        <v>0</v>
      </c>
    </row>
    <row r="116" spans="1:12" ht="31.5" customHeight="1" x14ac:dyDescent="0.2">
      <c r="A116" s="448" t="s">
        <v>332</v>
      </c>
      <c r="B116" s="437">
        <v>210</v>
      </c>
      <c r="C116" s="438" t="s">
        <v>221</v>
      </c>
      <c r="D116" s="317" t="s">
        <v>222</v>
      </c>
      <c r="E116" s="511">
        <v>90</v>
      </c>
      <c r="F116" s="60" t="s">
        <v>223</v>
      </c>
      <c r="G116" s="61" t="s">
        <v>180</v>
      </c>
      <c r="H116" s="268">
        <v>10</v>
      </c>
      <c r="I116" s="325"/>
      <c r="J116" s="603">
        <f>MEDIAN(H116*I116+H117*I117,80,0)</f>
        <v>0</v>
      </c>
      <c r="K116" s="35" t="s">
        <v>432</v>
      </c>
    </row>
    <row r="117" spans="1:12" ht="24" customHeight="1" x14ac:dyDescent="0.2">
      <c r="A117" s="448"/>
      <c r="B117" s="437"/>
      <c r="C117" s="438"/>
      <c r="D117" s="317" t="s">
        <v>183</v>
      </c>
      <c r="E117" s="513"/>
      <c r="F117" s="316" t="s">
        <v>184</v>
      </c>
      <c r="G117" s="316" t="s">
        <v>177</v>
      </c>
      <c r="H117" s="54">
        <v>12</v>
      </c>
      <c r="I117" s="325"/>
      <c r="J117" s="604"/>
      <c r="K117" s="35" t="s">
        <v>431</v>
      </c>
    </row>
    <row r="118" spans="1:12" ht="32.25" customHeight="1" x14ac:dyDescent="0.2">
      <c r="A118" s="448"/>
      <c r="B118" s="437"/>
      <c r="C118" s="316" t="s">
        <v>226</v>
      </c>
      <c r="D118" s="317" t="s">
        <v>227</v>
      </c>
      <c r="E118" s="316">
        <v>30</v>
      </c>
      <c r="F118" s="316" t="s">
        <v>425</v>
      </c>
      <c r="G118" s="316" t="s">
        <v>177</v>
      </c>
      <c r="H118" s="54">
        <v>8</v>
      </c>
      <c r="I118" s="263"/>
      <c r="J118" s="331">
        <f>MEDIAN(H118*I118,30,0)</f>
        <v>0</v>
      </c>
      <c r="K118" s="35" t="s">
        <v>426</v>
      </c>
    </row>
    <row r="119" spans="1:12" ht="32.25" customHeight="1" x14ac:dyDescent="0.2">
      <c r="A119" s="448"/>
      <c r="B119" s="437"/>
      <c r="C119" s="316" t="s">
        <v>195</v>
      </c>
      <c r="D119" s="317" t="s">
        <v>195</v>
      </c>
      <c r="E119" s="316">
        <v>30</v>
      </c>
      <c r="F119" s="316" t="s">
        <v>230</v>
      </c>
      <c r="G119" s="316" t="s">
        <v>336</v>
      </c>
      <c r="H119" s="54">
        <v>12</v>
      </c>
      <c r="I119" s="325"/>
      <c r="J119" s="331">
        <f>MEDIAN(H119*I119,30,0)</f>
        <v>0</v>
      </c>
      <c r="K119" s="35" t="s">
        <v>231</v>
      </c>
      <c r="L119" s="63">
        <f>SUM(J116:J119)</f>
        <v>0</v>
      </c>
    </row>
    <row r="120" spans="1:12" ht="17.25" customHeight="1" x14ac:dyDescent="0.2">
      <c r="A120" s="448"/>
      <c r="B120" s="437"/>
      <c r="C120" s="438" t="s">
        <v>199</v>
      </c>
      <c r="D120" s="517" t="s">
        <v>232</v>
      </c>
      <c r="E120" s="511">
        <v>10</v>
      </c>
      <c r="F120" s="511" t="s">
        <v>514</v>
      </c>
      <c r="G120" s="316" t="s">
        <v>402</v>
      </c>
      <c r="H120" s="267">
        <f t="shared" ref="H120:H125" si="10">IF(I120&gt;=5,10,0)</f>
        <v>0</v>
      </c>
      <c r="I120" s="274"/>
      <c r="J120" s="610">
        <f>H120*5%+H121*5%+H122*10%+H123*10%+H124*20%+H125*50%</f>
        <v>0</v>
      </c>
      <c r="K120" s="448" t="s">
        <v>473</v>
      </c>
    </row>
    <row r="121" spans="1:12" ht="16.5" x14ac:dyDescent="0.2">
      <c r="A121" s="448"/>
      <c r="B121" s="437"/>
      <c r="C121" s="438"/>
      <c r="D121" s="518"/>
      <c r="E121" s="512"/>
      <c r="F121" s="512"/>
      <c r="G121" s="316" t="s">
        <v>402</v>
      </c>
      <c r="H121" s="267">
        <f t="shared" si="10"/>
        <v>0</v>
      </c>
      <c r="I121" s="274"/>
      <c r="J121" s="610"/>
      <c r="K121" s="448"/>
    </row>
    <row r="122" spans="1:12" ht="16.5" x14ac:dyDescent="0.2">
      <c r="A122" s="448"/>
      <c r="B122" s="437"/>
      <c r="C122" s="438"/>
      <c r="D122" s="518"/>
      <c r="E122" s="512"/>
      <c r="F122" s="512"/>
      <c r="G122" s="316" t="s">
        <v>402</v>
      </c>
      <c r="H122" s="267">
        <f t="shared" si="10"/>
        <v>0</v>
      </c>
      <c r="I122" s="274"/>
      <c r="J122" s="610"/>
      <c r="K122" s="448"/>
    </row>
    <row r="123" spans="1:12" ht="16.5" x14ac:dyDescent="0.2">
      <c r="A123" s="448"/>
      <c r="B123" s="437"/>
      <c r="C123" s="438"/>
      <c r="D123" s="518"/>
      <c r="E123" s="512"/>
      <c r="F123" s="512"/>
      <c r="G123" s="316" t="s">
        <v>402</v>
      </c>
      <c r="H123" s="267">
        <f t="shared" si="10"/>
        <v>0</v>
      </c>
      <c r="I123" s="274"/>
      <c r="J123" s="610"/>
      <c r="K123" s="448"/>
    </row>
    <row r="124" spans="1:12" ht="16.5" x14ac:dyDescent="0.2">
      <c r="A124" s="448"/>
      <c r="B124" s="437"/>
      <c r="C124" s="438"/>
      <c r="D124" s="518"/>
      <c r="E124" s="512"/>
      <c r="F124" s="512"/>
      <c r="G124" s="316" t="s">
        <v>402</v>
      </c>
      <c r="H124" s="267">
        <f t="shared" si="10"/>
        <v>0</v>
      </c>
      <c r="I124" s="274"/>
      <c r="J124" s="610"/>
      <c r="K124" s="448"/>
    </row>
    <row r="125" spans="1:12" ht="16.5" customHeight="1" x14ac:dyDescent="0.2">
      <c r="A125" s="448"/>
      <c r="B125" s="437"/>
      <c r="C125" s="438"/>
      <c r="D125" s="519"/>
      <c r="E125" s="513"/>
      <c r="F125" s="513"/>
      <c r="G125" s="316" t="s">
        <v>402</v>
      </c>
      <c r="H125" s="267">
        <f t="shared" si="10"/>
        <v>0</v>
      </c>
      <c r="I125" s="274"/>
      <c r="J125" s="611"/>
      <c r="K125" s="448"/>
    </row>
    <row r="126" spans="1:12" ht="13.5" customHeight="1" x14ac:dyDescent="0.2">
      <c r="A126" s="448"/>
      <c r="B126" s="437"/>
      <c r="C126" s="438"/>
      <c r="D126" s="517" t="s">
        <v>237</v>
      </c>
      <c r="E126" s="511">
        <v>10</v>
      </c>
      <c r="F126" s="511" t="s">
        <v>513</v>
      </c>
      <c r="G126" s="316" t="s">
        <v>402</v>
      </c>
      <c r="H126" s="267">
        <f t="shared" ref="H126:H131" si="11">IF(I126&gt;=14,10,0)</f>
        <v>0</v>
      </c>
      <c r="I126" s="274"/>
      <c r="J126" s="610">
        <f>H126*5%+H127*5%+H128*10%+H129*10%+H130*20%+H131*50%</f>
        <v>0</v>
      </c>
      <c r="K126" s="430" t="s">
        <v>473</v>
      </c>
    </row>
    <row r="127" spans="1:12" ht="16.5" x14ac:dyDescent="0.2">
      <c r="A127" s="448"/>
      <c r="B127" s="437"/>
      <c r="C127" s="438"/>
      <c r="D127" s="518"/>
      <c r="E127" s="512"/>
      <c r="F127" s="512"/>
      <c r="G127" s="316" t="s">
        <v>402</v>
      </c>
      <c r="H127" s="267">
        <f t="shared" si="11"/>
        <v>0</v>
      </c>
      <c r="I127" s="274"/>
      <c r="J127" s="610"/>
      <c r="K127" s="431"/>
    </row>
    <row r="128" spans="1:12" ht="16.5" x14ac:dyDescent="0.2">
      <c r="A128" s="448"/>
      <c r="B128" s="437"/>
      <c r="C128" s="438"/>
      <c r="D128" s="518"/>
      <c r="E128" s="512"/>
      <c r="F128" s="512"/>
      <c r="G128" s="316" t="s">
        <v>402</v>
      </c>
      <c r="H128" s="267">
        <f t="shared" si="11"/>
        <v>0</v>
      </c>
      <c r="I128" s="274"/>
      <c r="J128" s="610"/>
      <c r="K128" s="431"/>
    </row>
    <row r="129" spans="1:12" ht="16.5" x14ac:dyDescent="0.2">
      <c r="A129" s="448"/>
      <c r="B129" s="437"/>
      <c r="C129" s="438"/>
      <c r="D129" s="518"/>
      <c r="E129" s="512"/>
      <c r="F129" s="512"/>
      <c r="G129" s="316" t="s">
        <v>402</v>
      </c>
      <c r="H129" s="267">
        <f t="shared" si="11"/>
        <v>0</v>
      </c>
      <c r="I129" s="274"/>
      <c r="J129" s="610"/>
      <c r="K129" s="431"/>
    </row>
    <row r="130" spans="1:12" ht="16.5" x14ac:dyDescent="0.2">
      <c r="A130" s="448"/>
      <c r="B130" s="437"/>
      <c r="C130" s="438"/>
      <c r="D130" s="518"/>
      <c r="E130" s="512"/>
      <c r="F130" s="512"/>
      <c r="G130" s="316" t="s">
        <v>402</v>
      </c>
      <c r="H130" s="267">
        <f t="shared" si="11"/>
        <v>0</v>
      </c>
      <c r="I130" s="274"/>
      <c r="J130" s="610"/>
      <c r="K130" s="431"/>
    </row>
    <row r="131" spans="1:12" ht="16.5" x14ac:dyDescent="0.2">
      <c r="A131" s="448"/>
      <c r="B131" s="437"/>
      <c r="C131" s="438"/>
      <c r="D131" s="519"/>
      <c r="E131" s="513"/>
      <c r="F131" s="513"/>
      <c r="G131" s="316" t="s">
        <v>402</v>
      </c>
      <c r="H131" s="267">
        <f t="shared" si="11"/>
        <v>0</v>
      </c>
      <c r="I131" s="274"/>
      <c r="J131" s="611"/>
      <c r="K131" s="432"/>
    </row>
    <row r="132" spans="1:12" ht="14.25" customHeight="1" x14ac:dyDescent="0.2">
      <c r="A132" s="448"/>
      <c r="B132" s="437"/>
      <c r="C132" s="438"/>
      <c r="D132" s="517" t="s">
        <v>204</v>
      </c>
      <c r="E132" s="511">
        <v>10</v>
      </c>
      <c r="F132" s="511" t="s">
        <v>534</v>
      </c>
      <c r="G132" s="316" t="s">
        <v>402</v>
      </c>
      <c r="H132" s="267">
        <f t="shared" ref="H132:H137" si="12">IF(I132&gt;=2,10,0)</f>
        <v>0</v>
      </c>
      <c r="I132" s="274"/>
      <c r="J132" s="610">
        <f>H132*5%+H133*5%+H134*10%+H135*10%+H136*20%+H137*50%</f>
        <v>0</v>
      </c>
      <c r="K132" s="430" t="s">
        <v>473</v>
      </c>
    </row>
    <row r="133" spans="1:12" ht="16.5" x14ac:dyDescent="0.2">
      <c r="A133" s="448"/>
      <c r="B133" s="437"/>
      <c r="C133" s="438"/>
      <c r="D133" s="518"/>
      <c r="E133" s="512"/>
      <c r="F133" s="512"/>
      <c r="G133" s="316" t="s">
        <v>402</v>
      </c>
      <c r="H133" s="267">
        <f t="shared" si="12"/>
        <v>0</v>
      </c>
      <c r="I133" s="274"/>
      <c r="J133" s="610"/>
      <c r="K133" s="431"/>
    </row>
    <row r="134" spans="1:12" ht="16.5" x14ac:dyDescent="0.2">
      <c r="A134" s="448"/>
      <c r="B134" s="437"/>
      <c r="C134" s="438"/>
      <c r="D134" s="518"/>
      <c r="E134" s="512"/>
      <c r="F134" s="512"/>
      <c r="G134" s="316" t="s">
        <v>402</v>
      </c>
      <c r="H134" s="267">
        <f t="shared" si="12"/>
        <v>0</v>
      </c>
      <c r="I134" s="274"/>
      <c r="J134" s="610"/>
      <c r="K134" s="431"/>
    </row>
    <row r="135" spans="1:12" ht="16.5" x14ac:dyDescent="0.2">
      <c r="A135" s="448"/>
      <c r="B135" s="437"/>
      <c r="C135" s="438"/>
      <c r="D135" s="518"/>
      <c r="E135" s="512"/>
      <c r="F135" s="512"/>
      <c r="G135" s="316" t="s">
        <v>402</v>
      </c>
      <c r="H135" s="267">
        <f t="shared" si="12"/>
        <v>0</v>
      </c>
      <c r="I135" s="274"/>
      <c r="J135" s="610"/>
      <c r="K135" s="431"/>
    </row>
    <row r="136" spans="1:12" ht="16.5" x14ac:dyDescent="0.2">
      <c r="A136" s="448"/>
      <c r="B136" s="437"/>
      <c r="C136" s="438"/>
      <c r="D136" s="518"/>
      <c r="E136" s="512"/>
      <c r="F136" s="512"/>
      <c r="G136" s="316" t="s">
        <v>402</v>
      </c>
      <c r="H136" s="267">
        <f t="shared" si="12"/>
        <v>0</v>
      </c>
      <c r="I136" s="274"/>
      <c r="J136" s="610"/>
      <c r="K136" s="431"/>
    </row>
    <row r="137" spans="1:12" ht="16.5" x14ac:dyDescent="0.2">
      <c r="A137" s="448"/>
      <c r="B137" s="437"/>
      <c r="C137" s="438"/>
      <c r="D137" s="519"/>
      <c r="E137" s="513"/>
      <c r="F137" s="513"/>
      <c r="G137" s="316" t="s">
        <v>402</v>
      </c>
      <c r="H137" s="267">
        <f t="shared" si="12"/>
        <v>0</v>
      </c>
      <c r="I137" s="274"/>
      <c r="J137" s="611"/>
      <c r="K137" s="432"/>
    </row>
    <row r="138" spans="1:12" ht="17.25" customHeight="1" x14ac:dyDescent="0.2">
      <c r="A138" s="448"/>
      <c r="B138" s="437"/>
      <c r="C138" s="438"/>
      <c r="D138" s="517" t="s">
        <v>240</v>
      </c>
      <c r="E138" s="612">
        <v>20</v>
      </c>
      <c r="F138" s="511" t="s">
        <v>535</v>
      </c>
      <c r="G138" s="316" t="s">
        <v>402</v>
      </c>
      <c r="H138" s="267">
        <f t="shared" ref="H138:H149" si="13">IF(I138&gt;=1,20,0)</f>
        <v>0</v>
      </c>
      <c r="I138" s="274"/>
      <c r="J138" s="610">
        <f>H138*5%+H139*5%+H140*10%+H141*10%+H142*20%+H143*50%</f>
        <v>0</v>
      </c>
      <c r="K138" s="430" t="s">
        <v>473</v>
      </c>
    </row>
    <row r="139" spans="1:12" ht="16.5" x14ac:dyDescent="0.2">
      <c r="A139" s="448"/>
      <c r="B139" s="437"/>
      <c r="C139" s="438"/>
      <c r="D139" s="518"/>
      <c r="E139" s="613"/>
      <c r="F139" s="512"/>
      <c r="G139" s="316" t="s">
        <v>402</v>
      </c>
      <c r="H139" s="267">
        <f t="shared" si="13"/>
        <v>0</v>
      </c>
      <c r="I139" s="274"/>
      <c r="J139" s="610"/>
      <c r="K139" s="431"/>
    </row>
    <row r="140" spans="1:12" ht="16.5" x14ac:dyDescent="0.2">
      <c r="A140" s="448"/>
      <c r="B140" s="437"/>
      <c r="C140" s="438"/>
      <c r="D140" s="518"/>
      <c r="E140" s="613"/>
      <c r="F140" s="512"/>
      <c r="G140" s="316" t="s">
        <v>402</v>
      </c>
      <c r="H140" s="267">
        <f t="shared" si="13"/>
        <v>0</v>
      </c>
      <c r="I140" s="274"/>
      <c r="J140" s="610"/>
      <c r="K140" s="431"/>
    </row>
    <row r="141" spans="1:12" ht="16.5" x14ac:dyDescent="0.2">
      <c r="A141" s="448"/>
      <c r="B141" s="437"/>
      <c r="C141" s="438"/>
      <c r="D141" s="518"/>
      <c r="E141" s="613"/>
      <c r="F141" s="512"/>
      <c r="G141" s="316" t="s">
        <v>402</v>
      </c>
      <c r="H141" s="267">
        <f t="shared" si="13"/>
        <v>0</v>
      </c>
      <c r="I141" s="274"/>
      <c r="J141" s="610"/>
      <c r="K141" s="431"/>
    </row>
    <row r="142" spans="1:12" ht="16.5" x14ac:dyDescent="0.2">
      <c r="A142" s="448"/>
      <c r="B142" s="437"/>
      <c r="C142" s="438"/>
      <c r="D142" s="518"/>
      <c r="E142" s="613"/>
      <c r="F142" s="512"/>
      <c r="G142" s="316" t="s">
        <v>402</v>
      </c>
      <c r="H142" s="267">
        <f t="shared" si="13"/>
        <v>0</v>
      </c>
      <c r="I142" s="274"/>
      <c r="J142" s="610"/>
      <c r="K142" s="431"/>
    </row>
    <row r="143" spans="1:12" ht="16.5" x14ac:dyDescent="0.2">
      <c r="A143" s="448"/>
      <c r="B143" s="437"/>
      <c r="C143" s="438"/>
      <c r="D143" s="519"/>
      <c r="E143" s="614"/>
      <c r="F143" s="513"/>
      <c r="G143" s="316" t="s">
        <v>402</v>
      </c>
      <c r="H143" s="267">
        <f t="shared" si="13"/>
        <v>0</v>
      </c>
      <c r="I143" s="274"/>
      <c r="J143" s="611"/>
      <c r="K143" s="432"/>
    </row>
    <row r="144" spans="1:12" ht="15.75" customHeight="1" x14ac:dyDescent="0.2">
      <c r="A144" s="448"/>
      <c r="B144" s="437"/>
      <c r="C144" s="438"/>
      <c r="D144" s="444" t="s">
        <v>242</v>
      </c>
      <c r="E144" s="536">
        <v>10</v>
      </c>
      <c r="F144" s="511" t="s">
        <v>537</v>
      </c>
      <c r="G144" s="316" t="s">
        <v>402</v>
      </c>
      <c r="H144" s="267">
        <f t="shared" si="13"/>
        <v>0</v>
      </c>
      <c r="I144" s="274"/>
      <c r="J144" s="610">
        <f>H144*5%+H145*5%+H146*10%+H147*10%+H148*20%+H149*50%</f>
        <v>0</v>
      </c>
      <c r="K144" s="430" t="s">
        <v>473</v>
      </c>
      <c r="L144" s="104"/>
    </row>
    <row r="145" spans="1:12" ht="15.75" customHeight="1" x14ac:dyDescent="0.2">
      <c r="A145" s="448"/>
      <c r="B145" s="437"/>
      <c r="C145" s="438"/>
      <c r="D145" s="444"/>
      <c r="E145" s="536"/>
      <c r="F145" s="512"/>
      <c r="G145" s="316" t="s">
        <v>402</v>
      </c>
      <c r="H145" s="267">
        <f t="shared" si="13"/>
        <v>0</v>
      </c>
      <c r="I145" s="274"/>
      <c r="J145" s="610"/>
      <c r="K145" s="431"/>
    </row>
    <row r="146" spans="1:12" ht="16.5" x14ac:dyDescent="0.2">
      <c r="A146" s="448"/>
      <c r="B146" s="437"/>
      <c r="C146" s="438"/>
      <c r="D146" s="444"/>
      <c r="E146" s="536"/>
      <c r="F146" s="512"/>
      <c r="G146" s="316" t="s">
        <v>402</v>
      </c>
      <c r="H146" s="267">
        <f t="shared" si="13"/>
        <v>0</v>
      </c>
      <c r="I146" s="274"/>
      <c r="J146" s="610"/>
      <c r="K146" s="431"/>
    </row>
    <row r="147" spans="1:12" ht="16.5" x14ac:dyDescent="0.2">
      <c r="A147" s="448"/>
      <c r="B147" s="437"/>
      <c r="C147" s="438"/>
      <c r="D147" s="444"/>
      <c r="E147" s="536"/>
      <c r="F147" s="512"/>
      <c r="G147" s="316" t="s">
        <v>402</v>
      </c>
      <c r="H147" s="267">
        <f t="shared" si="13"/>
        <v>0</v>
      </c>
      <c r="I147" s="274"/>
      <c r="J147" s="610"/>
      <c r="K147" s="431"/>
    </row>
    <row r="148" spans="1:12" ht="16.5" x14ac:dyDescent="0.2">
      <c r="A148" s="448"/>
      <c r="B148" s="437"/>
      <c r="C148" s="438"/>
      <c r="D148" s="444"/>
      <c r="E148" s="536"/>
      <c r="F148" s="512"/>
      <c r="G148" s="316" t="s">
        <v>402</v>
      </c>
      <c r="H148" s="267">
        <f t="shared" si="13"/>
        <v>0</v>
      </c>
      <c r="I148" s="274"/>
      <c r="J148" s="610"/>
      <c r="K148" s="431"/>
    </row>
    <row r="149" spans="1:12" ht="16.5" x14ac:dyDescent="0.2">
      <c r="A149" s="448"/>
      <c r="B149" s="437"/>
      <c r="C149" s="438"/>
      <c r="D149" s="444"/>
      <c r="E149" s="536"/>
      <c r="F149" s="513"/>
      <c r="G149" s="316" t="s">
        <v>402</v>
      </c>
      <c r="H149" s="266">
        <f t="shared" si="13"/>
        <v>0</v>
      </c>
      <c r="I149" s="307"/>
      <c r="J149" s="611"/>
      <c r="K149" s="432"/>
      <c r="L149" s="255">
        <f>SUM(J120:J149)</f>
        <v>0</v>
      </c>
    </row>
    <row r="150" spans="1:12" ht="18.75" customHeight="1" x14ac:dyDescent="0.2">
      <c r="J150" s="40">
        <f>SUM(J4:J149)</f>
        <v>170</v>
      </c>
      <c r="L150" s="245">
        <f>L149+L119+L115+L97+L91+L55+L44+L29+L18</f>
        <v>170</v>
      </c>
    </row>
  </sheetData>
  <autoFilter ref="A3:L3"/>
  <mergeCells count="184">
    <mergeCell ref="C19:C29"/>
    <mergeCell ref="A1:G1"/>
    <mergeCell ref="I1:J1"/>
    <mergeCell ref="A2:A3"/>
    <mergeCell ref="B2:B3"/>
    <mergeCell ref="C2:C3"/>
    <mergeCell ref="D2:D3"/>
    <mergeCell ref="E2:E3"/>
    <mergeCell ref="F2:F3"/>
    <mergeCell ref="G2:H2"/>
    <mergeCell ref="I2:I3"/>
    <mergeCell ref="D26:D29"/>
    <mergeCell ref="E26:E29"/>
    <mergeCell ref="F26:F29"/>
    <mergeCell ref="J26:J29"/>
    <mergeCell ref="J12:J14"/>
    <mergeCell ref="K12:K14"/>
    <mergeCell ref="J2:J3"/>
    <mergeCell ref="K2:K3"/>
    <mergeCell ref="C4:C10"/>
    <mergeCell ref="D4:D8"/>
    <mergeCell ref="E4:E8"/>
    <mergeCell ref="F4:F8"/>
    <mergeCell ref="I4:I8"/>
    <mergeCell ref="J4:J8"/>
    <mergeCell ref="K26:K29"/>
    <mergeCell ref="K15:K18"/>
    <mergeCell ref="A19:A29"/>
    <mergeCell ref="B19:B29"/>
    <mergeCell ref="D19:D25"/>
    <mergeCell ref="E19:E25"/>
    <mergeCell ref="F19:F25"/>
    <mergeCell ref="J19:J25"/>
    <mergeCell ref="K19:K22"/>
    <mergeCell ref="K23:K25"/>
    <mergeCell ref="C15:C18"/>
    <mergeCell ref="D15:D18"/>
    <mergeCell ref="E15:E18"/>
    <mergeCell ref="F15:F18"/>
    <mergeCell ref="I15:I18"/>
    <mergeCell ref="J15:J18"/>
    <mergeCell ref="A4:A18"/>
    <mergeCell ref="B4:B18"/>
    <mergeCell ref="K4:K8"/>
    <mergeCell ref="C12:C14"/>
    <mergeCell ref="D12:D14"/>
    <mergeCell ref="E12:E14"/>
    <mergeCell ref="F12:F14"/>
    <mergeCell ref="I12:I14"/>
    <mergeCell ref="J30:J34"/>
    <mergeCell ref="K30:K31"/>
    <mergeCell ref="K32:K34"/>
    <mergeCell ref="C35:C36"/>
    <mergeCell ref="D35:D36"/>
    <mergeCell ref="E35:E36"/>
    <mergeCell ref="F35:F36"/>
    <mergeCell ref="J35:J36"/>
    <mergeCell ref="K35:K36"/>
    <mergeCell ref="C30:C34"/>
    <mergeCell ref="D30:D34"/>
    <mergeCell ref="E30:E34"/>
    <mergeCell ref="F30:F34"/>
    <mergeCell ref="A45:A55"/>
    <mergeCell ref="B45:B55"/>
    <mergeCell ref="C45:C50"/>
    <mergeCell ref="D45:D50"/>
    <mergeCell ref="E45:E50"/>
    <mergeCell ref="F45:F50"/>
    <mergeCell ref="I37:I41"/>
    <mergeCell ref="J37:J41"/>
    <mergeCell ref="K37:K41"/>
    <mergeCell ref="C42:C44"/>
    <mergeCell ref="D42:D44"/>
    <mergeCell ref="E42:E44"/>
    <mergeCell ref="F42:F44"/>
    <mergeCell ref="K42:K44"/>
    <mergeCell ref="J43:J44"/>
    <mergeCell ref="A30:A44"/>
    <mergeCell ref="B30:B44"/>
    <mergeCell ref="C37:C41"/>
    <mergeCell ref="D37:D41"/>
    <mergeCell ref="E37:E41"/>
    <mergeCell ref="F37:F41"/>
    <mergeCell ref="G45:G50"/>
    <mergeCell ref="J45:J50"/>
    <mergeCell ref="K45:K50"/>
    <mergeCell ref="C51:C52"/>
    <mergeCell ref="D51:D52"/>
    <mergeCell ref="E51:E52"/>
    <mergeCell ref="F51:F52"/>
    <mergeCell ref="J51:J52"/>
    <mergeCell ref="K51:K52"/>
    <mergeCell ref="A56:A91"/>
    <mergeCell ref="B56:B91"/>
    <mergeCell ref="C56:C61"/>
    <mergeCell ref="D56:D61"/>
    <mergeCell ref="E56:E61"/>
    <mergeCell ref="F56:F61"/>
    <mergeCell ref="E68:E73"/>
    <mergeCell ref="F68:F73"/>
    <mergeCell ref="F80:F85"/>
    <mergeCell ref="C74:C91"/>
    <mergeCell ref="D74:D79"/>
    <mergeCell ref="E74:E79"/>
    <mergeCell ref="F74:F79"/>
    <mergeCell ref="J74:J79"/>
    <mergeCell ref="K74:K79"/>
    <mergeCell ref="D80:D85"/>
    <mergeCell ref="E80:E85"/>
    <mergeCell ref="G56:G61"/>
    <mergeCell ref="J56:J61"/>
    <mergeCell ref="K56:K61"/>
    <mergeCell ref="C62:C73"/>
    <mergeCell ref="D62:D67"/>
    <mergeCell ref="E62:E67"/>
    <mergeCell ref="F62:F67"/>
    <mergeCell ref="J62:J67"/>
    <mergeCell ref="K62:K67"/>
    <mergeCell ref="D68:D73"/>
    <mergeCell ref="J80:J85"/>
    <mergeCell ref="K80:K85"/>
    <mergeCell ref="D86:D91"/>
    <mergeCell ref="E86:E91"/>
    <mergeCell ref="F86:F91"/>
    <mergeCell ref="J86:J91"/>
    <mergeCell ref="K86:K91"/>
    <mergeCell ref="J68:J73"/>
    <mergeCell ref="K68:K73"/>
    <mergeCell ref="A92:A115"/>
    <mergeCell ref="B92:B115"/>
    <mergeCell ref="C92:C93"/>
    <mergeCell ref="J92:J93"/>
    <mergeCell ref="C94:C95"/>
    <mergeCell ref="C96:C97"/>
    <mergeCell ref="C98:C115"/>
    <mergeCell ref="D98:D103"/>
    <mergeCell ref="E98:E103"/>
    <mergeCell ref="F98:F103"/>
    <mergeCell ref="D110:D115"/>
    <mergeCell ref="E110:E115"/>
    <mergeCell ref="F110:F115"/>
    <mergeCell ref="G110:G115"/>
    <mergeCell ref="J110:J115"/>
    <mergeCell ref="K110:K115"/>
    <mergeCell ref="G98:G103"/>
    <mergeCell ref="J98:J103"/>
    <mergeCell ref="K98:K103"/>
    <mergeCell ref="D104:D109"/>
    <mergeCell ref="E104:E109"/>
    <mergeCell ref="F104:F109"/>
    <mergeCell ref="G104:G109"/>
    <mergeCell ref="J104:J109"/>
    <mergeCell ref="K104:K109"/>
    <mergeCell ref="A116:A149"/>
    <mergeCell ref="B116:B149"/>
    <mergeCell ref="C116:C117"/>
    <mergeCell ref="J116:J117"/>
    <mergeCell ref="C120:C149"/>
    <mergeCell ref="D120:D125"/>
    <mergeCell ref="E120:E125"/>
    <mergeCell ref="F120:F125"/>
    <mergeCell ref="J120:J125"/>
    <mergeCell ref="D132:D137"/>
    <mergeCell ref="D144:D149"/>
    <mergeCell ref="E144:E149"/>
    <mergeCell ref="F144:F149"/>
    <mergeCell ref="J144:J149"/>
    <mergeCell ref="K144:K149"/>
    <mergeCell ref="E116:E117"/>
    <mergeCell ref="E132:E137"/>
    <mergeCell ref="F132:F137"/>
    <mergeCell ref="J132:J137"/>
    <mergeCell ref="K132:K137"/>
    <mergeCell ref="D138:D143"/>
    <mergeCell ref="E138:E143"/>
    <mergeCell ref="F138:F143"/>
    <mergeCell ref="J138:J143"/>
    <mergeCell ref="K138:K143"/>
    <mergeCell ref="K120:K125"/>
    <mergeCell ref="D126:D131"/>
    <mergeCell ref="E126:E131"/>
    <mergeCell ref="F126:F131"/>
    <mergeCell ref="J126:J131"/>
    <mergeCell ref="K126:K131"/>
  </mergeCells>
  <phoneticPr fontId="23" type="noConversion"/>
  <dataValidations count="4">
    <dataValidation type="list" allowBlank="1" showInputMessage="1" showErrorMessage="1" sqref="I12:I14">
      <formula1>"杭州经纪人证,全国协理证,全国经纪人证"</formula1>
    </dataValidation>
    <dataValidation type="list" allowBlank="1" showInputMessage="1" showErrorMessage="1" sqref="I4:I8">
      <formula1>"高中,中专,大专非统招,大专统招,本科非统招,本科统招,本科以上非统招,本科以上统招"</formula1>
    </dataValidation>
    <dataValidation type="list" allowBlank="1" showInputMessage="1" showErrorMessage="1" sqref="I10">
      <formula1>"退伍军人,党员,退伍军人，党员"</formula1>
    </dataValidation>
    <dataValidation type="list" allowBlank="1" showInputMessage="1" showErrorMessage="1" sqref="I9">
      <formula1>"特长生"</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abSelected="1" topLeftCell="B34" zoomScale="93" zoomScaleNormal="93" workbookViewId="0">
      <selection activeCell="F46" sqref="F46:F47"/>
    </sheetView>
  </sheetViews>
  <sheetFormatPr defaultColWidth="9" defaultRowHeight="12.75" x14ac:dyDescent="0.2"/>
  <cols>
    <col min="1" max="1" width="9.375" style="2" customWidth="1"/>
    <col min="2" max="2" width="3.625" style="2" customWidth="1"/>
    <col min="3" max="3" width="11.75" style="2" customWidth="1"/>
    <col min="4" max="4" width="12.125" style="2" customWidth="1"/>
    <col min="5" max="5" width="6" style="2" customWidth="1"/>
    <col min="6" max="6" width="26.5" style="2" customWidth="1"/>
    <col min="7" max="7" width="23" style="2" customWidth="1"/>
    <col min="8" max="8" width="7.5" style="2" customWidth="1"/>
    <col min="9" max="9" width="30.625" style="4" customWidth="1"/>
    <col min="10" max="10" width="7.5" style="2" customWidth="1"/>
    <col min="11" max="16384" width="9" style="2"/>
  </cols>
  <sheetData>
    <row r="1" spans="1:10" ht="40.5" customHeight="1" x14ac:dyDescent="0.2">
      <c r="A1" s="643" t="s">
        <v>608</v>
      </c>
      <c r="B1" s="643"/>
      <c r="C1" s="643"/>
      <c r="D1" s="643"/>
      <c r="E1" s="643"/>
      <c r="F1" s="643"/>
      <c r="G1" s="643"/>
      <c r="H1" s="643"/>
      <c r="I1" s="643"/>
    </row>
    <row r="2" spans="1:10" ht="32.25" customHeight="1" x14ac:dyDescent="0.2">
      <c r="A2" s="647" t="s">
        <v>1</v>
      </c>
      <c r="B2" s="649" t="s">
        <v>604</v>
      </c>
      <c r="C2" s="647" t="s">
        <v>3</v>
      </c>
      <c r="D2" s="647" t="s">
        <v>4</v>
      </c>
      <c r="E2" s="648" t="s">
        <v>576</v>
      </c>
      <c r="F2" s="647" t="s">
        <v>6</v>
      </c>
      <c r="G2" s="647" t="s">
        <v>579</v>
      </c>
      <c r="H2" s="647"/>
      <c r="I2" s="645" t="s">
        <v>609</v>
      </c>
      <c r="J2" s="627" t="s">
        <v>545</v>
      </c>
    </row>
    <row r="3" spans="1:10" ht="51" customHeight="1" x14ac:dyDescent="0.2">
      <c r="A3" s="647"/>
      <c r="B3" s="650"/>
      <c r="C3" s="647"/>
      <c r="D3" s="647"/>
      <c r="E3" s="648"/>
      <c r="F3" s="647"/>
      <c r="G3" s="344" t="s">
        <v>11</v>
      </c>
      <c r="H3" s="345" t="s">
        <v>12</v>
      </c>
      <c r="I3" s="646"/>
      <c r="J3" s="628"/>
    </row>
    <row r="4" spans="1:10" ht="19.5" customHeight="1" x14ac:dyDescent="0.2">
      <c r="A4" s="426" t="s">
        <v>543</v>
      </c>
      <c r="B4" s="433">
        <v>125</v>
      </c>
      <c r="C4" s="426" t="s">
        <v>373</v>
      </c>
      <c r="D4" s="426" t="s">
        <v>15</v>
      </c>
      <c r="E4" s="437">
        <v>30</v>
      </c>
      <c r="F4" s="426" t="s">
        <v>568</v>
      </c>
      <c r="G4" s="332" t="s">
        <v>17</v>
      </c>
      <c r="H4" s="264">
        <v>10</v>
      </c>
      <c r="I4" s="430" t="s">
        <v>38</v>
      </c>
      <c r="J4" s="629" t="s">
        <v>546</v>
      </c>
    </row>
    <row r="5" spans="1:10" ht="19.5" customHeight="1" x14ac:dyDescent="0.2">
      <c r="A5" s="426"/>
      <c r="B5" s="434"/>
      <c r="C5" s="426"/>
      <c r="D5" s="426"/>
      <c r="E5" s="437"/>
      <c r="F5" s="426"/>
      <c r="G5" s="332" t="s">
        <v>20</v>
      </c>
      <c r="H5" s="264">
        <v>15</v>
      </c>
      <c r="I5" s="431"/>
      <c r="J5" s="630"/>
    </row>
    <row r="6" spans="1:10" ht="19.5" customHeight="1" x14ac:dyDescent="0.2">
      <c r="A6" s="426"/>
      <c r="B6" s="434"/>
      <c r="C6" s="426"/>
      <c r="D6" s="426"/>
      <c r="E6" s="437"/>
      <c r="F6" s="426"/>
      <c r="G6" s="332" t="s">
        <v>22</v>
      </c>
      <c r="H6" s="264">
        <v>20</v>
      </c>
      <c r="I6" s="431"/>
      <c r="J6" s="630"/>
    </row>
    <row r="7" spans="1:10" ht="19.5" customHeight="1" x14ac:dyDescent="0.2">
      <c r="A7" s="426"/>
      <c r="B7" s="434"/>
      <c r="C7" s="426"/>
      <c r="D7" s="426"/>
      <c r="E7" s="437"/>
      <c r="F7" s="426"/>
      <c r="G7" s="332" t="s">
        <v>249</v>
      </c>
      <c r="H7" s="264">
        <v>25</v>
      </c>
      <c r="I7" s="431"/>
      <c r="J7" s="630"/>
    </row>
    <row r="8" spans="1:10" ht="19.5" customHeight="1" x14ac:dyDescent="0.2">
      <c r="A8" s="426"/>
      <c r="B8" s="434"/>
      <c r="C8" s="426"/>
      <c r="D8" s="426"/>
      <c r="E8" s="437"/>
      <c r="F8" s="426"/>
      <c r="G8" s="332" t="s">
        <v>250</v>
      </c>
      <c r="H8" s="264">
        <v>30</v>
      </c>
      <c r="I8" s="431"/>
      <c r="J8" s="630"/>
    </row>
    <row r="9" spans="1:10" ht="34.5" customHeight="1" x14ac:dyDescent="0.2">
      <c r="A9" s="426"/>
      <c r="B9" s="434"/>
      <c r="C9" s="426"/>
      <c r="D9" s="332" t="s">
        <v>28</v>
      </c>
      <c r="E9" s="336">
        <v>5</v>
      </c>
      <c r="F9" s="332" t="s">
        <v>569</v>
      </c>
      <c r="G9" s="332" t="s">
        <v>531</v>
      </c>
      <c r="H9" s="264">
        <v>5</v>
      </c>
      <c r="I9" s="340" t="s">
        <v>38</v>
      </c>
      <c r="J9" s="630"/>
    </row>
    <row r="10" spans="1:10" ht="19.5" customHeight="1" x14ac:dyDescent="0.2">
      <c r="A10" s="426"/>
      <c r="B10" s="434"/>
      <c r="C10" s="426"/>
      <c r="D10" s="332" t="s">
        <v>32</v>
      </c>
      <c r="E10" s="336">
        <v>10</v>
      </c>
      <c r="F10" s="332" t="s">
        <v>566</v>
      </c>
      <c r="G10" s="332" t="s">
        <v>33</v>
      </c>
      <c r="H10" s="264">
        <v>5</v>
      </c>
      <c r="I10" s="340" t="s">
        <v>38</v>
      </c>
      <c r="J10" s="630"/>
    </row>
    <row r="11" spans="1:10" ht="21.75" customHeight="1" x14ac:dyDescent="0.2">
      <c r="A11" s="426"/>
      <c r="B11" s="434"/>
      <c r="C11" s="332" t="s">
        <v>458</v>
      </c>
      <c r="D11" s="339" t="s">
        <v>458</v>
      </c>
      <c r="E11" s="340">
        <v>50</v>
      </c>
      <c r="F11" s="332" t="s">
        <v>641</v>
      </c>
      <c r="G11" s="340" t="s">
        <v>642</v>
      </c>
      <c r="H11" s="264">
        <v>1</v>
      </c>
      <c r="I11" s="348" t="s">
        <v>38</v>
      </c>
      <c r="J11" s="630"/>
    </row>
    <row r="12" spans="1:10" ht="19.5" customHeight="1" x14ac:dyDescent="0.2">
      <c r="A12" s="426"/>
      <c r="B12" s="434"/>
      <c r="C12" s="426" t="s">
        <v>521</v>
      </c>
      <c r="D12" s="426" t="s">
        <v>41</v>
      </c>
      <c r="E12" s="448">
        <v>10</v>
      </c>
      <c r="F12" s="426" t="s">
        <v>567</v>
      </c>
      <c r="G12" s="332" t="s">
        <v>253</v>
      </c>
      <c r="H12" s="264">
        <v>5</v>
      </c>
      <c r="I12" s="430" t="s">
        <v>38</v>
      </c>
      <c r="J12" s="630"/>
    </row>
    <row r="13" spans="1:10" ht="19.5" customHeight="1" x14ac:dyDescent="0.2">
      <c r="A13" s="426"/>
      <c r="B13" s="434"/>
      <c r="C13" s="426"/>
      <c r="D13" s="426"/>
      <c r="E13" s="448"/>
      <c r="F13" s="426"/>
      <c r="G13" s="332" t="s">
        <v>254</v>
      </c>
      <c r="H13" s="264">
        <v>8</v>
      </c>
      <c r="I13" s="431"/>
      <c r="J13" s="630"/>
    </row>
    <row r="14" spans="1:10" ht="19.5" customHeight="1" x14ac:dyDescent="0.2">
      <c r="A14" s="426"/>
      <c r="B14" s="434"/>
      <c r="C14" s="426"/>
      <c r="D14" s="426"/>
      <c r="E14" s="448"/>
      <c r="F14" s="426"/>
      <c r="G14" s="332" t="s">
        <v>255</v>
      </c>
      <c r="H14" s="264">
        <v>10</v>
      </c>
      <c r="I14" s="432"/>
      <c r="J14" s="631"/>
    </row>
    <row r="15" spans="1:10" ht="19.5" customHeight="1" x14ac:dyDescent="0.2">
      <c r="A15" s="426"/>
      <c r="B15" s="434"/>
      <c r="C15" s="426" t="s">
        <v>46</v>
      </c>
      <c r="D15" s="426" t="s">
        <v>47</v>
      </c>
      <c r="E15" s="448">
        <v>20</v>
      </c>
      <c r="F15" s="426" t="s">
        <v>578</v>
      </c>
      <c r="G15" s="332" t="s">
        <v>256</v>
      </c>
      <c r="H15" s="44">
        <v>20</v>
      </c>
      <c r="I15" s="430" t="s">
        <v>38</v>
      </c>
      <c r="J15" s="632" t="s">
        <v>547</v>
      </c>
    </row>
    <row r="16" spans="1:10" ht="19.5" customHeight="1" x14ac:dyDescent="0.2">
      <c r="A16" s="426"/>
      <c r="B16" s="434"/>
      <c r="C16" s="426"/>
      <c r="D16" s="426"/>
      <c r="E16" s="448"/>
      <c r="F16" s="426"/>
      <c r="G16" s="332" t="s">
        <v>257</v>
      </c>
      <c r="H16" s="44">
        <v>10</v>
      </c>
      <c r="I16" s="431"/>
      <c r="J16" s="633"/>
    </row>
    <row r="17" spans="1:10" ht="19.5" customHeight="1" x14ac:dyDescent="0.2">
      <c r="A17" s="426"/>
      <c r="B17" s="434"/>
      <c r="C17" s="426"/>
      <c r="D17" s="426"/>
      <c r="E17" s="448"/>
      <c r="F17" s="426"/>
      <c r="G17" s="332" t="s">
        <v>53</v>
      </c>
      <c r="H17" s="44">
        <v>0</v>
      </c>
      <c r="I17" s="431"/>
      <c r="J17" s="633"/>
    </row>
    <row r="18" spans="1:10" ht="19.5" customHeight="1" x14ac:dyDescent="0.2">
      <c r="A18" s="426"/>
      <c r="B18" s="435"/>
      <c r="C18" s="426"/>
      <c r="D18" s="426"/>
      <c r="E18" s="448"/>
      <c r="F18" s="426"/>
      <c r="G18" s="332" t="s">
        <v>55</v>
      </c>
      <c r="H18" s="44">
        <v>-10</v>
      </c>
      <c r="I18" s="432"/>
      <c r="J18" s="634"/>
    </row>
    <row r="19" spans="1:10" ht="19.5" customHeight="1" x14ac:dyDescent="0.2">
      <c r="A19" s="454" t="s">
        <v>542</v>
      </c>
      <c r="B19" s="426" t="s">
        <v>540</v>
      </c>
      <c r="C19" s="433" t="s">
        <v>538</v>
      </c>
      <c r="D19" s="439" t="s">
        <v>59</v>
      </c>
      <c r="E19" s="451">
        <v>40</v>
      </c>
      <c r="F19" s="426" t="s">
        <v>565</v>
      </c>
      <c r="G19" s="337" t="s">
        <v>61</v>
      </c>
      <c r="H19" s="264">
        <v>-2</v>
      </c>
      <c r="I19" s="483" t="s">
        <v>613</v>
      </c>
      <c r="J19" s="629" t="s">
        <v>546</v>
      </c>
    </row>
    <row r="20" spans="1:10" ht="19.5" customHeight="1" x14ac:dyDescent="0.2">
      <c r="A20" s="455"/>
      <c r="B20" s="426"/>
      <c r="C20" s="434"/>
      <c r="D20" s="440"/>
      <c r="E20" s="452"/>
      <c r="F20" s="426"/>
      <c r="G20" s="337" t="s">
        <v>66</v>
      </c>
      <c r="H20" s="264">
        <v>-5</v>
      </c>
      <c r="I20" s="484"/>
      <c r="J20" s="630"/>
    </row>
    <row r="21" spans="1:10" ht="19.5" customHeight="1" x14ac:dyDescent="0.2">
      <c r="A21" s="455"/>
      <c r="B21" s="426"/>
      <c r="C21" s="434"/>
      <c r="D21" s="440"/>
      <c r="E21" s="452"/>
      <c r="F21" s="426"/>
      <c r="G21" s="337" t="s">
        <v>68</v>
      </c>
      <c r="H21" s="264">
        <v>-10</v>
      </c>
      <c r="I21" s="484"/>
      <c r="J21" s="630"/>
    </row>
    <row r="22" spans="1:10" ht="19.5" customHeight="1" x14ac:dyDescent="0.2">
      <c r="A22" s="455"/>
      <c r="B22" s="426"/>
      <c r="C22" s="434"/>
      <c r="D22" s="440"/>
      <c r="E22" s="452"/>
      <c r="F22" s="426"/>
      <c r="G22" s="337" t="s">
        <v>69</v>
      </c>
      <c r="H22" s="264">
        <v>-10</v>
      </c>
      <c r="I22" s="484"/>
      <c r="J22" s="630"/>
    </row>
    <row r="23" spans="1:10" ht="19.5" customHeight="1" x14ac:dyDescent="0.2">
      <c r="A23" s="455"/>
      <c r="B23" s="426"/>
      <c r="C23" s="434"/>
      <c r="D23" s="440"/>
      <c r="E23" s="452"/>
      <c r="F23" s="426"/>
      <c r="G23" s="13" t="s">
        <v>70</v>
      </c>
      <c r="H23" s="264">
        <v>-10</v>
      </c>
      <c r="I23" s="484"/>
      <c r="J23" s="630"/>
    </row>
    <row r="24" spans="1:10" ht="19.5" customHeight="1" x14ac:dyDescent="0.2">
      <c r="A24" s="455"/>
      <c r="B24" s="426"/>
      <c r="C24" s="434"/>
      <c r="D24" s="440"/>
      <c r="E24" s="452"/>
      <c r="F24" s="426"/>
      <c r="G24" s="13" t="s">
        <v>71</v>
      </c>
      <c r="H24" s="264">
        <v>-10</v>
      </c>
      <c r="I24" s="484"/>
      <c r="J24" s="630"/>
    </row>
    <row r="25" spans="1:10" ht="19.5" customHeight="1" x14ac:dyDescent="0.2">
      <c r="A25" s="455"/>
      <c r="B25" s="426"/>
      <c r="C25" s="434"/>
      <c r="D25" s="440"/>
      <c r="E25" s="452"/>
      <c r="F25" s="426"/>
      <c r="G25" s="337" t="s">
        <v>72</v>
      </c>
      <c r="H25" s="264">
        <v>-20</v>
      </c>
      <c r="I25" s="484"/>
      <c r="J25" s="631"/>
    </row>
    <row r="26" spans="1:10" ht="19.5" customHeight="1" x14ac:dyDescent="0.2">
      <c r="A26" s="455"/>
      <c r="B26" s="426"/>
      <c r="C26" s="434"/>
      <c r="D26" s="491"/>
      <c r="E26" s="453"/>
      <c r="F26" s="426"/>
      <c r="G26" s="335" t="s">
        <v>548</v>
      </c>
      <c r="H26" s="264"/>
      <c r="I26" s="485"/>
      <c r="J26" s="354"/>
    </row>
    <row r="27" spans="1:10" ht="19.5" customHeight="1" x14ac:dyDescent="0.2">
      <c r="A27" s="455"/>
      <c r="B27" s="426"/>
      <c r="C27" s="434"/>
      <c r="D27" s="433" t="s">
        <v>549</v>
      </c>
      <c r="E27" s="430">
        <v>60</v>
      </c>
      <c r="F27" s="434" t="s">
        <v>564</v>
      </c>
      <c r="G27" s="13" t="s">
        <v>75</v>
      </c>
      <c r="H27" s="264">
        <v>-10</v>
      </c>
      <c r="I27" s="483" t="s">
        <v>612</v>
      </c>
      <c r="J27" s="629" t="s">
        <v>546</v>
      </c>
    </row>
    <row r="28" spans="1:10" ht="19.5" customHeight="1" x14ac:dyDescent="0.2">
      <c r="A28" s="455"/>
      <c r="B28" s="426"/>
      <c r="C28" s="434"/>
      <c r="D28" s="434"/>
      <c r="E28" s="431"/>
      <c r="F28" s="434"/>
      <c r="G28" s="13" t="s">
        <v>79</v>
      </c>
      <c r="H28" s="264">
        <v>-15</v>
      </c>
      <c r="I28" s="484"/>
      <c r="J28" s="630"/>
    </row>
    <row r="29" spans="1:10" ht="19.5" customHeight="1" x14ac:dyDescent="0.2">
      <c r="A29" s="455"/>
      <c r="B29" s="426"/>
      <c r="C29" s="434"/>
      <c r="D29" s="434"/>
      <c r="E29" s="431"/>
      <c r="F29" s="434"/>
      <c r="G29" s="337" t="s">
        <v>81</v>
      </c>
      <c r="H29" s="264">
        <v>-20</v>
      </c>
      <c r="I29" s="484"/>
      <c r="J29" s="631"/>
    </row>
    <row r="30" spans="1:10" ht="19.5" customHeight="1" x14ac:dyDescent="0.2">
      <c r="A30" s="455"/>
      <c r="B30" s="433" t="s">
        <v>541</v>
      </c>
      <c r="C30" s="426" t="s">
        <v>525</v>
      </c>
      <c r="D30" s="444" t="s">
        <v>410</v>
      </c>
      <c r="E30" s="437">
        <v>80</v>
      </c>
      <c r="F30" s="454" t="s">
        <v>563</v>
      </c>
      <c r="G30" s="332" t="s">
        <v>126</v>
      </c>
      <c r="H30" s="264">
        <v>-5</v>
      </c>
      <c r="I30" s="430" t="s">
        <v>612</v>
      </c>
      <c r="J30" s="629" t="s">
        <v>550</v>
      </c>
    </row>
    <row r="31" spans="1:10" ht="19.5" customHeight="1" x14ac:dyDescent="0.2">
      <c r="A31" s="455"/>
      <c r="B31" s="434"/>
      <c r="C31" s="426"/>
      <c r="D31" s="444"/>
      <c r="E31" s="437"/>
      <c r="F31" s="455"/>
      <c r="G31" s="332" t="s">
        <v>129</v>
      </c>
      <c r="H31" s="264">
        <v>-8</v>
      </c>
      <c r="I31" s="432"/>
      <c r="J31" s="630"/>
    </row>
    <row r="32" spans="1:10" ht="19.5" customHeight="1" x14ac:dyDescent="0.2">
      <c r="A32" s="455"/>
      <c r="B32" s="434"/>
      <c r="C32" s="426"/>
      <c r="D32" s="444"/>
      <c r="E32" s="437"/>
      <c r="F32" s="455"/>
      <c r="G32" s="332" t="s">
        <v>131</v>
      </c>
      <c r="H32" s="264">
        <v>-10</v>
      </c>
      <c r="I32" s="483" t="s">
        <v>612</v>
      </c>
      <c r="J32" s="630"/>
    </row>
    <row r="33" spans="1:10" ht="19.5" customHeight="1" x14ac:dyDescent="0.2">
      <c r="A33" s="455"/>
      <c r="B33" s="434"/>
      <c r="C33" s="426"/>
      <c r="D33" s="444"/>
      <c r="E33" s="437"/>
      <c r="F33" s="455"/>
      <c r="G33" s="332" t="s">
        <v>132</v>
      </c>
      <c r="H33" s="264">
        <v>-15</v>
      </c>
      <c r="I33" s="484"/>
      <c r="J33" s="630"/>
    </row>
    <row r="34" spans="1:10" ht="19.5" customHeight="1" x14ac:dyDescent="0.2">
      <c r="A34" s="455"/>
      <c r="B34" s="434"/>
      <c r="C34" s="426"/>
      <c r="D34" s="444"/>
      <c r="E34" s="437"/>
      <c r="F34" s="455"/>
      <c r="G34" s="332" t="s">
        <v>133</v>
      </c>
      <c r="H34" s="264">
        <v>-20</v>
      </c>
      <c r="I34" s="484"/>
      <c r="J34" s="630"/>
    </row>
    <row r="35" spans="1:10" ht="19.5" customHeight="1" x14ac:dyDescent="0.2">
      <c r="A35" s="455"/>
      <c r="B35" s="434"/>
      <c r="C35" s="433" t="s">
        <v>134</v>
      </c>
      <c r="D35" s="433" t="s">
        <v>135</v>
      </c>
      <c r="E35" s="430">
        <v>20</v>
      </c>
      <c r="F35" s="433" t="s">
        <v>562</v>
      </c>
      <c r="G35" s="332" t="s">
        <v>304</v>
      </c>
      <c r="H35" s="264">
        <v>20</v>
      </c>
      <c r="I35" s="430" t="s">
        <v>644</v>
      </c>
      <c r="J35" s="630"/>
    </row>
    <row r="36" spans="1:10" ht="18.75" customHeight="1" x14ac:dyDescent="0.2">
      <c r="A36" s="455"/>
      <c r="B36" s="434"/>
      <c r="C36" s="434"/>
      <c r="D36" s="434"/>
      <c r="E36" s="431"/>
      <c r="F36" s="434"/>
      <c r="G36" s="332" t="s">
        <v>306</v>
      </c>
      <c r="H36" s="264">
        <v>10</v>
      </c>
      <c r="I36" s="432"/>
      <c r="J36" s="630"/>
    </row>
    <row r="37" spans="1:10" ht="19.5" customHeight="1" x14ac:dyDescent="0.2">
      <c r="A37" s="455"/>
      <c r="B37" s="434"/>
      <c r="C37" s="426" t="s">
        <v>526</v>
      </c>
      <c r="D37" s="426" t="s">
        <v>139</v>
      </c>
      <c r="E37" s="448">
        <v>20</v>
      </c>
      <c r="F37" s="433" t="s">
        <v>561</v>
      </c>
      <c r="G37" s="53" t="s">
        <v>307</v>
      </c>
      <c r="H37" s="54">
        <v>20</v>
      </c>
      <c r="I37" s="430" t="s">
        <v>38</v>
      </c>
      <c r="J37" s="630"/>
    </row>
    <row r="38" spans="1:10" ht="19.5" customHeight="1" x14ac:dyDescent="0.2">
      <c r="A38" s="455"/>
      <c r="B38" s="434"/>
      <c r="C38" s="426"/>
      <c r="D38" s="426"/>
      <c r="E38" s="448"/>
      <c r="F38" s="434"/>
      <c r="G38" s="53" t="s">
        <v>448</v>
      </c>
      <c r="H38" s="54">
        <v>10</v>
      </c>
      <c r="I38" s="431"/>
      <c r="J38" s="630"/>
    </row>
    <row r="39" spans="1:10" ht="19.5" customHeight="1" x14ac:dyDescent="0.2">
      <c r="A39" s="455"/>
      <c r="B39" s="434"/>
      <c r="C39" s="426"/>
      <c r="D39" s="426"/>
      <c r="E39" s="448"/>
      <c r="F39" s="434"/>
      <c r="G39" s="53" t="s">
        <v>460</v>
      </c>
      <c r="H39" s="54">
        <v>5</v>
      </c>
      <c r="I39" s="431"/>
      <c r="J39" s="630"/>
    </row>
    <row r="40" spans="1:10" ht="19.5" customHeight="1" x14ac:dyDescent="0.2">
      <c r="A40" s="455"/>
      <c r="B40" s="434"/>
      <c r="C40" s="426"/>
      <c r="D40" s="426"/>
      <c r="E40" s="448"/>
      <c r="F40" s="434"/>
      <c r="G40" s="336" t="s">
        <v>461</v>
      </c>
      <c r="H40" s="54">
        <v>0</v>
      </c>
      <c r="I40" s="431"/>
      <c r="J40" s="630"/>
    </row>
    <row r="41" spans="1:10" ht="19.5" customHeight="1" x14ac:dyDescent="0.2">
      <c r="A41" s="455"/>
      <c r="B41" s="434"/>
      <c r="C41" s="426"/>
      <c r="D41" s="426"/>
      <c r="E41" s="448"/>
      <c r="F41" s="435"/>
      <c r="G41" s="33" t="s">
        <v>145</v>
      </c>
      <c r="H41" s="54">
        <v>-5</v>
      </c>
      <c r="I41" s="432"/>
      <c r="J41" s="631"/>
    </row>
    <row r="42" spans="1:10" ht="26.45" customHeight="1" x14ac:dyDescent="0.2">
      <c r="A42" s="455"/>
      <c r="B42" s="434"/>
      <c r="C42" s="433" t="s">
        <v>462</v>
      </c>
      <c r="D42" s="433" t="s">
        <v>462</v>
      </c>
      <c r="E42" s="430">
        <v>60</v>
      </c>
      <c r="F42" s="433" t="s">
        <v>649</v>
      </c>
      <c r="G42" s="54" t="s">
        <v>474</v>
      </c>
      <c r="H42" s="54">
        <v>0.5</v>
      </c>
      <c r="I42" s="430" t="s">
        <v>38</v>
      </c>
      <c r="J42" s="635" t="s">
        <v>551</v>
      </c>
    </row>
    <row r="43" spans="1:10" ht="19.5" customHeight="1" x14ac:dyDescent="0.2">
      <c r="A43" s="455"/>
      <c r="B43" s="434"/>
      <c r="C43" s="434"/>
      <c r="D43" s="434"/>
      <c r="E43" s="431"/>
      <c r="F43" s="434"/>
      <c r="G43" s="33" t="s">
        <v>475</v>
      </c>
      <c r="H43" s="54">
        <v>0.1</v>
      </c>
      <c r="I43" s="431"/>
      <c r="J43" s="636"/>
    </row>
    <row r="44" spans="1:10" ht="19.5" customHeight="1" x14ac:dyDescent="0.2">
      <c r="A44" s="644"/>
      <c r="B44" s="435"/>
      <c r="C44" s="434"/>
      <c r="D44" s="434"/>
      <c r="E44" s="431"/>
      <c r="F44" s="434"/>
      <c r="G44" s="33" t="s">
        <v>476</v>
      </c>
      <c r="H44" s="54">
        <v>0.5</v>
      </c>
      <c r="I44" s="432"/>
      <c r="J44" s="637"/>
    </row>
    <row r="45" spans="1:10" ht="33" x14ac:dyDescent="0.2">
      <c r="A45" s="433" t="s">
        <v>605</v>
      </c>
      <c r="B45" s="433">
        <v>80</v>
      </c>
      <c r="C45" s="334" t="s">
        <v>154</v>
      </c>
      <c r="D45" s="334" t="s">
        <v>155</v>
      </c>
      <c r="E45" s="333">
        <v>10</v>
      </c>
      <c r="F45" s="334" t="s">
        <v>560</v>
      </c>
      <c r="G45" s="334" t="s">
        <v>385</v>
      </c>
      <c r="H45" s="358">
        <v>2</v>
      </c>
      <c r="I45" s="340" t="s">
        <v>614</v>
      </c>
      <c r="J45" s="353" t="s">
        <v>551</v>
      </c>
    </row>
    <row r="46" spans="1:10" ht="19.5" customHeight="1" x14ac:dyDescent="0.2">
      <c r="A46" s="434"/>
      <c r="B46" s="434"/>
      <c r="C46" s="433" t="s">
        <v>160</v>
      </c>
      <c r="D46" s="433" t="s">
        <v>161</v>
      </c>
      <c r="E46" s="430">
        <v>30</v>
      </c>
      <c r="F46" s="430" t="s">
        <v>601</v>
      </c>
      <c r="G46" s="332" t="s">
        <v>313</v>
      </c>
      <c r="H46" s="357">
        <v>10</v>
      </c>
      <c r="I46" s="430" t="s">
        <v>615</v>
      </c>
      <c r="J46" s="635" t="s">
        <v>546</v>
      </c>
    </row>
    <row r="47" spans="1:10" ht="19.5" customHeight="1" x14ac:dyDescent="0.2">
      <c r="A47" s="434"/>
      <c r="B47" s="434"/>
      <c r="C47" s="435"/>
      <c r="D47" s="435"/>
      <c r="E47" s="432"/>
      <c r="F47" s="432"/>
      <c r="G47" s="332" t="s">
        <v>314</v>
      </c>
      <c r="H47" s="357">
        <v>20</v>
      </c>
      <c r="I47" s="432"/>
      <c r="J47" s="636"/>
    </row>
    <row r="48" spans="1:10" ht="19.5" customHeight="1" x14ac:dyDescent="0.2">
      <c r="A48" s="434"/>
      <c r="B48" s="434"/>
      <c r="C48" s="336" t="s">
        <v>527</v>
      </c>
      <c r="D48" s="332" t="s">
        <v>167</v>
      </c>
      <c r="E48" s="340">
        <v>20</v>
      </c>
      <c r="F48" s="332" t="s">
        <v>559</v>
      </c>
      <c r="G48" s="332" t="s">
        <v>163</v>
      </c>
      <c r="H48" s="54">
        <v>10</v>
      </c>
      <c r="I48" s="430" t="s">
        <v>644</v>
      </c>
      <c r="J48" s="636"/>
    </row>
    <row r="49" spans="1:10" ht="19.5" customHeight="1" x14ac:dyDescent="0.2">
      <c r="A49" s="434"/>
      <c r="B49" s="434"/>
      <c r="C49" s="332" t="s">
        <v>169</v>
      </c>
      <c r="D49" s="332" t="s">
        <v>170</v>
      </c>
      <c r="E49" s="340">
        <v>10</v>
      </c>
      <c r="F49" s="332" t="s">
        <v>558</v>
      </c>
      <c r="G49" s="332" t="s">
        <v>172</v>
      </c>
      <c r="H49" s="54">
        <v>10</v>
      </c>
      <c r="I49" s="432"/>
      <c r="J49" s="636"/>
    </row>
    <row r="50" spans="1:10" ht="42" customHeight="1" x14ac:dyDescent="0.2">
      <c r="A50" s="435"/>
      <c r="B50" s="435"/>
      <c r="C50" s="332" t="s">
        <v>384</v>
      </c>
      <c r="D50" s="332" t="s">
        <v>602</v>
      </c>
      <c r="E50" s="333">
        <v>10</v>
      </c>
      <c r="F50" s="334" t="s">
        <v>408</v>
      </c>
      <c r="G50" s="334" t="s">
        <v>151</v>
      </c>
      <c r="H50" s="54">
        <v>2</v>
      </c>
      <c r="I50" s="346" t="s">
        <v>644</v>
      </c>
      <c r="J50" s="343"/>
    </row>
    <row r="51" spans="1:10" ht="49.5" x14ac:dyDescent="0.2">
      <c r="A51" s="426" t="s">
        <v>539</v>
      </c>
      <c r="B51" s="433" t="s">
        <v>544</v>
      </c>
      <c r="C51" s="334" t="s">
        <v>96</v>
      </c>
      <c r="D51" s="334" t="s">
        <v>382</v>
      </c>
      <c r="E51" s="333">
        <v>30</v>
      </c>
      <c r="F51" s="333" t="s">
        <v>619</v>
      </c>
      <c r="G51" s="338" t="s">
        <v>382</v>
      </c>
      <c r="H51" s="356">
        <v>6</v>
      </c>
      <c r="I51" s="333" t="s">
        <v>618</v>
      </c>
      <c r="J51" s="353" t="s">
        <v>600</v>
      </c>
    </row>
    <row r="52" spans="1:10" ht="13.5" customHeight="1" x14ac:dyDescent="0.2">
      <c r="A52" s="426"/>
      <c r="B52" s="434"/>
      <c r="C52" s="426" t="s">
        <v>101</v>
      </c>
      <c r="D52" s="433" t="s">
        <v>349</v>
      </c>
      <c r="E52" s="430">
        <v>15</v>
      </c>
      <c r="F52" s="430" t="s">
        <v>620</v>
      </c>
      <c r="G52" s="336" t="s">
        <v>580</v>
      </c>
      <c r="H52" s="359">
        <v>15</v>
      </c>
      <c r="I52" s="430" t="s">
        <v>625</v>
      </c>
      <c r="J52" s="638" t="s">
        <v>552</v>
      </c>
    </row>
    <row r="53" spans="1:10" ht="13.5" customHeight="1" x14ac:dyDescent="0.2">
      <c r="A53" s="426"/>
      <c r="B53" s="434"/>
      <c r="C53" s="426"/>
      <c r="D53" s="434"/>
      <c r="E53" s="431"/>
      <c r="F53" s="431"/>
      <c r="G53" s="336" t="s">
        <v>581</v>
      </c>
      <c r="H53" s="359">
        <v>10</v>
      </c>
      <c r="I53" s="431"/>
      <c r="J53" s="639"/>
    </row>
    <row r="54" spans="1:10" ht="13.5" customHeight="1" x14ac:dyDescent="0.2">
      <c r="A54" s="426"/>
      <c r="B54" s="434"/>
      <c r="C54" s="426"/>
      <c r="D54" s="434"/>
      <c r="E54" s="431"/>
      <c r="F54" s="431"/>
      <c r="G54" s="336" t="s">
        <v>582</v>
      </c>
      <c r="H54" s="359">
        <v>8</v>
      </c>
      <c r="I54" s="431"/>
      <c r="J54" s="639"/>
    </row>
    <row r="55" spans="1:10" ht="13.5" customHeight="1" x14ac:dyDescent="0.2">
      <c r="A55" s="426"/>
      <c r="B55" s="434"/>
      <c r="C55" s="426"/>
      <c r="D55" s="434"/>
      <c r="E55" s="431"/>
      <c r="F55" s="431"/>
      <c r="G55" s="336" t="s">
        <v>583</v>
      </c>
      <c r="H55" s="359">
        <v>5</v>
      </c>
      <c r="I55" s="431"/>
      <c r="J55" s="639"/>
    </row>
    <row r="56" spans="1:10" ht="13.5" customHeight="1" x14ac:dyDescent="0.2">
      <c r="A56" s="426"/>
      <c r="B56" s="434"/>
      <c r="C56" s="426"/>
      <c r="D56" s="434"/>
      <c r="E56" s="431"/>
      <c r="F56" s="431"/>
      <c r="G56" s="336" t="s">
        <v>584</v>
      </c>
      <c r="H56" s="359">
        <v>0</v>
      </c>
      <c r="I56" s="431"/>
      <c r="J56" s="639"/>
    </row>
    <row r="57" spans="1:10" ht="13.5" customHeight="1" x14ac:dyDescent="0.2">
      <c r="A57" s="426"/>
      <c r="B57" s="434"/>
      <c r="C57" s="426"/>
      <c r="D57" s="433" t="s">
        <v>106</v>
      </c>
      <c r="E57" s="430">
        <v>40</v>
      </c>
      <c r="F57" s="433" t="s">
        <v>621</v>
      </c>
      <c r="G57" s="336" t="s">
        <v>580</v>
      </c>
      <c r="H57" s="360">
        <v>40</v>
      </c>
      <c r="I57" s="430" t="s">
        <v>617</v>
      </c>
      <c r="J57" s="638" t="s">
        <v>600</v>
      </c>
    </row>
    <row r="58" spans="1:10" ht="13.5" customHeight="1" x14ac:dyDescent="0.2">
      <c r="A58" s="426"/>
      <c r="B58" s="434"/>
      <c r="C58" s="426"/>
      <c r="D58" s="434"/>
      <c r="E58" s="431"/>
      <c r="F58" s="434"/>
      <c r="G58" s="336" t="s">
        <v>585</v>
      </c>
      <c r="H58" s="360">
        <v>30</v>
      </c>
      <c r="I58" s="431"/>
      <c r="J58" s="639"/>
    </row>
    <row r="59" spans="1:10" ht="13.5" customHeight="1" x14ac:dyDescent="0.2">
      <c r="A59" s="426"/>
      <c r="B59" s="434"/>
      <c r="C59" s="426"/>
      <c r="D59" s="434"/>
      <c r="E59" s="431"/>
      <c r="F59" s="434"/>
      <c r="G59" s="336" t="s">
        <v>586</v>
      </c>
      <c r="H59" s="360">
        <v>20</v>
      </c>
      <c r="I59" s="431"/>
      <c r="J59" s="639"/>
    </row>
    <row r="60" spans="1:10" ht="13.5" customHeight="1" x14ac:dyDescent="0.2">
      <c r="A60" s="426"/>
      <c r="B60" s="434"/>
      <c r="C60" s="426"/>
      <c r="D60" s="434"/>
      <c r="E60" s="431"/>
      <c r="F60" s="434"/>
      <c r="G60" s="336" t="s">
        <v>583</v>
      </c>
      <c r="H60" s="360">
        <v>10</v>
      </c>
      <c r="I60" s="431"/>
      <c r="J60" s="639"/>
    </row>
    <row r="61" spans="1:10" ht="13.5" customHeight="1" x14ac:dyDescent="0.2">
      <c r="A61" s="426"/>
      <c r="B61" s="434"/>
      <c r="C61" s="426"/>
      <c r="D61" s="434"/>
      <c r="E61" s="431"/>
      <c r="F61" s="434"/>
      <c r="G61" s="336" t="s">
        <v>584</v>
      </c>
      <c r="H61" s="360">
        <v>5</v>
      </c>
      <c r="I61" s="431"/>
      <c r="J61" s="639"/>
    </row>
    <row r="62" spans="1:10" ht="13.5" customHeight="1" x14ac:dyDescent="0.2">
      <c r="A62" s="426"/>
      <c r="B62" s="434"/>
      <c r="C62" s="426"/>
      <c r="D62" s="435"/>
      <c r="E62" s="432"/>
      <c r="F62" s="435"/>
      <c r="G62" s="336">
        <v>0</v>
      </c>
      <c r="H62" s="360">
        <v>0</v>
      </c>
      <c r="I62" s="432"/>
      <c r="J62" s="640"/>
    </row>
    <row r="63" spans="1:10" ht="13.5" customHeight="1" x14ac:dyDescent="0.2">
      <c r="A63" s="426"/>
      <c r="B63" s="434"/>
      <c r="C63" s="455"/>
      <c r="D63" s="433" t="s">
        <v>114</v>
      </c>
      <c r="E63" s="430">
        <v>20</v>
      </c>
      <c r="F63" s="430" t="s">
        <v>623</v>
      </c>
      <c r="G63" s="240" t="s">
        <v>587</v>
      </c>
      <c r="H63" s="360">
        <v>20</v>
      </c>
      <c r="I63" s="430" t="s">
        <v>617</v>
      </c>
      <c r="J63" s="638" t="s">
        <v>600</v>
      </c>
    </row>
    <row r="64" spans="1:10" ht="13.5" customHeight="1" x14ac:dyDescent="0.2">
      <c r="A64" s="426"/>
      <c r="B64" s="434"/>
      <c r="C64" s="455"/>
      <c r="D64" s="434"/>
      <c r="E64" s="431"/>
      <c r="F64" s="431"/>
      <c r="G64" s="336" t="s">
        <v>588</v>
      </c>
      <c r="H64" s="360">
        <v>15</v>
      </c>
      <c r="I64" s="431"/>
      <c r="J64" s="639"/>
    </row>
    <row r="65" spans="1:10" ht="13.5" customHeight="1" x14ac:dyDescent="0.2">
      <c r="A65" s="426"/>
      <c r="B65" s="434"/>
      <c r="C65" s="455"/>
      <c r="D65" s="434"/>
      <c r="E65" s="431"/>
      <c r="F65" s="431"/>
      <c r="G65" s="336" t="s">
        <v>589</v>
      </c>
      <c r="H65" s="360">
        <v>10</v>
      </c>
      <c r="I65" s="431"/>
      <c r="J65" s="639"/>
    </row>
    <row r="66" spans="1:10" ht="13.5" customHeight="1" x14ac:dyDescent="0.2">
      <c r="A66" s="426"/>
      <c r="B66" s="434"/>
      <c r="C66" s="455"/>
      <c r="D66" s="434"/>
      <c r="E66" s="431"/>
      <c r="F66" s="431"/>
      <c r="G66" s="33" t="s">
        <v>590</v>
      </c>
      <c r="H66" s="360">
        <v>8</v>
      </c>
      <c r="I66" s="431"/>
      <c r="J66" s="639"/>
    </row>
    <row r="67" spans="1:10" ht="13.5" customHeight="1" x14ac:dyDescent="0.2">
      <c r="A67" s="426"/>
      <c r="B67" s="434"/>
      <c r="C67" s="455"/>
      <c r="D67" s="434"/>
      <c r="E67" s="431"/>
      <c r="F67" s="431"/>
      <c r="G67" s="336" t="s">
        <v>591</v>
      </c>
      <c r="H67" s="360">
        <v>5</v>
      </c>
      <c r="I67" s="431"/>
      <c r="J67" s="639"/>
    </row>
    <row r="68" spans="1:10" ht="13.5" customHeight="1" x14ac:dyDescent="0.2">
      <c r="A68" s="426"/>
      <c r="B68" s="434"/>
      <c r="C68" s="455"/>
      <c r="D68" s="435"/>
      <c r="E68" s="432"/>
      <c r="F68" s="432"/>
      <c r="G68" s="230">
        <v>0</v>
      </c>
      <c r="H68" s="360">
        <v>0</v>
      </c>
      <c r="I68" s="432"/>
      <c r="J68" s="640"/>
    </row>
    <row r="69" spans="1:10" ht="13.15" customHeight="1" x14ac:dyDescent="0.2">
      <c r="A69" s="426"/>
      <c r="B69" s="434"/>
      <c r="C69" s="455"/>
      <c r="D69" s="433" t="s">
        <v>117</v>
      </c>
      <c r="E69" s="430">
        <v>45</v>
      </c>
      <c r="F69" s="430" t="s">
        <v>624</v>
      </c>
      <c r="G69" s="336" t="s">
        <v>592</v>
      </c>
      <c r="H69" s="360">
        <v>45</v>
      </c>
      <c r="I69" s="430" t="s">
        <v>617</v>
      </c>
      <c r="J69" s="638" t="s">
        <v>600</v>
      </c>
    </row>
    <row r="70" spans="1:10" ht="13.15" customHeight="1" x14ac:dyDescent="0.2">
      <c r="A70" s="426"/>
      <c r="B70" s="434"/>
      <c r="C70" s="455"/>
      <c r="D70" s="434"/>
      <c r="E70" s="431"/>
      <c r="F70" s="431"/>
      <c r="G70" s="336" t="s">
        <v>593</v>
      </c>
      <c r="H70" s="360">
        <v>35</v>
      </c>
      <c r="I70" s="431"/>
      <c r="J70" s="639"/>
    </row>
    <row r="71" spans="1:10" ht="13.15" customHeight="1" x14ac:dyDescent="0.2">
      <c r="A71" s="426"/>
      <c r="B71" s="434"/>
      <c r="C71" s="455"/>
      <c r="D71" s="434"/>
      <c r="E71" s="431"/>
      <c r="F71" s="431"/>
      <c r="G71" s="33" t="s">
        <v>594</v>
      </c>
      <c r="H71" s="360">
        <v>25</v>
      </c>
      <c r="I71" s="431"/>
      <c r="J71" s="639"/>
    </row>
    <row r="72" spans="1:10" ht="13.15" customHeight="1" x14ac:dyDescent="0.2">
      <c r="A72" s="426"/>
      <c r="B72" s="434"/>
      <c r="C72" s="455"/>
      <c r="D72" s="434"/>
      <c r="E72" s="431"/>
      <c r="F72" s="431"/>
      <c r="G72" s="336" t="s">
        <v>595</v>
      </c>
      <c r="H72" s="360">
        <v>10</v>
      </c>
      <c r="I72" s="431"/>
      <c r="J72" s="639"/>
    </row>
    <row r="73" spans="1:10" ht="13.5" customHeight="1" x14ac:dyDescent="0.2">
      <c r="A73" s="426"/>
      <c r="B73" s="434"/>
      <c r="C73" s="455"/>
      <c r="D73" s="434"/>
      <c r="E73" s="431"/>
      <c r="F73" s="431"/>
      <c r="G73" s="336">
        <v>0</v>
      </c>
      <c r="H73" s="360">
        <v>0</v>
      </c>
      <c r="I73" s="431"/>
      <c r="J73" s="639"/>
    </row>
    <row r="74" spans="1:10" ht="13.5" customHeight="1" x14ac:dyDescent="0.2">
      <c r="A74" s="426"/>
      <c r="B74" s="434"/>
      <c r="C74" s="455"/>
      <c r="D74" s="433" t="s">
        <v>120</v>
      </c>
      <c r="E74" s="430">
        <v>15</v>
      </c>
      <c r="F74" s="430" t="s">
        <v>622</v>
      </c>
      <c r="G74" s="336" t="s">
        <v>596</v>
      </c>
      <c r="H74" s="360">
        <v>15</v>
      </c>
      <c r="I74" s="430" t="s">
        <v>617</v>
      </c>
      <c r="J74" s="638" t="s">
        <v>600</v>
      </c>
    </row>
    <row r="75" spans="1:10" ht="13.5" customHeight="1" x14ac:dyDescent="0.2">
      <c r="A75" s="426"/>
      <c r="B75" s="434"/>
      <c r="C75" s="455"/>
      <c r="D75" s="434"/>
      <c r="E75" s="431"/>
      <c r="F75" s="431"/>
      <c r="G75" s="336" t="s">
        <v>597</v>
      </c>
      <c r="H75" s="360">
        <v>12</v>
      </c>
      <c r="I75" s="431"/>
      <c r="J75" s="639"/>
    </row>
    <row r="76" spans="1:10" ht="13.5" customHeight="1" x14ac:dyDescent="0.2">
      <c r="A76" s="426"/>
      <c r="B76" s="434"/>
      <c r="C76" s="455"/>
      <c r="D76" s="434"/>
      <c r="E76" s="431"/>
      <c r="F76" s="431"/>
      <c r="G76" s="33" t="s">
        <v>598</v>
      </c>
      <c r="H76" s="360">
        <v>10</v>
      </c>
      <c r="I76" s="431"/>
      <c r="J76" s="639"/>
    </row>
    <row r="77" spans="1:10" ht="13.5" customHeight="1" x14ac:dyDescent="0.2">
      <c r="A77" s="426"/>
      <c r="B77" s="434"/>
      <c r="C77" s="455"/>
      <c r="D77" s="434"/>
      <c r="E77" s="431"/>
      <c r="F77" s="431"/>
      <c r="G77" s="336" t="s">
        <v>599</v>
      </c>
      <c r="H77" s="360">
        <v>8</v>
      </c>
      <c r="I77" s="431"/>
      <c r="J77" s="639"/>
    </row>
    <row r="78" spans="1:10" ht="13.5" customHeight="1" x14ac:dyDescent="0.2">
      <c r="A78" s="426"/>
      <c r="B78" s="434"/>
      <c r="C78" s="455"/>
      <c r="D78" s="434"/>
      <c r="E78" s="431"/>
      <c r="F78" s="431"/>
      <c r="G78" s="336">
        <v>0</v>
      </c>
      <c r="H78" s="360">
        <v>0</v>
      </c>
      <c r="I78" s="431"/>
      <c r="J78" s="639"/>
    </row>
    <row r="79" spans="1:10" ht="47.25" customHeight="1" x14ac:dyDescent="0.2">
      <c r="A79" s="426"/>
      <c r="B79" s="448" t="s">
        <v>607</v>
      </c>
      <c r="C79" s="438" t="s">
        <v>221</v>
      </c>
      <c r="D79" s="339" t="s">
        <v>222</v>
      </c>
      <c r="E79" s="511">
        <v>90</v>
      </c>
      <c r="F79" s="60" t="s">
        <v>645</v>
      </c>
      <c r="G79" s="349" t="s">
        <v>180</v>
      </c>
      <c r="H79" s="351">
        <v>6</v>
      </c>
      <c r="I79" s="430" t="s">
        <v>626</v>
      </c>
      <c r="J79" s="635" t="s">
        <v>551</v>
      </c>
    </row>
    <row r="80" spans="1:10" ht="19.5" customHeight="1" x14ac:dyDescent="0.2">
      <c r="A80" s="426"/>
      <c r="B80" s="448"/>
      <c r="C80" s="438"/>
      <c r="D80" s="339" t="s">
        <v>183</v>
      </c>
      <c r="E80" s="513"/>
      <c r="F80" s="337" t="s">
        <v>646</v>
      </c>
      <c r="G80" s="337" t="s">
        <v>177</v>
      </c>
      <c r="H80" s="352">
        <v>8</v>
      </c>
      <c r="I80" s="432"/>
      <c r="J80" s="636"/>
    </row>
    <row r="81" spans="1:10" ht="19.5" customHeight="1" x14ac:dyDescent="0.2">
      <c r="A81" s="426"/>
      <c r="B81" s="448"/>
      <c r="C81" s="337" t="s">
        <v>226</v>
      </c>
      <c r="D81" s="339" t="s">
        <v>227</v>
      </c>
      <c r="E81" s="337">
        <v>30</v>
      </c>
      <c r="F81" s="337" t="s">
        <v>647</v>
      </c>
      <c r="G81" s="337" t="s">
        <v>177</v>
      </c>
      <c r="H81" s="352">
        <v>6</v>
      </c>
      <c r="I81" s="340" t="s">
        <v>626</v>
      </c>
      <c r="J81" s="636"/>
    </row>
    <row r="82" spans="1:10" ht="51" customHeight="1" x14ac:dyDescent="0.2">
      <c r="A82" s="426"/>
      <c r="B82" s="448"/>
      <c r="C82" s="337" t="s">
        <v>195</v>
      </c>
      <c r="D82" s="339" t="s">
        <v>195</v>
      </c>
      <c r="E82" s="337">
        <v>30</v>
      </c>
      <c r="F82" s="337" t="s">
        <v>648</v>
      </c>
      <c r="G82" s="337" t="s">
        <v>336</v>
      </c>
      <c r="H82" s="352">
        <v>6</v>
      </c>
      <c r="I82" s="340" t="s">
        <v>626</v>
      </c>
      <c r="J82" s="637"/>
    </row>
    <row r="83" spans="1:10" ht="27.75" customHeight="1" x14ac:dyDescent="0.2">
      <c r="A83" s="426"/>
      <c r="B83" s="448"/>
      <c r="C83" s="438" t="s">
        <v>199</v>
      </c>
      <c r="D83" s="342" t="s">
        <v>627</v>
      </c>
      <c r="E83" s="341">
        <v>10</v>
      </c>
      <c r="F83" s="341" t="s">
        <v>571</v>
      </c>
      <c r="G83" s="337" t="s">
        <v>402</v>
      </c>
      <c r="H83" s="350">
        <v>10</v>
      </c>
      <c r="I83" s="347" t="s">
        <v>616</v>
      </c>
      <c r="J83" s="635" t="s">
        <v>551</v>
      </c>
    </row>
    <row r="84" spans="1:10" ht="32.25" customHeight="1" x14ac:dyDescent="0.2">
      <c r="A84" s="426"/>
      <c r="B84" s="448"/>
      <c r="C84" s="438"/>
      <c r="D84" s="342" t="s">
        <v>628</v>
      </c>
      <c r="E84" s="341">
        <v>10</v>
      </c>
      <c r="F84" s="341" t="s">
        <v>572</v>
      </c>
      <c r="G84" s="337" t="s">
        <v>402</v>
      </c>
      <c r="H84" s="350">
        <v>10</v>
      </c>
      <c r="I84" s="347" t="s">
        <v>610</v>
      </c>
      <c r="J84" s="636"/>
    </row>
    <row r="85" spans="1:10" ht="41.25" customHeight="1" x14ac:dyDescent="0.2">
      <c r="A85" s="426"/>
      <c r="B85" s="448"/>
      <c r="C85" s="438"/>
      <c r="D85" s="342" t="s">
        <v>629</v>
      </c>
      <c r="E85" s="341">
        <v>10</v>
      </c>
      <c r="F85" s="341" t="s">
        <v>573</v>
      </c>
      <c r="G85" s="337" t="s">
        <v>402</v>
      </c>
      <c r="H85" s="273">
        <v>5</v>
      </c>
      <c r="I85" s="347" t="s">
        <v>610</v>
      </c>
      <c r="J85" s="636"/>
    </row>
    <row r="86" spans="1:10" ht="41.25" customHeight="1" x14ac:dyDescent="0.2">
      <c r="A86" s="426"/>
      <c r="B86" s="448"/>
      <c r="C86" s="438"/>
      <c r="D86" s="342" t="s">
        <v>630</v>
      </c>
      <c r="E86" s="341">
        <v>20</v>
      </c>
      <c r="F86" s="341" t="s">
        <v>574</v>
      </c>
      <c r="G86" s="337" t="s">
        <v>402</v>
      </c>
      <c r="H86" s="273">
        <v>5</v>
      </c>
      <c r="I86" s="347" t="s">
        <v>610</v>
      </c>
      <c r="J86" s="636"/>
    </row>
    <row r="87" spans="1:10" ht="41.25" customHeight="1" x14ac:dyDescent="0.2">
      <c r="A87" s="426"/>
      <c r="B87" s="448"/>
      <c r="C87" s="438"/>
      <c r="D87" s="339" t="s">
        <v>631</v>
      </c>
      <c r="E87" s="337">
        <v>10</v>
      </c>
      <c r="F87" s="337" t="s">
        <v>575</v>
      </c>
      <c r="G87" s="337" t="s">
        <v>402</v>
      </c>
      <c r="H87" s="273">
        <v>5</v>
      </c>
      <c r="I87" s="347" t="s">
        <v>611</v>
      </c>
      <c r="J87" s="636"/>
    </row>
    <row r="88" spans="1:10" s="1" customFormat="1" ht="45" customHeight="1" x14ac:dyDescent="0.2">
      <c r="A88" s="426"/>
      <c r="B88" s="448" t="s">
        <v>606</v>
      </c>
      <c r="C88" s="426" t="s">
        <v>633</v>
      </c>
      <c r="D88" s="332" t="s">
        <v>632</v>
      </c>
      <c r="E88" s="451">
        <v>60</v>
      </c>
      <c r="F88" s="56" t="s">
        <v>557</v>
      </c>
      <c r="G88" s="337" t="s">
        <v>470</v>
      </c>
      <c r="H88" s="54">
        <v>1</v>
      </c>
      <c r="I88" s="430" t="s">
        <v>626</v>
      </c>
      <c r="J88" s="641" t="s">
        <v>551</v>
      </c>
    </row>
    <row r="89" spans="1:10" s="1" customFormat="1" ht="19.5" customHeight="1" x14ac:dyDescent="0.2">
      <c r="A89" s="426"/>
      <c r="B89" s="448"/>
      <c r="C89" s="426"/>
      <c r="D89" s="337" t="s">
        <v>183</v>
      </c>
      <c r="E89" s="453"/>
      <c r="F89" s="337" t="s">
        <v>556</v>
      </c>
      <c r="G89" s="337" t="s">
        <v>177</v>
      </c>
      <c r="H89" s="54">
        <v>8</v>
      </c>
      <c r="I89" s="432"/>
      <c r="J89" s="641"/>
    </row>
    <row r="90" spans="1:10" s="1" customFormat="1" ht="19.5" customHeight="1" x14ac:dyDescent="0.2">
      <c r="A90" s="426"/>
      <c r="B90" s="448"/>
      <c r="C90" s="426" t="s">
        <v>634</v>
      </c>
      <c r="D90" s="332" t="s">
        <v>635</v>
      </c>
      <c r="E90" s="55">
        <v>30</v>
      </c>
      <c r="F90" s="332" t="s">
        <v>554</v>
      </c>
      <c r="G90" s="340" t="s">
        <v>189</v>
      </c>
      <c r="H90" s="33">
        <v>1.5</v>
      </c>
      <c r="I90" s="430" t="s">
        <v>643</v>
      </c>
      <c r="J90" s="641"/>
    </row>
    <row r="91" spans="1:10" s="1" customFormat="1" ht="19.5" customHeight="1" x14ac:dyDescent="0.2">
      <c r="A91" s="426"/>
      <c r="B91" s="448"/>
      <c r="C91" s="426"/>
      <c r="D91" s="332" t="s">
        <v>191</v>
      </c>
      <c r="E91" s="55">
        <v>10</v>
      </c>
      <c r="F91" s="332" t="s">
        <v>555</v>
      </c>
      <c r="G91" s="340" t="s">
        <v>193</v>
      </c>
      <c r="H91" s="33">
        <v>0.5</v>
      </c>
      <c r="I91" s="432"/>
      <c r="J91" s="641"/>
    </row>
    <row r="92" spans="1:10" s="1" customFormat="1" ht="19.5" customHeight="1" x14ac:dyDescent="0.2">
      <c r="A92" s="426"/>
      <c r="B92" s="448"/>
      <c r="C92" s="426" t="s">
        <v>213</v>
      </c>
      <c r="D92" s="337" t="s">
        <v>636</v>
      </c>
      <c r="E92" s="280">
        <v>40</v>
      </c>
      <c r="F92" s="340" t="s">
        <v>603</v>
      </c>
      <c r="G92" s="340" t="s">
        <v>214</v>
      </c>
      <c r="H92" s="33">
        <v>2</v>
      </c>
      <c r="I92" s="340" t="s">
        <v>38</v>
      </c>
      <c r="J92" s="642" t="s">
        <v>553</v>
      </c>
    </row>
    <row r="93" spans="1:10" s="1" customFormat="1" ht="19.5" customHeight="1" x14ac:dyDescent="0.2">
      <c r="A93" s="426"/>
      <c r="B93" s="448"/>
      <c r="C93" s="426"/>
      <c r="D93" s="337" t="s">
        <v>637</v>
      </c>
      <c r="E93" s="280">
        <v>20</v>
      </c>
      <c r="F93" s="339" t="s">
        <v>577</v>
      </c>
      <c r="G93" s="340" t="s">
        <v>218</v>
      </c>
      <c r="H93" s="33">
        <v>2</v>
      </c>
      <c r="I93" s="340" t="s">
        <v>38</v>
      </c>
      <c r="J93" s="642"/>
    </row>
    <row r="94" spans="1:10" s="1" customFormat="1" ht="16.5" x14ac:dyDescent="0.2">
      <c r="A94" s="426"/>
      <c r="B94" s="448"/>
      <c r="C94" s="426" t="s">
        <v>199</v>
      </c>
      <c r="D94" s="339" t="s">
        <v>638</v>
      </c>
      <c r="E94" s="280">
        <v>30</v>
      </c>
      <c r="F94" s="332" t="s">
        <v>570</v>
      </c>
      <c r="G94" s="340" t="s">
        <v>202</v>
      </c>
      <c r="H94" s="273">
        <v>1</v>
      </c>
      <c r="I94" s="347" t="s">
        <v>610</v>
      </c>
      <c r="J94" s="626" t="s">
        <v>551</v>
      </c>
    </row>
    <row r="95" spans="1:10" s="1" customFormat="1" ht="16.5" x14ac:dyDescent="0.2">
      <c r="A95" s="426"/>
      <c r="B95" s="448"/>
      <c r="C95" s="426"/>
      <c r="D95" s="339" t="s">
        <v>639</v>
      </c>
      <c r="E95" s="55">
        <f>5%*200</f>
        <v>10</v>
      </c>
      <c r="F95" s="332" t="s">
        <v>506</v>
      </c>
      <c r="G95" s="340" t="s">
        <v>202</v>
      </c>
      <c r="H95" s="273">
        <v>1</v>
      </c>
      <c r="I95" s="347" t="s">
        <v>610</v>
      </c>
      <c r="J95" s="626"/>
    </row>
    <row r="96" spans="1:10" s="1" customFormat="1" ht="33" x14ac:dyDescent="0.2">
      <c r="A96" s="426"/>
      <c r="B96" s="448"/>
      <c r="C96" s="426"/>
      <c r="D96" s="339" t="s">
        <v>640</v>
      </c>
      <c r="E96" s="55">
        <f>5%*200</f>
        <v>10</v>
      </c>
      <c r="F96" s="332" t="s">
        <v>507</v>
      </c>
      <c r="G96" s="340" t="s">
        <v>209</v>
      </c>
      <c r="H96" s="273">
        <v>2</v>
      </c>
      <c r="I96" s="355" t="s">
        <v>610</v>
      </c>
      <c r="J96" s="626"/>
    </row>
    <row r="97" ht="18.75" customHeight="1" x14ac:dyDescent="0.2"/>
  </sheetData>
  <mergeCells count="122">
    <mergeCell ref="A2:A3"/>
    <mergeCell ref="C2:C3"/>
    <mergeCell ref="D2:D3"/>
    <mergeCell ref="E2:E3"/>
    <mergeCell ref="F2:F3"/>
    <mergeCell ref="G2:H2"/>
    <mergeCell ref="A4:A18"/>
    <mergeCell ref="B4:B18"/>
    <mergeCell ref="B2:B3"/>
    <mergeCell ref="B30:B44"/>
    <mergeCell ref="C30:C34"/>
    <mergeCell ref="D30:D34"/>
    <mergeCell ref="D15:D18"/>
    <mergeCell ref="E15:E18"/>
    <mergeCell ref="F15:F18"/>
    <mergeCell ref="I4:I8"/>
    <mergeCell ref="C12:C14"/>
    <mergeCell ref="D12:D14"/>
    <mergeCell ref="E12:E14"/>
    <mergeCell ref="F12:F14"/>
    <mergeCell ref="I12:I14"/>
    <mergeCell ref="I27:I29"/>
    <mergeCell ref="E30:E34"/>
    <mergeCell ref="C19:C29"/>
    <mergeCell ref="I19:I26"/>
    <mergeCell ref="C4:C10"/>
    <mergeCell ref="D4:D8"/>
    <mergeCell ref="E4:E8"/>
    <mergeCell ref="F4:F8"/>
    <mergeCell ref="B45:B50"/>
    <mergeCell ref="A1:I1"/>
    <mergeCell ref="A19:A44"/>
    <mergeCell ref="B51:B78"/>
    <mergeCell ref="B88:B96"/>
    <mergeCell ref="A51:A96"/>
    <mergeCell ref="C88:C89"/>
    <mergeCell ref="C90:C91"/>
    <mergeCell ref="C92:C93"/>
    <mergeCell ref="C94:C96"/>
    <mergeCell ref="I69:I73"/>
    <mergeCell ref="D74:D78"/>
    <mergeCell ref="E74:E78"/>
    <mergeCell ref="F74:F78"/>
    <mergeCell ref="I74:I78"/>
    <mergeCell ref="I57:I62"/>
    <mergeCell ref="C63:C78"/>
    <mergeCell ref="D63:D68"/>
    <mergeCell ref="A45:A50"/>
    <mergeCell ref="I37:I41"/>
    <mergeCell ref="C42:C44"/>
    <mergeCell ref="D42:D44"/>
    <mergeCell ref="E42:E44"/>
    <mergeCell ref="F42:F44"/>
    <mergeCell ref="D69:D73"/>
    <mergeCell ref="E69:E73"/>
    <mergeCell ref="D52:D56"/>
    <mergeCell ref="E52:E56"/>
    <mergeCell ref="F52:F56"/>
    <mergeCell ref="D57:D62"/>
    <mergeCell ref="E57:E62"/>
    <mergeCell ref="F57:F62"/>
    <mergeCell ref="F69:F73"/>
    <mergeCell ref="C37:C41"/>
    <mergeCell ref="D37:D41"/>
    <mergeCell ref="E37:E41"/>
    <mergeCell ref="F37:F41"/>
    <mergeCell ref="F30:F34"/>
    <mergeCell ref="I30:I31"/>
    <mergeCell ref="I32:I34"/>
    <mergeCell ref="C35:C36"/>
    <mergeCell ref="D35:D36"/>
    <mergeCell ref="E35:E36"/>
    <mergeCell ref="F35:F36"/>
    <mergeCell ref="I35:I36"/>
    <mergeCell ref="B79:B87"/>
    <mergeCell ref="C79:C80"/>
    <mergeCell ref="E79:E80"/>
    <mergeCell ref="C83:C87"/>
    <mergeCell ref="I15:I18"/>
    <mergeCell ref="B19:B29"/>
    <mergeCell ref="C15:C18"/>
    <mergeCell ref="D19:D26"/>
    <mergeCell ref="F19:F26"/>
    <mergeCell ref="E19:E26"/>
    <mergeCell ref="E63:E68"/>
    <mergeCell ref="F63:F68"/>
    <mergeCell ref="D46:D47"/>
    <mergeCell ref="I63:I68"/>
    <mergeCell ref="C52:C62"/>
    <mergeCell ref="I52:I56"/>
    <mergeCell ref="C46:C47"/>
    <mergeCell ref="F46:F47"/>
    <mergeCell ref="I46:I47"/>
    <mergeCell ref="D27:D29"/>
    <mergeCell ref="E27:E29"/>
    <mergeCell ref="F27:F29"/>
    <mergeCell ref="I48:I49"/>
    <mergeCell ref="I79:I80"/>
    <mergeCell ref="I88:I89"/>
    <mergeCell ref="I90:I91"/>
    <mergeCell ref="E88:E89"/>
    <mergeCell ref="J94:J96"/>
    <mergeCell ref="J2:J3"/>
    <mergeCell ref="J4:J14"/>
    <mergeCell ref="J15:J18"/>
    <mergeCell ref="J19:J25"/>
    <mergeCell ref="J27:J29"/>
    <mergeCell ref="J30:J41"/>
    <mergeCell ref="J42:J44"/>
    <mergeCell ref="J46:J49"/>
    <mergeCell ref="J52:J56"/>
    <mergeCell ref="J57:J62"/>
    <mergeCell ref="J63:J68"/>
    <mergeCell ref="J69:J73"/>
    <mergeCell ref="J74:J78"/>
    <mergeCell ref="J79:J82"/>
    <mergeCell ref="J83:J87"/>
    <mergeCell ref="J88:J91"/>
    <mergeCell ref="J92:J93"/>
    <mergeCell ref="E46:E47"/>
    <mergeCell ref="I42:I44"/>
    <mergeCell ref="I2:I3"/>
  </mergeCells>
  <phoneticPr fontId="2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2021.3.29</vt:lpstr>
      <vt:lpstr>2021.4.14</vt:lpstr>
      <vt:lpstr>2021.4.16</vt:lpstr>
      <vt:lpstr>2021.4.20</vt:lpstr>
      <vt:lpstr>2021.4.25</vt:lpstr>
      <vt:lpstr>2021.4.26</vt:lpstr>
      <vt:lpstr>2021.4.29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2021-04-22T06:32:05Z</cp:lastPrinted>
  <dcterms:created xsi:type="dcterms:W3CDTF">2015-06-05T18:19:00Z</dcterms:created>
  <dcterms:modified xsi:type="dcterms:W3CDTF">2021-04-30T13:40:54Z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FA698B72643A4ECEB0815FC01DBAE18C</vt:lpwstr>
  </property>
  <property fmtid="{D5CDD505-2E9C-101B-9397-08002B2CF9AE}" pid="3" name="KSOProductBuildVer">
    <vt:lpwstr>2052-11.1.0.10356</vt:lpwstr>
  </property>
</Properties>
</file>