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77" windowHeight="16677" activeTab="1"/>
  </bookViews>
  <sheets>
    <sheet name="dps计算器" sheetId="2" r:id="rId1"/>
    <sheet name="数据支持" sheetId="1" r:id="rId2"/>
  </sheets>
  <calcPr calcId="144525"/>
</workbook>
</file>

<file path=xl/sharedStrings.xml><?xml version="1.0" encoding="utf-8"?>
<sst xmlns="http://schemas.openxmlformats.org/spreadsheetml/2006/main" count="161">
  <si>
    <t>角色属性</t>
  </si>
  <si>
    <t>输入</t>
  </si>
  <si>
    <t>元气</t>
  </si>
  <si>
    <t>基础攻击</t>
  </si>
  <si>
    <t>面板攻击</t>
  </si>
  <si>
    <t>会心</t>
  </si>
  <si>
    <t>会效</t>
  </si>
  <si>
    <t>破防</t>
  </si>
  <si>
    <t>无双</t>
  </si>
  <si>
    <t>命中</t>
  </si>
  <si>
    <t>加速</t>
  </si>
  <si>
    <t>套装攻击</t>
  </si>
  <si>
    <t>套装技能</t>
  </si>
  <si>
    <t>修改绿色部分</t>
  </si>
  <si>
    <t>团队增益</t>
  </si>
  <si>
    <t>小药磨石</t>
  </si>
  <si>
    <t>宴席</t>
  </si>
  <si>
    <t>帮会宴席</t>
  </si>
  <si>
    <t>水煮鱼</t>
  </si>
  <si>
    <t>阵</t>
  </si>
  <si>
    <t>秀气</t>
  </si>
  <si>
    <t>清隽</t>
  </si>
  <si>
    <t>金刚怒目</t>
  </si>
  <si>
    <t>尾后阵</t>
  </si>
  <si>
    <t>分澜</t>
  </si>
  <si>
    <t>戒火斩</t>
  </si>
  <si>
    <t>立地成佛</t>
  </si>
  <si>
    <t>破苍穹</t>
  </si>
  <si>
    <t>计算属性</t>
  </si>
  <si>
    <t>目标属性</t>
  </si>
  <si>
    <t>等级</t>
  </si>
  <si>
    <t>防御</t>
  </si>
  <si>
    <t>实际内防（倚天）</t>
  </si>
  <si>
    <t>减伤</t>
  </si>
  <si>
    <t>命中要求</t>
  </si>
  <si>
    <t>无双要求</t>
  </si>
  <si>
    <t>DPS</t>
  </si>
  <si>
    <t>常见目标</t>
  </si>
  <si>
    <t>102木桩</t>
  </si>
  <si>
    <t>103木桩/25英雄</t>
  </si>
  <si>
    <t>春寒流离</t>
  </si>
  <si>
    <t>加成</t>
  </si>
  <si>
    <t>全局加成</t>
  </si>
  <si>
    <t>噬骨10%</t>
  </si>
  <si>
    <t>倚天20%无视</t>
  </si>
  <si>
    <t>涓流</t>
  </si>
  <si>
    <t>清流</t>
  </si>
  <si>
    <t>循环是从开水月开始算，水月CD好结束</t>
  </si>
  <si>
    <t>快雪加成</t>
  </si>
  <si>
    <t>秘籍12%</t>
  </si>
  <si>
    <t>弹指10%双会</t>
  </si>
  <si>
    <t>雪中行10%每dot</t>
  </si>
  <si>
    <t>焚玉24%</t>
  </si>
  <si>
    <t>青冠15%双会</t>
  </si>
  <si>
    <t>雪弃20%</t>
  </si>
  <si>
    <t>阳明加成</t>
  </si>
  <si>
    <t>秘籍4%伤3%会</t>
  </si>
  <si>
    <t>DOT加成</t>
  </si>
  <si>
    <t>生息10%</t>
  </si>
  <si>
    <t>技能</t>
  </si>
  <si>
    <t>1min(61S)EDPS</t>
  </si>
  <si>
    <t>攻击力加成</t>
  </si>
  <si>
    <t>伤害加成</t>
  </si>
  <si>
    <t>额外会心</t>
  </si>
  <si>
    <t>额外会效</t>
  </si>
  <si>
    <t>最终伤害加成</t>
  </si>
  <si>
    <t>最终会心</t>
  </si>
  <si>
    <t>最终会效</t>
  </si>
  <si>
    <t>会心伤害</t>
  </si>
  <si>
    <t>命中伤害</t>
  </si>
  <si>
    <t>识破伤害</t>
  </si>
  <si>
    <t>Miss概率</t>
  </si>
  <si>
    <t>识破概率</t>
  </si>
  <si>
    <t>会心概率</t>
  </si>
  <si>
    <t>普通命中概率</t>
  </si>
  <si>
    <t>单次期望</t>
  </si>
  <si>
    <t>技能个数</t>
  </si>
  <si>
    <t>累计伤害</t>
  </si>
  <si>
    <t>水月乱洒</t>
  </si>
  <si>
    <t>阳明</t>
  </si>
  <si>
    <t>商阳（DOT）</t>
  </si>
  <si>
    <t>兰摧（DOT）</t>
  </si>
  <si>
    <t>钟林（DOT）</t>
  </si>
  <si>
    <t>快雪（21雪中行）</t>
  </si>
  <si>
    <t>商阳</t>
  </si>
  <si>
    <t>商阳（雪中行）</t>
  </si>
  <si>
    <t>兰摧（雪中行）</t>
  </si>
  <si>
    <t>钟林（雪中行）</t>
  </si>
  <si>
    <t>商阳（触发）</t>
  </si>
  <si>
    <t>兰摧（触发）</t>
  </si>
  <si>
    <t>钟林（触发）</t>
  </si>
  <si>
    <t>玉石（水月乱洒）</t>
  </si>
  <si>
    <t>快雪（17雪中行）</t>
  </si>
  <si>
    <t>快雪（11雪中行）</t>
  </si>
  <si>
    <t>快雪（无雪中行）</t>
  </si>
  <si>
    <t>玉石</t>
  </si>
  <si>
    <t>技能占比</t>
  </si>
  <si>
    <t>单属性收益</t>
  </si>
  <si>
    <t>次数</t>
  </si>
  <si>
    <t>伤害</t>
  </si>
  <si>
    <t>占比</t>
  </si>
  <si>
    <t>基础dps</t>
  </si>
  <si>
    <t>增加dps</t>
  </si>
  <si>
    <t>每点增益</t>
  </si>
  <si>
    <t>快雪时晴</t>
  </si>
  <si>
    <t>元气+10</t>
  </si>
  <si>
    <t>兰摧玉折（DOT）</t>
  </si>
  <si>
    <t>基础攻击+10</t>
  </si>
  <si>
    <t>钟灵毓秀（DOT）</t>
  </si>
  <si>
    <t>会心1%</t>
  </si>
  <si>
    <t>商阳指（DOT)</t>
  </si>
  <si>
    <t>会效1%</t>
  </si>
  <si>
    <t>商阳指</t>
  </si>
  <si>
    <t>破防1%</t>
  </si>
  <si>
    <t>兰摧玉折</t>
  </si>
  <si>
    <t>无双1%</t>
  </si>
  <si>
    <t>钟灵毓秀</t>
  </si>
  <si>
    <t>玉石俱焚</t>
  </si>
  <si>
    <t>阳明指</t>
  </si>
  <si>
    <t>系数测试</t>
  </si>
  <si>
    <t>破防等级</t>
  </si>
  <si>
    <t>木桩减伤</t>
  </si>
  <si>
    <t>实际伤害</t>
  </si>
  <si>
    <t>实际系数</t>
  </si>
  <si>
    <t>面板伤害</t>
  </si>
  <si>
    <t>面板系数</t>
  </si>
  <si>
    <t>快雪</t>
  </si>
  <si>
    <t>兰摧</t>
  </si>
  <si>
    <t>钟林</t>
  </si>
  <si>
    <t>商阳首跳</t>
  </si>
  <si>
    <t>商阳触发</t>
  </si>
  <si>
    <t>兰摧触发</t>
  </si>
  <si>
    <t>钟林触发</t>
  </si>
  <si>
    <t>商阳首跳（雪中行）</t>
  </si>
  <si>
    <t>兰摧首跳（雪中行）</t>
  </si>
  <si>
    <t>钟林首跳（雪中行）</t>
  </si>
  <si>
    <t>验证组</t>
  </si>
  <si>
    <t>雪中行快雪测试</t>
  </si>
  <si>
    <t>增幅</t>
  </si>
  <si>
    <t>单独快雪</t>
  </si>
  <si>
    <t>吞噬6跳商阳</t>
  </si>
  <si>
    <t>吞噬1跳商阳</t>
  </si>
  <si>
    <t>吞噬6跳兰摧+6跳钟林</t>
  </si>
  <si>
    <t>生息循环剩余跳数</t>
  </si>
  <si>
    <t>兰摧1商阳2钟林2</t>
  </si>
  <si>
    <t>流离循环剩余跳数</t>
  </si>
  <si>
    <t>兰摧3商阳4钟林4</t>
  </si>
  <si>
    <t>焚玉测试</t>
  </si>
  <si>
    <t>1dot快雪</t>
  </si>
  <si>
    <t>2dot快雪</t>
  </si>
  <si>
    <t>3dot快雪</t>
  </si>
  <si>
    <t>玉石剩余跳数</t>
  </si>
  <si>
    <t>起手直接爆</t>
  </si>
  <si>
    <t>5阳明爆</t>
  </si>
  <si>
    <t>12阳明爆</t>
  </si>
  <si>
    <t>20阳明爆</t>
  </si>
  <si>
    <t>7-7-7</t>
  </si>
  <si>
    <r>
      <rPr>
        <sz val="11"/>
        <color theme="1"/>
        <rFont val="等线"/>
        <charset val="134"/>
        <scheme val="minor"/>
      </rPr>
      <t>5-</t>
    </r>
    <r>
      <rPr>
        <sz val="11"/>
        <color theme="1"/>
        <rFont val="等线"/>
        <charset val="134"/>
        <scheme val="minor"/>
      </rPr>
      <t>6-6</t>
    </r>
  </si>
  <si>
    <t>3-4-4</t>
  </si>
  <si>
    <t>5-6-6</t>
  </si>
  <si>
    <t>2-3-3</t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</si>
</sst>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2"/>
      <name val="微软雅黑"/>
      <charset val="134"/>
    </font>
    <font>
      <sz val="11"/>
      <name val="微软雅黑"/>
      <charset val="134"/>
    </font>
    <font>
      <sz val="11"/>
      <color theme="0" tint="-0.249977111117893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3" fillId="33" borderId="1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19" borderId="1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7" fillId="19" borderId="13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67">
    <xf numFmtId="0" fontId="0" fillId="0" borderId="0" xfId="0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/>
    </xf>
    <xf numFmtId="10" fontId="1" fillId="8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left" vertical="top"/>
    </xf>
    <xf numFmtId="0" fontId="1" fillId="9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  <xf numFmtId="178" fontId="1" fillId="8" borderId="0" xfId="0" applyNumberFormat="1" applyFont="1" applyFill="1" applyBorder="1" applyAlignment="1">
      <alignment horizontal="center" vertical="center"/>
    </xf>
    <xf numFmtId="178" fontId="4" fillId="8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/>
    </xf>
    <xf numFmtId="177" fontId="1" fillId="0" borderId="0" xfId="0" applyNumberFormat="1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10" borderId="0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8" borderId="0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628650</xdr:colOff>
      <xdr:row>10</xdr:row>
      <xdr:rowOff>104775</xdr:rowOff>
    </xdr:from>
    <xdr:to>
      <xdr:col>16</xdr:col>
      <xdr:colOff>382296</xdr:colOff>
      <xdr:row>27</xdr:row>
      <xdr:rowOff>52595</xdr:rowOff>
    </xdr:to>
    <xdr:pic>
      <xdr:nvPicPr>
        <xdr:cNvPr id="2" name="图片 1" descr="属性系数对比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8445" y="1800225"/>
          <a:ext cx="5114290" cy="282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1B222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2"/>
  <sheetViews>
    <sheetView topLeftCell="A13" workbookViewId="0">
      <selection activeCell="K53" sqref="K53"/>
    </sheetView>
  </sheetViews>
  <sheetFormatPr defaultColWidth="9" defaultRowHeight="13.35"/>
  <cols>
    <col min="1" max="1" width="3.25373134328358" style="12" customWidth="1"/>
    <col min="2" max="2" width="23.7537313432836" style="12" customWidth="1"/>
    <col min="3" max="16" width="10.6268656716418" style="12" customWidth="1"/>
    <col min="17" max="17" width="10.6268656716418" style="13" customWidth="1"/>
    <col min="18" max="18" width="10.6268656716418" style="12" customWidth="1"/>
    <col min="19" max="16384" width="9" style="12"/>
  </cols>
  <sheetData>
    <row r="1" spans="1:1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="12" customFormat="1" spans="1:19">
      <c r="A2" s="15" t="s">
        <v>1</v>
      </c>
      <c r="B2" s="15"/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50" t="s">
        <v>13</v>
      </c>
      <c r="O2" s="50"/>
      <c r="P2" s="50"/>
      <c r="Q2" s="50"/>
      <c r="R2" s="50"/>
      <c r="S2" s="50"/>
    </row>
    <row r="3" s="12" customFormat="1" spans="1:19">
      <c r="A3" s="15"/>
      <c r="B3" s="15"/>
      <c r="C3" s="15">
        <v>1822</v>
      </c>
      <c r="D3" s="15">
        <v>5674</v>
      </c>
      <c r="E3" s="12">
        <f>C3*1.95+D3*IF(L3=1,1.1,1)</f>
        <v>9226.9</v>
      </c>
      <c r="F3" s="35">
        <v>0.1047</v>
      </c>
      <c r="G3" s="35">
        <v>1.75</v>
      </c>
      <c r="H3" s="35">
        <v>0.4099</v>
      </c>
      <c r="I3" s="35">
        <v>0.1824</v>
      </c>
      <c r="J3" s="35">
        <v>1.0577</v>
      </c>
      <c r="K3" s="15">
        <v>994</v>
      </c>
      <c r="L3" s="15">
        <v>0</v>
      </c>
      <c r="M3" s="15">
        <v>1</v>
      </c>
      <c r="N3" s="50"/>
      <c r="O3" s="50"/>
      <c r="P3" s="50"/>
      <c r="Q3" s="50"/>
      <c r="R3" s="50"/>
      <c r="S3" s="50"/>
    </row>
    <row r="4" s="12" customFormat="1" spans="1:19">
      <c r="A4" s="16" t="s">
        <v>14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40"/>
      <c r="M4" s="17"/>
      <c r="N4" s="50"/>
      <c r="O4" s="50"/>
      <c r="P4" s="50"/>
      <c r="Q4" s="50"/>
      <c r="R4" s="50"/>
      <c r="S4" s="50"/>
    </row>
    <row r="5" s="12" customFormat="1" spans="1:19">
      <c r="A5" s="17" t="s">
        <v>15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5"/>
      <c r="M5" s="17"/>
      <c r="N5" s="50"/>
      <c r="O5" s="50"/>
      <c r="P5" s="50"/>
      <c r="Q5" s="50"/>
      <c r="R5" s="50"/>
      <c r="S5" s="50"/>
    </row>
    <row r="6" s="12" customFormat="1" spans="1:19">
      <c r="A6" s="17" t="s">
        <v>16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5"/>
      <c r="M6" s="17"/>
      <c r="N6" s="50"/>
      <c r="O6" s="50"/>
      <c r="P6" s="50"/>
      <c r="Q6" s="50"/>
      <c r="R6" s="50"/>
      <c r="S6" s="50"/>
    </row>
    <row r="7" s="12" customFormat="1" spans="1:19">
      <c r="A7" s="17" t="s">
        <v>17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5"/>
      <c r="M7" s="17"/>
      <c r="N7" s="50"/>
      <c r="O7" s="50"/>
      <c r="P7" s="50"/>
      <c r="Q7" s="50"/>
      <c r="R7" s="50"/>
      <c r="S7" s="50"/>
    </row>
    <row r="8" s="12" customFormat="1" spans="1:19">
      <c r="A8" s="17" t="s">
        <v>18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5"/>
      <c r="M8" s="17"/>
      <c r="N8" s="50"/>
      <c r="O8" s="50"/>
      <c r="P8" s="50"/>
      <c r="Q8" s="50"/>
      <c r="R8" s="50"/>
      <c r="S8" s="50"/>
    </row>
    <row r="9" s="12" customFormat="1" spans="1:19">
      <c r="A9" s="17" t="s">
        <v>19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5"/>
      <c r="M9" s="17"/>
      <c r="N9" s="50"/>
      <c r="O9" s="50"/>
      <c r="P9" s="50"/>
      <c r="Q9" s="50"/>
      <c r="R9" s="50"/>
      <c r="S9" s="50"/>
    </row>
    <row r="10" s="12" customFormat="1" spans="1:19">
      <c r="A10" s="17" t="s">
        <v>20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5"/>
      <c r="M10" s="17"/>
      <c r="N10" s="50"/>
      <c r="O10" s="50"/>
      <c r="P10" s="50"/>
      <c r="Q10" s="50"/>
      <c r="R10" s="50"/>
      <c r="S10" s="50"/>
    </row>
    <row r="11" s="12" customFormat="1" spans="1:19">
      <c r="A11" s="17" t="s">
        <v>21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5"/>
      <c r="M11" s="17"/>
      <c r="N11" s="50"/>
      <c r="O11" s="50"/>
      <c r="P11" s="50"/>
      <c r="Q11" s="50"/>
      <c r="R11" s="50"/>
      <c r="S11" s="50"/>
    </row>
    <row r="12" s="12" customFormat="1" spans="1:19">
      <c r="A12" s="17" t="s">
        <v>22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5"/>
      <c r="M12" s="17"/>
      <c r="N12" s="50"/>
      <c r="O12" s="50"/>
      <c r="P12" s="50"/>
      <c r="Q12" s="50"/>
      <c r="R12" s="50"/>
      <c r="S12" s="50"/>
    </row>
    <row r="13" s="12" customFormat="1" spans="1:19">
      <c r="A13" s="17" t="s">
        <v>23</v>
      </c>
      <c r="B13" s="17"/>
      <c r="C13" s="17"/>
      <c r="D13" s="18">
        <v>0.1</v>
      </c>
      <c r="E13" s="17"/>
      <c r="F13" s="17"/>
      <c r="G13" s="17"/>
      <c r="H13" s="17"/>
      <c r="I13" s="17"/>
      <c r="J13" s="17"/>
      <c r="K13" s="17"/>
      <c r="L13" s="15"/>
      <c r="M13" s="17"/>
      <c r="N13" s="50"/>
      <c r="O13" s="50"/>
      <c r="P13" s="50"/>
      <c r="Q13" s="50"/>
      <c r="R13" s="50"/>
      <c r="S13" s="50"/>
    </row>
    <row r="14" s="12" customFormat="1" spans="1:19">
      <c r="A14" s="17" t="s">
        <v>24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  <c r="M14" s="17"/>
      <c r="N14" s="50"/>
      <c r="O14" s="50"/>
      <c r="P14" s="50"/>
      <c r="Q14" s="50"/>
      <c r="R14" s="50"/>
      <c r="S14" s="50"/>
    </row>
    <row r="15" s="12" customFormat="1" spans="1:19">
      <c r="A15" s="17" t="s">
        <v>25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5"/>
      <c r="M15" s="17"/>
      <c r="N15" s="50"/>
      <c r="O15" s="50"/>
      <c r="P15" s="50"/>
      <c r="Q15" s="50"/>
      <c r="R15" s="50"/>
      <c r="S15" s="50"/>
    </row>
    <row r="16" s="12" customFormat="1" spans="1:19">
      <c r="A16" s="17" t="s">
        <v>26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5"/>
      <c r="M16" s="17"/>
      <c r="N16" s="50"/>
      <c r="O16" s="50"/>
      <c r="P16" s="50"/>
      <c r="Q16" s="50"/>
      <c r="R16" s="50"/>
      <c r="S16" s="50"/>
    </row>
    <row r="17" s="12" customFormat="1" spans="1:19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5"/>
      <c r="M17" s="17"/>
      <c r="N17" s="50"/>
      <c r="O17" s="50"/>
      <c r="P17" s="50"/>
      <c r="Q17" s="50"/>
      <c r="R17" s="50"/>
      <c r="S17" s="50"/>
    </row>
    <row r="18" s="12" customFormat="1" spans="1:19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50"/>
      <c r="O18" s="50"/>
      <c r="P18" s="50"/>
      <c r="Q18" s="50"/>
      <c r="R18" s="50"/>
      <c r="S18" s="50"/>
    </row>
    <row r="19" spans="1:19">
      <c r="A19" s="12" t="s">
        <v>28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H19" s="12" t="s">
        <v>7</v>
      </c>
      <c r="I19" s="12" t="s">
        <v>8</v>
      </c>
      <c r="J19" s="12" t="s">
        <v>9</v>
      </c>
      <c r="K19" s="12" t="s">
        <v>10</v>
      </c>
      <c r="L19" s="12" t="s">
        <v>11</v>
      </c>
      <c r="M19" s="12" t="s">
        <v>12</v>
      </c>
      <c r="N19" s="50"/>
      <c r="O19" s="50"/>
      <c r="P19" s="50"/>
      <c r="Q19" s="50"/>
      <c r="R19" s="50"/>
      <c r="S19" s="50"/>
    </row>
    <row r="20" spans="3:19">
      <c r="C20" s="12">
        <f>C3</f>
        <v>1822</v>
      </c>
      <c r="D20" s="12">
        <f>D3</f>
        <v>5674</v>
      </c>
      <c r="E20" s="12">
        <f>C20*1.95+D20*IF(L20=1,1.1,1)</f>
        <v>9226.9</v>
      </c>
      <c r="F20" s="36">
        <f>F3</f>
        <v>0.1047</v>
      </c>
      <c r="G20" s="36">
        <f>G3</f>
        <v>1.75</v>
      </c>
      <c r="H20" s="36">
        <f>H3</f>
        <v>0.4099</v>
      </c>
      <c r="I20" s="36">
        <f>I3</f>
        <v>0.1824</v>
      </c>
      <c r="J20" s="36">
        <f>J3</f>
        <v>1.0577</v>
      </c>
      <c r="K20" s="12">
        <v>994</v>
      </c>
      <c r="L20" s="12">
        <f>L3</f>
        <v>0</v>
      </c>
      <c r="M20" s="12">
        <f>M3</f>
        <v>1</v>
      </c>
      <c r="N20" s="50"/>
      <c r="O20" s="50"/>
      <c r="P20" s="50"/>
      <c r="Q20" s="50"/>
      <c r="R20" s="50"/>
      <c r="S20" s="50"/>
    </row>
    <row r="21" spans="1:19">
      <c r="A21" s="14" t="s">
        <v>29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3:19">
      <c r="C22" s="12" t="s">
        <v>30</v>
      </c>
      <c r="D22" s="12" t="s">
        <v>31</v>
      </c>
      <c r="E22" s="12" t="s">
        <v>32</v>
      </c>
      <c r="F22" s="12" t="s">
        <v>33</v>
      </c>
      <c r="G22" s="12" t="s">
        <v>34</v>
      </c>
      <c r="H22" s="36" t="s">
        <v>35</v>
      </c>
      <c r="I22" s="17" t="s">
        <v>36</v>
      </c>
      <c r="J22" s="41" t="s">
        <v>13</v>
      </c>
      <c r="K22" s="41"/>
      <c r="L22" s="12" t="s">
        <v>37</v>
      </c>
      <c r="M22" s="12" t="s">
        <v>38</v>
      </c>
      <c r="N22" s="17">
        <v>102</v>
      </c>
      <c r="O22" s="17">
        <v>2818</v>
      </c>
      <c r="P22" s="17">
        <f>O22*0.8</f>
        <v>2254.4</v>
      </c>
      <c r="Q22" s="37">
        <f>1-P22/(P22+(4.084*(N22*185-16800)))</f>
        <v>0.78947132499337</v>
      </c>
      <c r="R22" s="37">
        <v>1.05</v>
      </c>
      <c r="S22" s="37">
        <v>0.2</v>
      </c>
    </row>
    <row r="23" s="12" customFormat="1" ht="14.1" spans="3:19">
      <c r="C23" s="17">
        <v>102</v>
      </c>
      <c r="D23" s="17">
        <v>2818</v>
      </c>
      <c r="E23" s="17">
        <f>D23*0.8</f>
        <v>2254.4</v>
      </c>
      <c r="F23" s="37">
        <f>1-E23/(E23+(4.084*(C23*185-16800)))</f>
        <v>0.78947132499337</v>
      </c>
      <c r="G23" s="37">
        <v>1.05</v>
      </c>
      <c r="H23" s="37">
        <v>0.2</v>
      </c>
      <c r="I23" s="42">
        <f>S60</f>
        <v>30769.9017189613</v>
      </c>
      <c r="J23" s="41"/>
      <c r="K23" s="41"/>
      <c r="M23" s="12" t="s">
        <v>39</v>
      </c>
      <c r="N23" s="17">
        <v>103</v>
      </c>
      <c r="O23" s="17">
        <v>4959</v>
      </c>
      <c r="P23" s="17">
        <f>O23*0.8</f>
        <v>3967.2</v>
      </c>
      <c r="Q23" s="37">
        <f>1-P23/(P23+(4.084*(N23*185-16800)))</f>
        <v>0.698921271160586</v>
      </c>
      <c r="R23" s="37">
        <v>1.1</v>
      </c>
      <c r="S23" s="37">
        <v>0.3</v>
      </c>
    </row>
    <row r="24" ht="14.1" spans="1:19">
      <c r="A24" s="19" t="s">
        <v>40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52"/>
    </row>
    <row r="25" spans="1:19">
      <c r="A25" s="21" t="s">
        <v>41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3"/>
    </row>
    <row r="26" spans="1:19">
      <c r="A26" s="23"/>
      <c r="B26" s="24" t="s">
        <v>42</v>
      </c>
      <c r="C26" s="24" t="s">
        <v>43</v>
      </c>
      <c r="D26" s="24" t="s">
        <v>44</v>
      </c>
      <c r="E26" s="24"/>
      <c r="F26" s="38" t="s">
        <v>45</v>
      </c>
      <c r="G26" s="38" t="s">
        <v>46</v>
      </c>
      <c r="H26" s="24"/>
      <c r="I26" s="24"/>
      <c r="J26" s="24"/>
      <c r="K26" s="24"/>
      <c r="L26" s="43" t="s">
        <v>47</v>
      </c>
      <c r="M26" s="43"/>
      <c r="N26" s="43"/>
      <c r="O26" s="43"/>
      <c r="P26" s="43"/>
      <c r="Q26" s="43"/>
      <c r="R26" s="43"/>
      <c r="S26" s="54"/>
    </row>
    <row r="27" spans="1:19">
      <c r="A27" s="23"/>
      <c r="B27" s="24" t="s">
        <v>48</v>
      </c>
      <c r="C27" s="24" t="s">
        <v>49</v>
      </c>
      <c r="D27" s="24" t="s">
        <v>50</v>
      </c>
      <c r="E27" s="24"/>
      <c r="F27" s="24" t="s">
        <v>51</v>
      </c>
      <c r="G27" s="24"/>
      <c r="H27" s="24" t="s">
        <v>52</v>
      </c>
      <c r="I27" s="24" t="s">
        <v>53</v>
      </c>
      <c r="J27" s="24"/>
      <c r="K27" s="24" t="s">
        <v>54</v>
      </c>
      <c r="L27" s="43"/>
      <c r="M27" s="43"/>
      <c r="N27" s="43"/>
      <c r="O27" s="43"/>
      <c r="P27" s="43"/>
      <c r="Q27" s="43"/>
      <c r="R27" s="43"/>
      <c r="S27" s="54"/>
    </row>
    <row r="28" spans="1:21">
      <c r="A28" s="23"/>
      <c r="B28" s="24" t="s">
        <v>55</v>
      </c>
      <c r="C28" s="24" t="s">
        <v>56</v>
      </c>
      <c r="D28" s="24"/>
      <c r="E28" s="24" t="s">
        <v>53</v>
      </c>
      <c r="F28" s="24"/>
      <c r="G28" s="24"/>
      <c r="H28" s="24"/>
      <c r="I28" s="24"/>
      <c r="J28" s="24"/>
      <c r="K28" s="24"/>
      <c r="L28" s="43"/>
      <c r="M28" s="43"/>
      <c r="N28" s="43"/>
      <c r="O28" s="43"/>
      <c r="P28" s="43"/>
      <c r="Q28" s="43"/>
      <c r="R28" s="43"/>
      <c r="S28" s="54"/>
      <c r="U28" s="32"/>
    </row>
    <row r="29" spans="1:21">
      <c r="A29" s="23"/>
      <c r="B29" s="25" t="s">
        <v>57</v>
      </c>
      <c r="C29" s="25" t="s">
        <v>58</v>
      </c>
      <c r="D29" s="24"/>
      <c r="E29" s="24"/>
      <c r="F29" s="24"/>
      <c r="G29" s="24"/>
      <c r="H29" s="24"/>
      <c r="I29" s="44"/>
      <c r="J29" s="44"/>
      <c r="K29" s="44"/>
      <c r="L29" s="43"/>
      <c r="M29" s="43"/>
      <c r="N29" s="43"/>
      <c r="O29" s="43"/>
      <c r="P29" s="43"/>
      <c r="Q29" s="43"/>
      <c r="R29" s="43"/>
      <c r="S29" s="54"/>
      <c r="U29" s="32"/>
    </row>
    <row r="30" spans="1:21">
      <c r="A30" s="26" t="s">
        <v>59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55" t="s">
        <v>60</v>
      </c>
      <c r="S30" s="56"/>
      <c r="U30" s="32"/>
    </row>
    <row r="31" spans="1:19">
      <c r="A31" s="23"/>
      <c r="B31" s="28"/>
      <c r="C31" s="28" t="s">
        <v>61</v>
      </c>
      <c r="D31" s="28" t="s">
        <v>62</v>
      </c>
      <c r="E31" s="28" t="s">
        <v>63</v>
      </c>
      <c r="F31" s="28" t="s">
        <v>64</v>
      </c>
      <c r="G31" s="28" t="s">
        <v>65</v>
      </c>
      <c r="H31" s="28" t="s">
        <v>66</v>
      </c>
      <c r="I31" s="28" t="s">
        <v>67</v>
      </c>
      <c r="J31" s="24" t="s">
        <v>68</v>
      </c>
      <c r="K31" s="28" t="s">
        <v>69</v>
      </c>
      <c r="L31" s="28" t="s">
        <v>70</v>
      </c>
      <c r="M31" s="28" t="s">
        <v>71</v>
      </c>
      <c r="N31" s="24" t="s">
        <v>72</v>
      </c>
      <c r="O31" s="24" t="s">
        <v>73</v>
      </c>
      <c r="P31" s="24" t="s">
        <v>74</v>
      </c>
      <c r="Q31" s="57" t="s">
        <v>75</v>
      </c>
      <c r="R31" s="24" t="s">
        <v>76</v>
      </c>
      <c r="S31" s="58" t="s">
        <v>77</v>
      </c>
    </row>
    <row r="32" s="12" customFormat="1" spans="1:19">
      <c r="A32" s="29" t="s">
        <v>78</v>
      </c>
      <c r="B32" s="30" t="s">
        <v>79</v>
      </c>
      <c r="C32" s="30">
        <f>1.18*(1+0.3*D20/E20)</f>
        <v>1.39768914803455</v>
      </c>
      <c r="D32" s="31">
        <f>1.04*1.1*IF($M$20=1,1.1,1)</f>
        <v>1.2584</v>
      </c>
      <c r="E32" s="31">
        <v>0.38</v>
      </c>
      <c r="F32" s="31">
        <v>0.15</v>
      </c>
      <c r="G32" s="31">
        <f>(1+$H$20)*D32</f>
        <v>1.77421816</v>
      </c>
      <c r="H32" s="31">
        <f>E32+F$20</f>
        <v>0.4847</v>
      </c>
      <c r="I32" s="31">
        <f>F32+G$20</f>
        <v>1.9</v>
      </c>
      <c r="J32" s="45">
        <f t="shared" ref="J32:J59" si="0">$E$20*C32*I32*G32*$F$23</f>
        <v>34321.2730516481</v>
      </c>
      <c r="K32" s="45">
        <f t="shared" ref="K32:K59" si="1">C32*$E$20*G32*$F$23</f>
        <v>18063.82792192</v>
      </c>
      <c r="L32" s="45">
        <f>K32*0.25</f>
        <v>4515.95698048001</v>
      </c>
      <c r="M32" s="31">
        <f t="shared" ref="M32:M59" si="2">IF($J$20&gt;$G$23,0,$G$23-$J$20)</f>
        <v>0</v>
      </c>
      <c r="N32" s="31">
        <f t="shared" ref="N32:N40" si="3">IF($H$23&gt;$I$20,$H$23-$I$20,0)</f>
        <v>0.0176</v>
      </c>
      <c r="O32" s="31">
        <f>IF(H32&gt;(1-M32-N32),(1-M32-N32),H32)</f>
        <v>0.4847</v>
      </c>
      <c r="P32" s="31">
        <f>IF((M32+N32+O32)=1,0,1-M32-N32-O32)</f>
        <v>0.4977</v>
      </c>
      <c r="Q32" s="59">
        <f>J32*O32+K32*P32+L32*N32</f>
        <v>25705.3690477299</v>
      </c>
      <c r="R32" s="30">
        <v>1</v>
      </c>
      <c r="S32" s="60">
        <f>R32*Q32</f>
        <v>25705.3690477299</v>
      </c>
    </row>
    <row r="33" s="12" customFormat="1" spans="1:19">
      <c r="A33" s="29"/>
      <c r="B33" s="30" t="s">
        <v>80</v>
      </c>
      <c r="C33" s="30">
        <f>(1+D20/E20*0.3)*0.29</f>
        <v>0.343499875364424</v>
      </c>
      <c r="D33" s="31">
        <v>1.1</v>
      </c>
      <c r="E33" s="31">
        <v>0.2</v>
      </c>
      <c r="F33" s="31"/>
      <c r="G33" s="31">
        <f t="shared" ref="G33:G36" si="4">(1+$H$20)*D33</f>
        <v>1.55089</v>
      </c>
      <c r="H33" s="31">
        <f t="shared" ref="H33:H45" si="5">E33+F$20</f>
        <v>0.3047</v>
      </c>
      <c r="I33" s="31">
        <f t="shared" ref="I33:I45" si="6">F33+G$20</f>
        <v>1.75</v>
      </c>
      <c r="J33" s="45">
        <f t="shared" si="0"/>
        <v>6791.06367071709</v>
      </c>
      <c r="K33" s="45">
        <f t="shared" si="1"/>
        <v>3880.60781183834</v>
      </c>
      <c r="L33" s="46">
        <f>K33*0.25</f>
        <v>970.151952959585</v>
      </c>
      <c r="M33" s="31">
        <f t="shared" si="2"/>
        <v>0</v>
      </c>
      <c r="N33" s="31">
        <f t="shared" si="3"/>
        <v>0.0176</v>
      </c>
      <c r="O33" s="31">
        <f t="shared" ref="O33:O45" si="7">IF(H33&gt;(1-M33-N33),(1-M33-N33),H33)</f>
        <v>0.3047</v>
      </c>
      <c r="P33" s="31">
        <f t="shared" ref="P33:P45" si="8">IF((M33+N33+O33)=1,0,1-M33-N33-O33)</f>
        <v>0.6777</v>
      </c>
      <c r="Q33" s="59">
        <f>J33*O33+K33*P33+L33*N33</f>
        <v>4716.19968892243</v>
      </c>
      <c r="R33" s="30">
        <v>14</v>
      </c>
      <c r="S33" s="60">
        <f t="shared" ref="S33:S59" si="9">R33*Q33</f>
        <v>66026.795644914</v>
      </c>
    </row>
    <row r="34" s="12" customFormat="1" spans="1:19">
      <c r="A34" s="29"/>
      <c r="B34" s="30" t="s">
        <v>81</v>
      </c>
      <c r="C34" s="30">
        <f>(1+D20/E20*0.3)*0.34</f>
        <v>0.402723991806566</v>
      </c>
      <c r="D34" s="31">
        <v>1.1</v>
      </c>
      <c r="E34" s="31">
        <v>0.2</v>
      </c>
      <c r="F34" s="31"/>
      <c r="G34" s="31">
        <f t="shared" si="4"/>
        <v>1.55089</v>
      </c>
      <c r="H34" s="31">
        <f t="shared" si="5"/>
        <v>0.3047</v>
      </c>
      <c r="I34" s="31">
        <f t="shared" si="6"/>
        <v>1.75</v>
      </c>
      <c r="J34" s="45">
        <f t="shared" si="0"/>
        <v>7961.93671739245</v>
      </c>
      <c r="K34" s="45">
        <f t="shared" si="1"/>
        <v>4549.67812422426</v>
      </c>
      <c r="L34" s="46">
        <f t="shared" ref="L34:L45" si="10">K34*0.25</f>
        <v>1137.41953105606</v>
      </c>
      <c r="M34" s="31">
        <f t="shared" si="2"/>
        <v>0</v>
      </c>
      <c r="N34" s="31">
        <f t="shared" si="3"/>
        <v>0.0176</v>
      </c>
      <c r="O34" s="31">
        <f t="shared" si="7"/>
        <v>0.3047</v>
      </c>
      <c r="P34" s="31">
        <f t="shared" si="8"/>
        <v>0.6777</v>
      </c>
      <c r="Q34" s="59">
        <f t="shared" ref="Q34:Q35" si="11">J34*O34+K34*P34+L34*N34</f>
        <v>5529.33756632285</v>
      </c>
      <c r="R34" s="30">
        <v>14</v>
      </c>
      <c r="S34" s="60">
        <f t="shared" si="9"/>
        <v>77410.7259285199</v>
      </c>
    </row>
    <row r="35" s="12" customFormat="1" spans="1:19">
      <c r="A35" s="29"/>
      <c r="B35" s="30" t="s">
        <v>82</v>
      </c>
      <c r="C35" s="30">
        <f>(1+D20/E20*0.3)*0.31</f>
        <v>0.36718952194128</v>
      </c>
      <c r="D35" s="31">
        <v>1.1</v>
      </c>
      <c r="E35" s="31">
        <v>0.2</v>
      </c>
      <c r="F35" s="31"/>
      <c r="G35" s="31">
        <f t="shared" si="4"/>
        <v>1.55089</v>
      </c>
      <c r="H35" s="31">
        <f t="shared" si="5"/>
        <v>0.3047</v>
      </c>
      <c r="I35" s="31">
        <f t="shared" si="6"/>
        <v>1.75</v>
      </c>
      <c r="J35" s="45">
        <f t="shared" si="0"/>
        <v>7259.41288938724</v>
      </c>
      <c r="K35" s="45">
        <f t="shared" si="1"/>
        <v>4148.23593679271</v>
      </c>
      <c r="L35" s="46">
        <f t="shared" si="10"/>
        <v>1037.05898419818</v>
      </c>
      <c r="M35" s="31">
        <f t="shared" si="2"/>
        <v>0</v>
      </c>
      <c r="N35" s="31">
        <f t="shared" si="3"/>
        <v>0.0176</v>
      </c>
      <c r="O35" s="31">
        <f t="shared" si="7"/>
        <v>0.3047</v>
      </c>
      <c r="P35" s="31">
        <f t="shared" si="8"/>
        <v>0.6777</v>
      </c>
      <c r="Q35" s="59">
        <f t="shared" si="11"/>
        <v>5041.4548398826</v>
      </c>
      <c r="R35" s="30">
        <v>14</v>
      </c>
      <c r="S35" s="60">
        <f t="shared" si="9"/>
        <v>70580.3677583564</v>
      </c>
    </row>
    <row r="36" s="12" customFormat="1" spans="1:19">
      <c r="A36" s="29"/>
      <c r="B36" s="30" t="s">
        <v>83</v>
      </c>
      <c r="C36" s="30">
        <f>(1+D20/E20*0.3)*0.42</f>
        <v>0.497482578113993</v>
      </c>
      <c r="D36" s="31">
        <f>1.12*1.1*(1+0.2+0.24+2.1)*IF($M$20=1,1.1,1)</f>
        <v>4.797408</v>
      </c>
      <c r="E36" s="31">
        <v>0.45</v>
      </c>
      <c r="F36" s="31">
        <v>0.25</v>
      </c>
      <c r="G36" s="31">
        <f t="shared" si="4"/>
        <v>6.7638655392</v>
      </c>
      <c r="H36" s="31">
        <f t="shared" si="5"/>
        <v>0.5547</v>
      </c>
      <c r="I36" s="31">
        <f t="shared" si="6"/>
        <v>2</v>
      </c>
      <c r="J36" s="45">
        <f t="shared" si="0"/>
        <v>49022.4499296415</v>
      </c>
      <c r="K36" s="45">
        <f t="shared" si="1"/>
        <v>24511.2249648207</v>
      </c>
      <c r="L36" s="45">
        <f t="shared" si="10"/>
        <v>6127.80624120518</v>
      </c>
      <c r="M36" s="31">
        <f t="shared" si="2"/>
        <v>0</v>
      </c>
      <c r="N36" s="31">
        <f t="shared" si="3"/>
        <v>0.0176</v>
      </c>
      <c r="O36" s="31">
        <f t="shared" si="7"/>
        <v>0.5547</v>
      </c>
      <c r="P36" s="31">
        <f t="shared" si="8"/>
        <v>0.4277</v>
      </c>
      <c r="Q36" s="59">
        <f>(J36*O36+K36*P36+L36*N36)</f>
        <v>37784.0532832711</v>
      </c>
      <c r="R36" s="30">
        <v>5</v>
      </c>
      <c r="S36" s="60">
        <f t="shared" si="9"/>
        <v>188920.266416356</v>
      </c>
    </row>
    <row r="37" s="12" customFormat="1" spans="1:19">
      <c r="A37" s="29"/>
      <c r="B37" s="30" t="s">
        <v>84</v>
      </c>
      <c r="C37" s="30">
        <f>(1+D20/E20*0.3)*0.33</f>
        <v>0.390879168518137</v>
      </c>
      <c r="D37" s="31">
        <v>1.1</v>
      </c>
      <c r="E37" s="31">
        <v>0.2</v>
      </c>
      <c r="F37" s="31"/>
      <c r="G37" s="31">
        <f t="shared" ref="G37:G46" si="12">(1+$H$20)*D37</f>
        <v>1.55089</v>
      </c>
      <c r="H37" s="31">
        <f t="shared" si="5"/>
        <v>0.3047</v>
      </c>
      <c r="I37" s="31">
        <f t="shared" si="6"/>
        <v>1.75</v>
      </c>
      <c r="J37" s="45">
        <f t="shared" si="0"/>
        <v>7727.76210805738</v>
      </c>
      <c r="K37" s="45">
        <f t="shared" si="1"/>
        <v>4415.86406174708</v>
      </c>
      <c r="L37" s="45">
        <f t="shared" si="10"/>
        <v>1103.96601543677</v>
      </c>
      <c r="M37" s="31">
        <f t="shared" si="2"/>
        <v>0</v>
      </c>
      <c r="N37" s="31">
        <f t="shared" si="3"/>
        <v>0.0176</v>
      </c>
      <c r="O37" s="31">
        <f t="shared" si="7"/>
        <v>0.3047</v>
      </c>
      <c r="P37" s="31">
        <f t="shared" si="8"/>
        <v>0.6777</v>
      </c>
      <c r="Q37" s="59">
        <f t="shared" ref="Q37" si="13">J37*O37+K37*P37+L37*N37</f>
        <v>5366.70999084277</v>
      </c>
      <c r="R37" s="30">
        <v>2</v>
      </c>
      <c r="S37" s="60">
        <f t="shared" si="9"/>
        <v>10733.4199816855</v>
      </c>
    </row>
    <row r="38" s="12" customFormat="1" spans="1:19">
      <c r="A38" s="29"/>
      <c r="B38" s="30" t="s">
        <v>85</v>
      </c>
      <c r="C38" s="30">
        <f>(1+D20/E20*0.3)*1.07</f>
        <v>1.26739609186184</v>
      </c>
      <c r="D38" s="31">
        <v>1.1</v>
      </c>
      <c r="E38" s="31">
        <v>0.2</v>
      </c>
      <c r="F38" s="31"/>
      <c r="G38" s="31">
        <f t="shared" si="12"/>
        <v>1.55089</v>
      </c>
      <c r="H38" s="31">
        <f t="shared" si="5"/>
        <v>0.3047</v>
      </c>
      <c r="I38" s="31">
        <f t="shared" si="6"/>
        <v>1.75</v>
      </c>
      <c r="J38" s="45">
        <f t="shared" si="0"/>
        <v>25056.6831988527</v>
      </c>
      <c r="K38" s="45">
        <f t="shared" si="1"/>
        <v>14318.1046850587</v>
      </c>
      <c r="L38" s="45">
        <f t="shared" si="10"/>
        <v>3579.52617126467</v>
      </c>
      <c r="M38" s="31">
        <f t="shared" si="2"/>
        <v>0</v>
      </c>
      <c r="N38" s="31">
        <f t="shared" si="3"/>
        <v>0.0176</v>
      </c>
      <c r="O38" s="31">
        <f t="shared" si="7"/>
        <v>0.3047</v>
      </c>
      <c r="P38" s="31">
        <f t="shared" si="8"/>
        <v>0.6777</v>
      </c>
      <c r="Q38" s="59">
        <f t="shared" ref="Q38:Q43" si="14">J38*O38+K38*P38+L38*N38</f>
        <v>17401.150576369</v>
      </c>
      <c r="R38" s="30">
        <v>2</v>
      </c>
      <c r="S38" s="60">
        <f t="shared" si="9"/>
        <v>34802.3011527379</v>
      </c>
    </row>
    <row r="39" s="12" customFormat="1" spans="1:19">
      <c r="A39" s="29"/>
      <c r="B39" s="30" t="s">
        <v>86</v>
      </c>
      <c r="C39" s="30">
        <f>(1+D20/E20*0.3)*1.07</f>
        <v>1.26739609186184</v>
      </c>
      <c r="D39" s="31">
        <v>1.1</v>
      </c>
      <c r="E39" s="31">
        <v>0.2</v>
      </c>
      <c r="F39" s="31"/>
      <c r="G39" s="31">
        <f t="shared" si="12"/>
        <v>1.55089</v>
      </c>
      <c r="H39" s="31">
        <f t="shared" si="5"/>
        <v>0.3047</v>
      </c>
      <c r="I39" s="31">
        <f t="shared" si="6"/>
        <v>1.75</v>
      </c>
      <c r="J39" s="45">
        <f t="shared" si="0"/>
        <v>25056.6831988527</v>
      </c>
      <c r="K39" s="45">
        <f t="shared" si="1"/>
        <v>14318.1046850587</v>
      </c>
      <c r="L39" s="45">
        <f t="shared" si="10"/>
        <v>3579.52617126467</v>
      </c>
      <c r="M39" s="31">
        <f t="shared" si="2"/>
        <v>0</v>
      </c>
      <c r="N39" s="31">
        <f t="shared" si="3"/>
        <v>0.0176</v>
      </c>
      <c r="O39" s="31">
        <f t="shared" si="7"/>
        <v>0.3047</v>
      </c>
      <c r="P39" s="31">
        <f t="shared" si="8"/>
        <v>0.6777</v>
      </c>
      <c r="Q39" s="59">
        <f t="shared" si="14"/>
        <v>17401.150576369</v>
      </c>
      <c r="R39" s="30">
        <v>1</v>
      </c>
      <c r="S39" s="60">
        <f t="shared" si="9"/>
        <v>17401.150576369</v>
      </c>
    </row>
    <row r="40" s="12" customFormat="1" spans="1:19">
      <c r="A40" s="29"/>
      <c r="B40" s="30" t="s">
        <v>87</v>
      </c>
      <c r="C40" s="30">
        <f>(1+D20/E20*0.3)*1.07</f>
        <v>1.26739609186184</v>
      </c>
      <c r="D40" s="31">
        <v>1.1</v>
      </c>
      <c r="E40" s="31">
        <v>0.2</v>
      </c>
      <c r="F40" s="31"/>
      <c r="G40" s="31">
        <f t="shared" si="12"/>
        <v>1.55089</v>
      </c>
      <c r="H40" s="31">
        <f t="shared" si="5"/>
        <v>0.3047</v>
      </c>
      <c r="I40" s="31">
        <f t="shared" si="6"/>
        <v>1.75</v>
      </c>
      <c r="J40" s="45">
        <f t="shared" si="0"/>
        <v>25056.6831988527</v>
      </c>
      <c r="K40" s="45">
        <f t="shared" si="1"/>
        <v>14318.1046850587</v>
      </c>
      <c r="L40" s="45">
        <f t="shared" si="10"/>
        <v>3579.52617126467</v>
      </c>
      <c r="M40" s="31">
        <f t="shared" si="2"/>
        <v>0</v>
      </c>
      <c r="N40" s="31">
        <f t="shared" si="3"/>
        <v>0.0176</v>
      </c>
      <c r="O40" s="31">
        <f t="shared" si="7"/>
        <v>0.3047</v>
      </c>
      <c r="P40" s="31">
        <f t="shared" si="8"/>
        <v>0.6777</v>
      </c>
      <c r="Q40" s="59">
        <f t="shared" si="14"/>
        <v>17401.150576369</v>
      </c>
      <c r="R40" s="30">
        <v>1</v>
      </c>
      <c r="S40" s="60">
        <f t="shared" si="9"/>
        <v>17401.150576369</v>
      </c>
    </row>
    <row r="41" s="12" customFormat="1" spans="1:19">
      <c r="A41" s="29"/>
      <c r="B41" s="30" t="s">
        <v>88</v>
      </c>
      <c r="C41" s="30">
        <f>(1+D20/E20*0.3)*0.2</f>
        <v>0.236896465768568</v>
      </c>
      <c r="D41" s="31">
        <v>1.1</v>
      </c>
      <c r="E41" s="31">
        <v>0.2</v>
      </c>
      <c r="F41" s="31"/>
      <c r="G41" s="31">
        <f t="shared" si="12"/>
        <v>1.55089</v>
      </c>
      <c r="H41" s="31">
        <f t="shared" si="5"/>
        <v>0.3047</v>
      </c>
      <c r="I41" s="31">
        <f t="shared" si="6"/>
        <v>1.75</v>
      </c>
      <c r="J41" s="45">
        <f t="shared" si="0"/>
        <v>4683.49218670144</v>
      </c>
      <c r="K41" s="45">
        <f t="shared" si="1"/>
        <v>2676.28124954368</v>
      </c>
      <c r="L41" s="45">
        <f t="shared" si="10"/>
        <v>669.07031238592</v>
      </c>
      <c r="M41" s="31">
        <f t="shared" si="2"/>
        <v>0</v>
      </c>
      <c r="N41" s="31">
        <v>0</v>
      </c>
      <c r="O41" s="31">
        <f t="shared" si="7"/>
        <v>0.3047</v>
      </c>
      <c r="P41" s="31">
        <f t="shared" si="8"/>
        <v>0.6953</v>
      </c>
      <c r="Q41" s="59">
        <f t="shared" si="14"/>
        <v>3287.87842209565</v>
      </c>
      <c r="R41" s="30">
        <f>$R$36*0.4</f>
        <v>2</v>
      </c>
      <c r="S41" s="60">
        <f t="shared" ref="S41:S43" si="15">R41*Q41</f>
        <v>6575.7568441913</v>
      </c>
    </row>
    <row r="42" s="12" customFormat="1" spans="1:19">
      <c r="A42" s="29"/>
      <c r="B42" s="30" t="s">
        <v>89</v>
      </c>
      <c r="C42" s="30">
        <f>(1+D20/E20*0.3)*0.2</f>
        <v>0.236896465768568</v>
      </c>
      <c r="D42" s="31">
        <v>1.1</v>
      </c>
      <c r="E42" s="31">
        <v>0.2</v>
      </c>
      <c r="F42" s="31"/>
      <c r="G42" s="31">
        <f t="shared" si="12"/>
        <v>1.55089</v>
      </c>
      <c r="H42" s="31">
        <f t="shared" si="5"/>
        <v>0.3047</v>
      </c>
      <c r="I42" s="31">
        <f t="shared" si="6"/>
        <v>1.75</v>
      </c>
      <c r="J42" s="45">
        <f t="shared" si="0"/>
        <v>4683.49218670144</v>
      </c>
      <c r="K42" s="45">
        <f t="shared" si="1"/>
        <v>2676.28124954368</v>
      </c>
      <c r="L42" s="45">
        <f t="shared" si="10"/>
        <v>669.07031238592</v>
      </c>
      <c r="M42" s="31">
        <f t="shared" si="2"/>
        <v>0</v>
      </c>
      <c r="N42" s="31">
        <v>0</v>
      </c>
      <c r="O42" s="31">
        <f t="shared" si="7"/>
        <v>0.3047</v>
      </c>
      <c r="P42" s="31">
        <f t="shared" si="8"/>
        <v>0.6953</v>
      </c>
      <c r="Q42" s="59">
        <f t="shared" si="14"/>
        <v>3287.87842209565</v>
      </c>
      <c r="R42" s="30">
        <f>$R$36*0.4</f>
        <v>2</v>
      </c>
      <c r="S42" s="60">
        <f t="shared" si="15"/>
        <v>6575.7568441913</v>
      </c>
    </row>
    <row r="43" s="12" customFormat="1" spans="1:19">
      <c r="A43" s="29"/>
      <c r="B43" s="30" t="s">
        <v>90</v>
      </c>
      <c r="C43" s="30">
        <f>(1+D20/E20*0.3)*0.2</f>
        <v>0.236896465768568</v>
      </c>
      <c r="D43" s="31">
        <v>1.1</v>
      </c>
      <c r="E43" s="31">
        <v>0.2</v>
      </c>
      <c r="F43" s="31"/>
      <c r="G43" s="31">
        <f t="shared" si="12"/>
        <v>1.55089</v>
      </c>
      <c r="H43" s="31">
        <f t="shared" si="5"/>
        <v>0.3047</v>
      </c>
      <c r="I43" s="31">
        <f t="shared" si="6"/>
        <v>1.75</v>
      </c>
      <c r="J43" s="45">
        <f t="shared" si="0"/>
        <v>4683.49218670144</v>
      </c>
      <c r="K43" s="45">
        <f t="shared" si="1"/>
        <v>2676.28124954368</v>
      </c>
      <c r="L43" s="45">
        <f t="shared" si="10"/>
        <v>669.07031238592</v>
      </c>
      <c r="M43" s="31">
        <f t="shared" si="2"/>
        <v>0</v>
      </c>
      <c r="N43" s="31">
        <v>0</v>
      </c>
      <c r="O43" s="31">
        <f t="shared" si="7"/>
        <v>0.3047</v>
      </c>
      <c r="P43" s="31">
        <f t="shared" si="8"/>
        <v>0.6953</v>
      </c>
      <c r="Q43" s="59">
        <f t="shared" si="14"/>
        <v>3287.87842209565</v>
      </c>
      <c r="R43" s="30">
        <f>$R$36*0.4</f>
        <v>2</v>
      </c>
      <c r="S43" s="60">
        <f t="shared" si="15"/>
        <v>6575.7568441913</v>
      </c>
    </row>
    <row r="44" s="12" customFormat="1" spans="1:19">
      <c r="A44" s="29"/>
      <c r="B44" s="30" t="s">
        <v>91</v>
      </c>
      <c r="C44" s="30">
        <f>(1+D20/E20*0.3)*0.33</f>
        <v>0.390879168518137</v>
      </c>
      <c r="D44" s="31">
        <v>1.1</v>
      </c>
      <c r="E44" s="31">
        <v>0.2</v>
      </c>
      <c r="F44" s="31"/>
      <c r="G44" s="31">
        <f t="shared" si="12"/>
        <v>1.55089</v>
      </c>
      <c r="H44" s="31">
        <f t="shared" si="5"/>
        <v>0.3047</v>
      </c>
      <c r="I44" s="31">
        <f t="shared" si="6"/>
        <v>1.75</v>
      </c>
      <c r="J44" s="45">
        <f t="shared" si="0"/>
        <v>7727.76210805738</v>
      </c>
      <c r="K44" s="45">
        <f t="shared" si="1"/>
        <v>4415.86406174708</v>
      </c>
      <c r="L44" s="45">
        <f t="shared" si="10"/>
        <v>1103.96601543677</v>
      </c>
      <c r="M44" s="31">
        <f t="shared" si="2"/>
        <v>0</v>
      </c>
      <c r="N44" s="31">
        <f t="shared" ref="N44:N49" si="16">IF($H$23&gt;$I$20,$H$23-$I$20,0)</f>
        <v>0.0176</v>
      </c>
      <c r="O44" s="31">
        <f t="shared" si="7"/>
        <v>0.3047</v>
      </c>
      <c r="P44" s="31">
        <f t="shared" si="8"/>
        <v>0.6777</v>
      </c>
      <c r="Q44" s="59">
        <f t="shared" ref="Q44:Q45" si="17">J44*O44+K44*P44+L44*N44</f>
        <v>5366.70999084277</v>
      </c>
      <c r="R44" s="30">
        <v>1</v>
      </c>
      <c r="S44" s="60">
        <f t="shared" si="9"/>
        <v>5366.70999084277</v>
      </c>
    </row>
    <row r="45" spans="1:19">
      <c r="A45" s="23"/>
      <c r="B45" s="24" t="s">
        <v>79</v>
      </c>
      <c r="C45" s="24">
        <v>1.18</v>
      </c>
      <c r="D45" s="32">
        <f>1.04*1.1*IF(M20=1,1.1,1)</f>
        <v>1.2584</v>
      </c>
      <c r="E45" s="32">
        <v>0.18</v>
      </c>
      <c r="F45" s="32">
        <v>0.15</v>
      </c>
      <c r="G45" s="32">
        <f t="shared" si="12"/>
        <v>1.77421816</v>
      </c>
      <c r="H45" s="32">
        <f t="shared" si="5"/>
        <v>0.2847</v>
      </c>
      <c r="I45" s="32">
        <f t="shared" si="6"/>
        <v>1.9</v>
      </c>
      <c r="J45" s="47">
        <f t="shared" si="0"/>
        <v>28975.7577769671</v>
      </c>
      <c r="K45" s="47">
        <f t="shared" si="1"/>
        <v>15250.3988299827</v>
      </c>
      <c r="L45" s="47">
        <f t="shared" si="10"/>
        <v>3812.59970749568</v>
      </c>
      <c r="M45" s="32">
        <f t="shared" si="2"/>
        <v>0</v>
      </c>
      <c r="N45" s="32">
        <f t="shared" si="16"/>
        <v>0.0176</v>
      </c>
      <c r="O45" s="32">
        <f t="shared" si="7"/>
        <v>0.2847</v>
      </c>
      <c r="P45" s="32">
        <f t="shared" si="8"/>
        <v>0.6977</v>
      </c>
      <c r="Q45" s="57">
        <f t="shared" si="17"/>
        <v>18956.7032576334</v>
      </c>
      <c r="R45" s="24">
        <v>0</v>
      </c>
      <c r="S45" s="58">
        <f t="shared" si="9"/>
        <v>0</v>
      </c>
    </row>
    <row r="46" spans="1:19">
      <c r="A46" s="23"/>
      <c r="B46" s="24" t="s">
        <v>92</v>
      </c>
      <c r="C46" s="24">
        <v>0.42</v>
      </c>
      <c r="D46" s="32">
        <f>1.12*1.1*(1+0.2+0.24+1.7)*IF($M$20=1,1.1,1)</f>
        <v>4.255328</v>
      </c>
      <c r="E46" s="32">
        <v>0.25</v>
      </c>
      <c r="F46" s="32">
        <v>0.25</v>
      </c>
      <c r="G46" s="32">
        <f t="shared" si="12"/>
        <v>5.9995869472</v>
      </c>
      <c r="H46" s="32">
        <f t="shared" ref="H46:H58" si="18">E46+F$20</f>
        <v>0.3547</v>
      </c>
      <c r="I46" s="32">
        <f t="shared" ref="I46:I58" si="19">F46+G$20</f>
        <v>2</v>
      </c>
      <c r="J46" s="47">
        <f t="shared" si="0"/>
        <v>36710.7123439031</v>
      </c>
      <c r="K46" s="47">
        <f t="shared" si="1"/>
        <v>18355.3561719515</v>
      </c>
      <c r="L46" s="47">
        <f t="shared" ref="L46:L58" si="20">K46*0.25</f>
        <v>4588.83904298789</v>
      </c>
      <c r="M46" s="32">
        <f t="shared" si="2"/>
        <v>0</v>
      </c>
      <c r="N46" s="32">
        <f t="shared" si="16"/>
        <v>0.0176</v>
      </c>
      <c r="O46" s="32">
        <f t="shared" ref="O46:O58" si="21">IF(H46&gt;(1-M46-N46),(1-M46-N46),H46)</f>
        <v>0.3547</v>
      </c>
      <c r="P46" s="32">
        <f t="shared" ref="P46:P58" si="22">IF((M46+N46+O46)=1,0,1-M46-N46-O46)</f>
        <v>0.6277</v>
      </c>
      <c r="Q46" s="57">
        <f>(J46*O46+K46*P46+L46*N46)</f>
        <v>24623.710304673</v>
      </c>
      <c r="R46" s="24">
        <v>5</v>
      </c>
      <c r="S46" s="58">
        <f t="shared" si="9"/>
        <v>123118.551523365</v>
      </c>
    </row>
    <row r="47" spans="1:19">
      <c r="A47" s="23"/>
      <c r="B47" s="24" t="s">
        <v>93</v>
      </c>
      <c r="C47" s="24">
        <v>0.42</v>
      </c>
      <c r="D47" s="32">
        <f>1.12*1.1*(1+0.2+0.24+1.1)*IF($M$20=1,1.1,1)</f>
        <v>3.442208</v>
      </c>
      <c r="E47" s="32">
        <v>0.25</v>
      </c>
      <c r="F47" s="32">
        <v>0.25</v>
      </c>
      <c r="G47" s="32">
        <f t="shared" ref="G47:G48" si="23">(1+$H$20)*D47</f>
        <v>4.8531690592</v>
      </c>
      <c r="H47" s="32">
        <f t="shared" si="18"/>
        <v>0.3547</v>
      </c>
      <c r="I47" s="32">
        <f t="shared" si="19"/>
        <v>2</v>
      </c>
      <c r="J47" s="47">
        <f t="shared" si="0"/>
        <v>29695.9265457051</v>
      </c>
      <c r="K47" s="47">
        <f t="shared" si="1"/>
        <v>14847.9632728525</v>
      </c>
      <c r="L47" s="47">
        <f t="shared" si="20"/>
        <v>3711.99081821313</v>
      </c>
      <c r="M47" s="32">
        <f t="shared" si="2"/>
        <v>0</v>
      </c>
      <c r="N47" s="32">
        <f t="shared" si="16"/>
        <v>0.0176</v>
      </c>
      <c r="O47" s="32">
        <f t="shared" si="21"/>
        <v>0.3547</v>
      </c>
      <c r="P47" s="32">
        <f t="shared" si="22"/>
        <v>0.6277</v>
      </c>
      <c r="Q47" s="57">
        <f t="shared" ref="Q47:Q48" si="24">(J47*O47+K47*P47+L47*N47)</f>
        <v>19918.5427305317</v>
      </c>
      <c r="R47" s="24">
        <v>15</v>
      </c>
      <c r="S47" s="58">
        <f t="shared" si="9"/>
        <v>298778.140957975</v>
      </c>
    </row>
    <row r="48" spans="1:19">
      <c r="A48" s="23"/>
      <c r="B48" s="24" t="s">
        <v>94</v>
      </c>
      <c r="C48" s="24">
        <v>0.42</v>
      </c>
      <c r="D48" s="32">
        <f>1.12*1.1*(1+0.2+0.24)*IF($M$20=1,1.1,1)</f>
        <v>1.951488</v>
      </c>
      <c r="E48" s="32">
        <v>0.25</v>
      </c>
      <c r="F48" s="32">
        <v>0.25</v>
      </c>
      <c r="G48" s="32">
        <f t="shared" si="23"/>
        <v>2.7514029312</v>
      </c>
      <c r="H48" s="32">
        <f t="shared" si="18"/>
        <v>0.3547</v>
      </c>
      <c r="I48" s="32">
        <f t="shared" si="19"/>
        <v>2</v>
      </c>
      <c r="J48" s="47">
        <f t="shared" si="0"/>
        <v>16835.4859156753</v>
      </c>
      <c r="K48" s="47">
        <f t="shared" si="1"/>
        <v>8417.74295783765</v>
      </c>
      <c r="L48" s="47">
        <f t="shared" si="20"/>
        <v>2104.43573945941</v>
      </c>
      <c r="M48" s="32">
        <f t="shared" si="2"/>
        <v>0</v>
      </c>
      <c r="N48" s="32">
        <f t="shared" si="16"/>
        <v>0.0176</v>
      </c>
      <c r="O48" s="32">
        <f t="shared" si="21"/>
        <v>0.3547</v>
      </c>
      <c r="P48" s="32">
        <f t="shared" si="22"/>
        <v>0.6277</v>
      </c>
      <c r="Q48" s="57">
        <f t="shared" si="24"/>
        <v>11292.4021779392</v>
      </c>
      <c r="R48" s="24">
        <v>28</v>
      </c>
      <c r="S48" s="58">
        <f t="shared" si="9"/>
        <v>316187.260982298</v>
      </c>
    </row>
    <row r="49" spans="1:19">
      <c r="A49" s="23"/>
      <c r="B49" s="24" t="s">
        <v>84</v>
      </c>
      <c r="C49" s="24">
        <v>0.33</v>
      </c>
      <c r="D49" s="32">
        <v>1.1</v>
      </c>
      <c r="E49" s="32"/>
      <c r="F49" s="32"/>
      <c r="G49" s="32">
        <f t="shared" ref="G49:G55" si="25">(1+$H$20)*D49</f>
        <v>1.55089</v>
      </c>
      <c r="H49" s="32">
        <f t="shared" si="18"/>
        <v>0.1047</v>
      </c>
      <c r="I49" s="32">
        <f t="shared" si="19"/>
        <v>1.75</v>
      </c>
      <c r="J49" s="47">
        <f t="shared" si="0"/>
        <v>6524.16833909788</v>
      </c>
      <c r="K49" s="47">
        <f t="shared" si="1"/>
        <v>3728.09619377022</v>
      </c>
      <c r="L49" s="47">
        <f t="shared" si="20"/>
        <v>932.024048442555</v>
      </c>
      <c r="M49" s="32">
        <f t="shared" si="2"/>
        <v>0</v>
      </c>
      <c r="N49" s="32">
        <f t="shared" si="16"/>
        <v>0.0176</v>
      </c>
      <c r="O49" s="32">
        <f t="shared" si="21"/>
        <v>0.1047</v>
      </c>
      <c r="P49" s="32">
        <f t="shared" si="22"/>
        <v>0.8777</v>
      </c>
      <c r="Q49" s="57">
        <f t="shared" ref="Q49:Q58" si="26">J49*O49+K49*P49+L49*N49</f>
        <v>3971.63407762826</v>
      </c>
      <c r="R49" s="24">
        <v>4</v>
      </c>
      <c r="S49" s="58">
        <f t="shared" si="9"/>
        <v>15886.536310513</v>
      </c>
    </row>
    <row r="50" s="12" customFormat="1" spans="1:19">
      <c r="A50" s="23"/>
      <c r="B50" s="24" t="s">
        <v>88</v>
      </c>
      <c r="C50" s="24">
        <v>0.2</v>
      </c>
      <c r="D50" s="32">
        <v>1.1</v>
      </c>
      <c r="E50" s="32"/>
      <c r="F50" s="32"/>
      <c r="G50" s="32">
        <f t="shared" ref="G50:G52" si="27">(1+$H$20)*D50</f>
        <v>1.55089</v>
      </c>
      <c r="H50" s="32">
        <f t="shared" ref="H50:H52" si="28">E50+F$20</f>
        <v>0.1047</v>
      </c>
      <c r="I50" s="32">
        <f t="shared" ref="I50:I52" si="29">F50+G$20</f>
        <v>1.75</v>
      </c>
      <c r="J50" s="47">
        <f t="shared" si="0"/>
        <v>3954.04141763508</v>
      </c>
      <c r="K50" s="47">
        <f t="shared" si="1"/>
        <v>2259.45223864862</v>
      </c>
      <c r="L50" s="47">
        <f t="shared" ref="L50:L53" si="30">K50*0.25</f>
        <v>564.863059662154</v>
      </c>
      <c r="M50" s="32">
        <f t="shared" si="2"/>
        <v>0</v>
      </c>
      <c r="N50" s="32">
        <v>0</v>
      </c>
      <c r="O50" s="32">
        <f t="shared" si="21"/>
        <v>0.1047</v>
      </c>
      <c r="P50" s="32">
        <f t="shared" si="22"/>
        <v>0.8953</v>
      </c>
      <c r="Q50" s="57">
        <f t="shared" si="26"/>
        <v>2436.8757256885</v>
      </c>
      <c r="R50" s="24">
        <f>(R$47+R$48+R$46)*0.4</f>
        <v>19.2</v>
      </c>
      <c r="S50" s="58">
        <f t="shared" si="9"/>
        <v>46788.0139332192</v>
      </c>
    </row>
    <row r="51" s="12" customFormat="1" spans="1:19">
      <c r="A51" s="23"/>
      <c r="B51" s="24" t="s">
        <v>89</v>
      </c>
      <c r="C51" s="24">
        <v>0.2</v>
      </c>
      <c r="D51" s="32">
        <v>1.1</v>
      </c>
      <c r="E51" s="32"/>
      <c r="F51" s="32"/>
      <c r="G51" s="32">
        <f t="shared" si="27"/>
        <v>1.55089</v>
      </c>
      <c r="H51" s="32">
        <f t="shared" si="28"/>
        <v>0.1047</v>
      </c>
      <c r="I51" s="32">
        <f t="shared" si="29"/>
        <v>1.75</v>
      </c>
      <c r="J51" s="47">
        <f t="shared" si="0"/>
        <v>3954.04141763508</v>
      </c>
      <c r="K51" s="47">
        <f t="shared" si="1"/>
        <v>2259.45223864862</v>
      </c>
      <c r="L51" s="47">
        <f t="shared" si="30"/>
        <v>564.863059662154</v>
      </c>
      <c r="M51" s="32">
        <f t="shared" si="2"/>
        <v>0</v>
      </c>
      <c r="N51" s="32">
        <v>0</v>
      </c>
      <c r="O51" s="32">
        <f t="shared" si="21"/>
        <v>0.1047</v>
      </c>
      <c r="P51" s="32">
        <f t="shared" si="22"/>
        <v>0.8953</v>
      </c>
      <c r="Q51" s="57">
        <f t="shared" si="26"/>
        <v>2436.8757256885</v>
      </c>
      <c r="R51" s="24">
        <f t="shared" ref="R51:R52" si="31">(R$47+R$48+R$46)*0.4</f>
        <v>19.2</v>
      </c>
      <c r="S51" s="58">
        <f t="shared" si="9"/>
        <v>46788.0139332192</v>
      </c>
    </row>
    <row r="52" s="12" customFormat="1" spans="1:19">
      <c r="A52" s="23"/>
      <c r="B52" s="24" t="s">
        <v>90</v>
      </c>
      <c r="C52" s="24">
        <v>0.2</v>
      </c>
      <c r="D52" s="32">
        <v>1.1</v>
      </c>
      <c r="E52" s="32"/>
      <c r="F52" s="32"/>
      <c r="G52" s="32">
        <f t="shared" si="27"/>
        <v>1.55089</v>
      </c>
      <c r="H52" s="32">
        <f t="shared" si="28"/>
        <v>0.1047</v>
      </c>
      <c r="I52" s="32">
        <f t="shared" si="29"/>
        <v>1.75</v>
      </c>
      <c r="J52" s="47">
        <f t="shared" si="0"/>
        <v>3954.04141763508</v>
      </c>
      <c r="K52" s="47">
        <f t="shared" si="1"/>
        <v>2259.45223864862</v>
      </c>
      <c r="L52" s="47">
        <f t="shared" si="30"/>
        <v>564.863059662154</v>
      </c>
      <c r="M52" s="32">
        <f t="shared" si="2"/>
        <v>0</v>
      </c>
      <c r="N52" s="32">
        <v>0</v>
      </c>
      <c r="O52" s="32">
        <f t="shared" si="21"/>
        <v>0.1047</v>
      </c>
      <c r="P52" s="32">
        <f t="shared" si="22"/>
        <v>0.8953</v>
      </c>
      <c r="Q52" s="57">
        <f t="shared" si="26"/>
        <v>2436.8757256885</v>
      </c>
      <c r="R52" s="24">
        <f t="shared" si="31"/>
        <v>19.2</v>
      </c>
      <c r="S52" s="58">
        <f t="shared" si="9"/>
        <v>46788.0139332192</v>
      </c>
    </row>
    <row r="53" spans="1:19">
      <c r="A53" s="23"/>
      <c r="B53" s="24" t="s">
        <v>80</v>
      </c>
      <c r="C53" s="24">
        <v>0.29</v>
      </c>
      <c r="D53" s="32">
        <v>1.1</v>
      </c>
      <c r="E53" s="32"/>
      <c r="F53" s="32"/>
      <c r="G53" s="32">
        <f t="shared" si="25"/>
        <v>1.55089</v>
      </c>
      <c r="H53" s="32">
        <f t="shared" si="18"/>
        <v>0.1047</v>
      </c>
      <c r="I53" s="32">
        <f t="shared" si="19"/>
        <v>1.75</v>
      </c>
      <c r="J53" s="47">
        <f t="shared" si="0"/>
        <v>5733.36005557087</v>
      </c>
      <c r="K53" s="47">
        <f t="shared" si="1"/>
        <v>3276.2057460405</v>
      </c>
      <c r="L53" s="48">
        <f t="shared" si="30"/>
        <v>819.051436510124</v>
      </c>
      <c r="M53" s="32">
        <f t="shared" si="2"/>
        <v>0</v>
      </c>
      <c r="N53" s="32">
        <f t="shared" ref="N53:N59" si="32">IF($H$23&gt;$I$20,$H$23-$I$20,0)</f>
        <v>0.0176</v>
      </c>
      <c r="O53" s="32">
        <f t="shared" si="21"/>
        <v>0.1047</v>
      </c>
      <c r="P53" s="32">
        <f t="shared" si="22"/>
        <v>0.8777</v>
      </c>
      <c r="Q53" s="57">
        <f t="shared" si="26"/>
        <v>3490.22388640059</v>
      </c>
      <c r="R53" s="24">
        <v>28</v>
      </c>
      <c r="S53" s="58">
        <f t="shared" si="9"/>
        <v>97726.2688192165</v>
      </c>
    </row>
    <row r="54" spans="1:19">
      <c r="A54" s="23"/>
      <c r="B54" s="24" t="s">
        <v>81</v>
      </c>
      <c r="C54" s="24">
        <v>0.34</v>
      </c>
      <c r="D54" s="32">
        <v>1.1</v>
      </c>
      <c r="E54" s="32"/>
      <c r="F54" s="32"/>
      <c r="G54" s="32">
        <f t="shared" si="25"/>
        <v>1.55089</v>
      </c>
      <c r="H54" s="32">
        <f t="shared" si="18"/>
        <v>0.1047</v>
      </c>
      <c r="I54" s="32">
        <f t="shared" si="19"/>
        <v>1.75</v>
      </c>
      <c r="J54" s="47">
        <f t="shared" si="0"/>
        <v>6721.87040997964</v>
      </c>
      <c r="K54" s="47">
        <f t="shared" si="1"/>
        <v>3841.06880570265</v>
      </c>
      <c r="L54" s="48">
        <f t="shared" si="20"/>
        <v>960.267201425663</v>
      </c>
      <c r="M54" s="32">
        <f t="shared" si="2"/>
        <v>0</v>
      </c>
      <c r="N54" s="32">
        <f t="shared" si="32"/>
        <v>0.0176</v>
      </c>
      <c r="O54" s="32">
        <f t="shared" si="21"/>
        <v>0.1047</v>
      </c>
      <c r="P54" s="32">
        <f t="shared" si="22"/>
        <v>0.8777</v>
      </c>
      <c r="Q54" s="57">
        <f t="shared" si="26"/>
        <v>4091.98662543518</v>
      </c>
      <c r="R54" s="24">
        <v>28</v>
      </c>
      <c r="S54" s="58">
        <f t="shared" si="9"/>
        <v>114575.625512185</v>
      </c>
    </row>
    <row r="55" spans="1:19">
      <c r="A55" s="23"/>
      <c r="B55" s="24" t="s">
        <v>82</v>
      </c>
      <c r="C55" s="24">
        <v>0.31</v>
      </c>
      <c r="D55" s="32">
        <v>1.1</v>
      </c>
      <c r="E55" s="32"/>
      <c r="F55" s="32"/>
      <c r="G55" s="32">
        <f t="shared" si="25"/>
        <v>1.55089</v>
      </c>
      <c r="H55" s="32">
        <f t="shared" si="18"/>
        <v>0.1047</v>
      </c>
      <c r="I55" s="32">
        <f t="shared" si="19"/>
        <v>1.75</v>
      </c>
      <c r="J55" s="47">
        <f t="shared" si="0"/>
        <v>6128.76419733437</v>
      </c>
      <c r="K55" s="47">
        <f t="shared" si="1"/>
        <v>3502.15096990536</v>
      </c>
      <c r="L55" s="48">
        <f t="shared" si="20"/>
        <v>875.537742476339</v>
      </c>
      <c r="M55" s="32">
        <f t="shared" si="2"/>
        <v>0</v>
      </c>
      <c r="N55" s="32">
        <f t="shared" si="32"/>
        <v>0.0176</v>
      </c>
      <c r="O55" s="32">
        <f t="shared" si="21"/>
        <v>0.1047</v>
      </c>
      <c r="P55" s="32">
        <f t="shared" si="22"/>
        <v>0.8777</v>
      </c>
      <c r="Q55" s="57">
        <f t="shared" si="26"/>
        <v>3730.92898201442</v>
      </c>
      <c r="R55" s="24">
        <v>28</v>
      </c>
      <c r="S55" s="58">
        <f t="shared" si="9"/>
        <v>104466.011496404</v>
      </c>
    </row>
    <row r="56" spans="1:19">
      <c r="A56" s="23"/>
      <c r="B56" s="24" t="s">
        <v>85</v>
      </c>
      <c r="C56" s="24">
        <v>1.07</v>
      </c>
      <c r="D56" s="32">
        <v>1.1</v>
      </c>
      <c r="E56" s="32"/>
      <c r="F56" s="32"/>
      <c r="G56" s="32">
        <f t="shared" ref="G56:G58" si="33">(1+$H$20)*D56</f>
        <v>1.55089</v>
      </c>
      <c r="H56" s="32">
        <f t="shared" si="18"/>
        <v>0.1047</v>
      </c>
      <c r="I56" s="32">
        <f t="shared" si="19"/>
        <v>1.75</v>
      </c>
      <c r="J56" s="47">
        <f t="shared" si="0"/>
        <v>21154.1215843477</v>
      </c>
      <c r="K56" s="47">
        <f t="shared" si="1"/>
        <v>12088.0694767701</v>
      </c>
      <c r="L56" s="47">
        <f t="shared" si="20"/>
        <v>3022.01736919253</v>
      </c>
      <c r="M56" s="32">
        <f t="shared" si="2"/>
        <v>0</v>
      </c>
      <c r="N56" s="32">
        <f t="shared" si="32"/>
        <v>0.0176</v>
      </c>
      <c r="O56" s="32">
        <f t="shared" si="21"/>
        <v>0.1047</v>
      </c>
      <c r="P56" s="32">
        <f t="shared" si="22"/>
        <v>0.8777</v>
      </c>
      <c r="Q56" s="57">
        <f t="shared" si="26"/>
        <v>12877.7226153401</v>
      </c>
      <c r="R56" s="24">
        <v>3</v>
      </c>
      <c r="S56" s="58">
        <f t="shared" si="9"/>
        <v>38633.1678460203</v>
      </c>
    </row>
    <row r="57" spans="1:19">
      <c r="A57" s="23"/>
      <c r="B57" s="24" t="s">
        <v>86</v>
      </c>
      <c r="C57" s="24">
        <v>1.07</v>
      </c>
      <c r="D57" s="32">
        <v>1.1</v>
      </c>
      <c r="E57" s="32"/>
      <c r="F57" s="32"/>
      <c r="G57" s="32">
        <f t="shared" si="33"/>
        <v>1.55089</v>
      </c>
      <c r="H57" s="32">
        <f t="shared" si="18"/>
        <v>0.1047</v>
      </c>
      <c r="I57" s="32">
        <f t="shared" si="19"/>
        <v>1.75</v>
      </c>
      <c r="J57" s="47">
        <f t="shared" si="0"/>
        <v>21154.1215843477</v>
      </c>
      <c r="K57" s="47">
        <f t="shared" si="1"/>
        <v>12088.0694767701</v>
      </c>
      <c r="L57" s="47">
        <f t="shared" si="20"/>
        <v>3022.01736919253</v>
      </c>
      <c r="M57" s="32">
        <f t="shared" si="2"/>
        <v>0</v>
      </c>
      <c r="N57" s="32">
        <f t="shared" si="32"/>
        <v>0.0176</v>
      </c>
      <c r="O57" s="32">
        <f t="shared" si="21"/>
        <v>0.1047</v>
      </c>
      <c r="P57" s="32">
        <f t="shared" si="22"/>
        <v>0.8777</v>
      </c>
      <c r="Q57" s="57">
        <f t="shared" si="26"/>
        <v>12877.7226153401</v>
      </c>
      <c r="R57" s="24">
        <v>3</v>
      </c>
      <c r="S57" s="58">
        <f t="shared" si="9"/>
        <v>38633.1678460203</v>
      </c>
    </row>
    <row r="58" spans="1:19">
      <c r="A58" s="23"/>
      <c r="B58" s="24" t="s">
        <v>87</v>
      </c>
      <c r="C58" s="24">
        <v>1.07</v>
      </c>
      <c r="D58" s="32">
        <v>1.1</v>
      </c>
      <c r="E58" s="32"/>
      <c r="F58" s="32"/>
      <c r="G58" s="32">
        <f t="shared" si="33"/>
        <v>1.55089</v>
      </c>
      <c r="H58" s="32">
        <f t="shared" si="18"/>
        <v>0.1047</v>
      </c>
      <c r="I58" s="32">
        <f t="shared" si="19"/>
        <v>1.75</v>
      </c>
      <c r="J58" s="47">
        <f t="shared" si="0"/>
        <v>21154.1215843477</v>
      </c>
      <c r="K58" s="47">
        <f t="shared" si="1"/>
        <v>12088.0694767701</v>
      </c>
      <c r="L58" s="47">
        <f t="shared" si="20"/>
        <v>3022.01736919253</v>
      </c>
      <c r="M58" s="32">
        <f t="shared" si="2"/>
        <v>0</v>
      </c>
      <c r="N58" s="32">
        <f t="shared" si="32"/>
        <v>0.0176</v>
      </c>
      <c r="O58" s="32">
        <f t="shared" si="21"/>
        <v>0.1047</v>
      </c>
      <c r="P58" s="32">
        <f t="shared" si="22"/>
        <v>0.8777</v>
      </c>
      <c r="Q58" s="57">
        <f t="shared" si="26"/>
        <v>12877.7226153401</v>
      </c>
      <c r="R58" s="24">
        <v>3</v>
      </c>
      <c r="S58" s="58">
        <f t="shared" si="9"/>
        <v>38633.1678460203</v>
      </c>
    </row>
    <row r="59" s="12" customFormat="1" spans="1:19">
      <c r="A59" s="23"/>
      <c r="B59" s="24" t="s">
        <v>95</v>
      </c>
      <c r="C59" s="24">
        <v>0.33</v>
      </c>
      <c r="D59" s="32">
        <v>1.1</v>
      </c>
      <c r="E59" s="32"/>
      <c r="F59" s="32"/>
      <c r="G59" s="32">
        <f t="shared" ref="G59" si="34">(1+$H$20)*D59</f>
        <v>1.55089</v>
      </c>
      <c r="H59" s="32">
        <f t="shared" ref="H59" si="35">E59+F$20</f>
        <v>0.1047</v>
      </c>
      <c r="I59" s="32">
        <f t="shared" ref="I59" si="36">F59+G$20</f>
        <v>1.75</v>
      </c>
      <c r="J59" s="47">
        <f t="shared" si="0"/>
        <v>6524.16833909788</v>
      </c>
      <c r="K59" s="47">
        <f t="shared" si="1"/>
        <v>3728.09619377022</v>
      </c>
      <c r="L59" s="47">
        <f t="shared" ref="L59" si="37">K59*0.25</f>
        <v>932.024048442555</v>
      </c>
      <c r="M59" s="32">
        <f t="shared" si="2"/>
        <v>0</v>
      </c>
      <c r="N59" s="32">
        <f t="shared" si="32"/>
        <v>0.0176</v>
      </c>
      <c r="O59" s="32">
        <f t="shared" ref="O59" si="38">IF(H59&gt;(1-M59-N59),(1-M59-N59),H59)</f>
        <v>0.1047</v>
      </c>
      <c r="P59" s="32">
        <f t="shared" ref="P59" si="39">IF((M59+N59+O59)=1,0,1-M59-N59-O59)</f>
        <v>0.8777</v>
      </c>
      <c r="Q59" s="57">
        <f t="shared" ref="Q59" si="40">J59*O59+K59*P59+L59*N59</f>
        <v>3971.63407762826</v>
      </c>
      <c r="R59" s="24">
        <v>4</v>
      </c>
      <c r="S59" s="58">
        <f t="shared" si="9"/>
        <v>15886.536310513</v>
      </c>
    </row>
    <row r="60" spans="1:19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57"/>
      <c r="R60" s="24" t="s">
        <v>36</v>
      </c>
      <c r="S60" s="61">
        <f>SUM(S32:S59)/61</f>
        <v>30769.9017189613</v>
      </c>
    </row>
    <row r="61" spans="1:19">
      <c r="A61" s="33" t="s">
        <v>96</v>
      </c>
      <c r="B61" s="34"/>
      <c r="C61" s="34"/>
      <c r="D61" s="34"/>
      <c r="E61" s="34"/>
      <c r="F61" s="39"/>
      <c r="J61" s="49" t="s">
        <v>97</v>
      </c>
      <c r="K61" s="49"/>
      <c r="L61" s="49"/>
      <c r="M61" s="49"/>
      <c r="P61" s="39"/>
      <c r="Q61" s="39"/>
      <c r="R61" s="24"/>
      <c r="S61" s="58"/>
    </row>
    <row r="62" spans="1:19">
      <c r="A62" s="23"/>
      <c r="B62" s="24"/>
      <c r="C62" s="24" t="s">
        <v>98</v>
      </c>
      <c r="D62" s="24" t="s">
        <v>99</v>
      </c>
      <c r="E62" s="24" t="s">
        <v>100</v>
      </c>
      <c r="F62" s="24"/>
      <c r="J62" s="24" t="s">
        <v>101</v>
      </c>
      <c r="K62" s="24">
        <v>26459.8</v>
      </c>
      <c r="L62" s="24" t="s">
        <v>102</v>
      </c>
      <c r="M62" s="24" t="s">
        <v>103</v>
      </c>
      <c r="N62" s="24"/>
      <c r="O62" s="24"/>
      <c r="P62" s="24"/>
      <c r="Q62" s="57"/>
      <c r="R62" s="24"/>
      <c r="S62" s="58"/>
    </row>
    <row r="63" spans="1:19">
      <c r="A63" s="23"/>
      <c r="B63" s="24" t="s">
        <v>104</v>
      </c>
      <c r="C63" s="24">
        <f>R36+R46+R47+R48</f>
        <v>53</v>
      </c>
      <c r="D63" s="24">
        <f>S36+S46+S47+S48</f>
        <v>927004.219879993</v>
      </c>
      <c r="E63" s="32">
        <f t="shared" ref="E63:E71" si="41">D63/($S$60*61)</f>
        <v>0.493884921331134</v>
      </c>
      <c r="F63" s="24"/>
      <c r="J63" s="24" t="s">
        <v>105</v>
      </c>
      <c r="K63" s="24">
        <v>26519.1</v>
      </c>
      <c r="L63" s="24">
        <f t="shared" ref="L63:L68" si="42">K63-$K$62</f>
        <v>59.2999999999993</v>
      </c>
      <c r="M63" s="51">
        <f>L63/10</f>
        <v>5.92999999999993</v>
      </c>
      <c r="N63" s="24"/>
      <c r="O63" s="24"/>
      <c r="P63" s="24"/>
      <c r="Q63" s="57"/>
      <c r="R63" s="24"/>
      <c r="S63" s="58"/>
    </row>
    <row r="64" spans="1:19">
      <c r="A64" s="23"/>
      <c r="B64" s="24" t="s">
        <v>106</v>
      </c>
      <c r="C64" s="24">
        <f>R34+R54</f>
        <v>42</v>
      </c>
      <c r="D64" s="24">
        <f>S34+S54</f>
        <v>191986.351440705</v>
      </c>
      <c r="E64" s="32">
        <f t="shared" si="41"/>
        <v>0.102285579768147</v>
      </c>
      <c r="F64" s="24"/>
      <c r="J64" s="24" t="s">
        <v>107</v>
      </c>
      <c r="K64" s="24">
        <v>26490.2</v>
      </c>
      <c r="L64" s="24">
        <f t="shared" si="42"/>
        <v>30.4000000000015</v>
      </c>
      <c r="M64" s="51">
        <f>L64/10</f>
        <v>3.04000000000015</v>
      </c>
      <c r="N64" s="24"/>
      <c r="O64" s="24"/>
      <c r="P64" s="24"/>
      <c r="Q64" s="57"/>
      <c r="R64" s="24"/>
      <c r="S64" s="58"/>
    </row>
    <row r="65" spans="1:19">
      <c r="A65" s="23"/>
      <c r="B65" s="24" t="s">
        <v>108</v>
      </c>
      <c r="C65" s="24">
        <f>R35+R55</f>
        <v>42</v>
      </c>
      <c r="D65" s="24">
        <f>S35+S55</f>
        <v>175046.37925476</v>
      </c>
      <c r="E65" s="32">
        <f t="shared" si="41"/>
        <v>0.0932603815533105</v>
      </c>
      <c r="F65" s="24"/>
      <c r="J65" s="24" t="s">
        <v>109</v>
      </c>
      <c r="K65" s="24">
        <v>26629.1</v>
      </c>
      <c r="L65" s="24">
        <f t="shared" si="42"/>
        <v>169.299999999999</v>
      </c>
      <c r="M65" s="51">
        <f>L65/153.442</f>
        <v>1.1033484965003</v>
      </c>
      <c r="N65" s="24"/>
      <c r="O65" s="24"/>
      <c r="P65" s="24"/>
      <c r="Q65" s="57"/>
      <c r="R65" s="24"/>
      <c r="S65" s="58"/>
    </row>
    <row r="66" spans="1:19">
      <c r="A66" s="23"/>
      <c r="B66" s="24" t="s">
        <v>110</v>
      </c>
      <c r="C66" s="24">
        <f>R33+R53</f>
        <v>42</v>
      </c>
      <c r="D66" s="24">
        <f>S33+S53</f>
        <v>163753.064464131</v>
      </c>
      <c r="E66" s="32">
        <f t="shared" si="41"/>
        <v>0.0872435827434195</v>
      </c>
      <c r="F66" s="24"/>
      <c r="J66" s="24" t="s">
        <v>111</v>
      </c>
      <c r="K66" s="24">
        <v>26544</v>
      </c>
      <c r="L66" s="24">
        <f t="shared" si="42"/>
        <v>84.2000000000007</v>
      </c>
      <c r="M66" s="51">
        <f>L66/53.703</f>
        <v>1.56788261363426</v>
      </c>
      <c r="N66" s="24"/>
      <c r="O66" s="24"/>
      <c r="P66" s="24"/>
      <c r="Q66" s="57"/>
      <c r="R66" s="24"/>
      <c r="S66" s="58"/>
    </row>
    <row r="67" spans="1:19">
      <c r="A67" s="23"/>
      <c r="B67" s="24" t="s">
        <v>112</v>
      </c>
      <c r="C67" s="24">
        <f>R37+R38+R49+R50+R56+R41</f>
        <v>32.2</v>
      </c>
      <c r="D67" s="24">
        <f>S37+S38+S49+S50+S56+S41</f>
        <v>153419.196068367</v>
      </c>
      <c r="E67" s="32">
        <f t="shared" si="41"/>
        <v>0.0817379532433203</v>
      </c>
      <c r="F67" s="24"/>
      <c r="J67" s="24" t="s">
        <v>113</v>
      </c>
      <c r="K67" s="24">
        <v>26676.7</v>
      </c>
      <c r="L67" s="24">
        <f t="shared" si="42"/>
        <v>216.900000000001</v>
      </c>
      <c r="M67" s="51">
        <f>L67/153.442</f>
        <v>1.4135634311336</v>
      </c>
      <c r="N67" s="24"/>
      <c r="O67" s="24"/>
      <c r="P67" s="24"/>
      <c r="Q67" s="57"/>
      <c r="R67" s="24"/>
      <c r="S67" s="58"/>
    </row>
    <row r="68" spans="1:19">
      <c r="A68" s="23"/>
      <c r="B68" s="24" t="s">
        <v>114</v>
      </c>
      <c r="C68" s="24">
        <f>R39+R57+R51+R42</f>
        <v>25.2</v>
      </c>
      <c r="D68" s="24">
        <f>S39+S57+S51+S42</f>
        <v>109398.0891998</v>
      </c>
      <c r="E68" s="32">
        <f t="shared" si="41"/>
        <v>0.0582845962505047</v>
      </c>
      <c r="F68" s="24"/>
      <c r="J68" s="24" t="s">
        <v>115</v>
      </c>
      <c r="K68" s="24">
        <v>26594.6</v>
      </c>
      <c r="L68" s="24">
        <f t="shared" si="42"/>
        <v>134.799999999999</v>
      </c>
      <c r="M68" s="51">
        <f>L68/87.176</f>
        <v>1.54629714600348</v>
      </c>
      <c r="N68" s="24"/>
      <c r="O68" s="24"/>
      <c r="P68" s="24"/>
      <c r="Q68" s="57"/>
      <c r="R68" s="24"/>
      <c r="S68" s="58"/>
    </row>
    <row r="69" spans="1:19">
      <c r="A69" s="23"/>
      <c r="B69" s="24" t="s">
        <v>116</v>
      </c>
      <c r="C69" s="24">
        <f>R40+R52+R58+R43</f>
        <v>25.2</v>
      </c>
      <c r="D69" s="24">
        <f>S40+S52+S58+S43</f>
        <v>109398.0891998</v>
      </c>
      <c r="E69" s="32">
        <f t="shared" si="41"/>
        <v>0.0582845962505047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57"/>
      <c r="R69" s="24"/>
      <c r="S69" s="58"/>
    </row>
    <row r="70" spans="1:19">
      <c r="A70" s="23"/>
      <c r="B70" s="24" t="s">
        <v>117</v>
      </c>
      <c r="C70" s="24">
        <f>+R44+R59</f>
        <v>5</v>
      </c>
      <c r="D70" s="24">
        <f>+S44+S59</f>
        <v>21253.2463013558</v>
      </c>
      <c r="E70" s="32">
        <f t="shared" si="41"/>
        <v>0.0113232039859918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57"/>
      <c r="R70" s="24"/>
      <c r="S70" s="58"/>
    </row>
    <row r="71" ht="14.1" spans="1:19">
      <c r="A71" s="62"/>
      <c r="B71" s="63" t="s">
        <v>118</v>
      </c>
      <c r="C71" s="63">
        <f>R32+R45</f>
        <v>1</v>
      </c>
      <c r="D71" s="63">
        <f>S32+S45</f>
        <v>25705.3690477299</v>
      </c>
      <c r="E71" s="64">
        <f t="shared" si="41"/>
        <v>0.0136951848736669</v>
      </c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5"/>
      <c r="R71" s="63"/>
      <c r="S71" s="66"/>
    </row>
    <row r="72" ht="14.1" spans="5:5">
      <c r="E72" s="36"/>
    </row>
  </sheetData>
  <mergeCells count="38">
    <mergeCell ref="A1:S1"/>
    <mergeCell ref="A4:K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M18"/>
    <mergeCell ref="A21:S21"/>
    <mergeCell ref="A24:S24"/>
    <mergeCell ref="A25:S25"/>
    <mergeCell ref="D26:E26"/>
    <mergeCell ref="D27:E27"/>
    <mergeCell ref="F27:G27"/>
    <mergeCell ref="I27:J27"/>
    <mergeCell ref="C28:D28"/>
    <mergeCell ref="E28:F28"/>
    <mergeCell ref="A30:Q30"/>
    <mergeCell ref="R30:S30"/>
    <mergeCell ref="A61:E61"/>
    <mergeCell ref="J61:M61"/>
    <mergeCell ref="A32:A44"/>
    <mergeCell ref="L22:L23"/>
    <mergeCell ref="M4:M17"/>
    <mergeCell ref="L26:S29"/>
    <mergeCell ref="A19:B20"/>
    <mergeCell ref="A2:B3"/>
    <mergeCell ref="N2:S20"/>
    <mergeCell ref="J22:K23"/>
    <mergeCell ref="A22:B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workbookViewId="0">
      <selection activeCell="B7" sqref="A7:I33"/>
    </sheetView>
  </sheetViews>
  <sheetFormatPr defaultColWidth="9" defaultRowHeight="13.35"/>
  <cols>
    <col min="1" max="1" width="28.1268656716418" customWidth="1"/>
    <col min="4" max="4" width="9" style="1"/>
    <col min="7" max="7" width="9" style="2"/>
    <col min="9" max="9" width="9" style="2"/>
  </cols>
  <sheetData>
    <row r="1" spans="1:9">
      <c r="A1" s="3" t="s">
        <v>119</v>
      </c>
      <c r="B1" s="3"/>
      <c r="C1" s="3"/>
      <c r="D1" s="3"/>
      <c r="E1" s="3"/>
      <c r="F1" s="3"/>
      <c r="G1" s="3"/>
      <c r="H1" s="3"/>
      <c r="I1" s="3"/>
    </row>
    <row r="2" spans="2:9">
      <c r="B2" t="s">
        <v>4</v>
      </c>
      <c r="C2" t="s">
        <v>120</v>
      </c>
      <c r="D2" s="1" t="s">
        <v>7</v>
      </c>
      <c r="E2" t="s">
        <v>121</v>
      </c>
      <c r="F2" t="s">
        <v>122</v>
      </c>
      <c r="G2" s="2" t="s">
        <v>123</v>
      </c>
      <c r="H2" t="s">
        <v>124</v>
      </c>
      <c r="I2" s="2" t="s">
        <v>125</v>
      </c>
    </row>
    <row r="3" spans="1:9">
      <c r="A3" t="s">
        <v>79</v>
      </c>
      <c r="B3" s="4">
        <v>8690</v>
      </c>
      <c r="C3" s="4">
        <v>3375</v>
      </c>
      <c r="D3" s="1">
        <f>C3/153.442*1%</f>
        <v>0.219952816047757</v>
      </c>
      <c r="E3">
        <v>0.75</v>
      </c>
      <c r="F3" s="4">
        <v>9390</v>
      </c>
      <c r="G3" s="11">
        <f>F3/E3/(1+D3)/B3</f>
        <v>1.18097721465874</v>
      </c>
      <c r="H3" s="4">
        <f>10093+169</f>
        <v>10262</v>
      </c>
      <c r="I3" s="2">
        <f>H3/B3</f>
        <v>1.18089758342923</v>
      </c>
    </row>
    <row r="4" spans="1:9">
      <c r="A4" t="s">
        <v>126</v>
      </c>
      <c r="B4" s="4">
        <v>8690</v>
      </c>
      <c r="C4" s="4">
        <v>3375</v>
      </c>
      <c r="D4" s="1">
        <f t="shared" ref="D4:D9" si="0">C4/153.442*1%</f>
        <v>0.219952816047757</v>
      </c>
      <c r="E4">
        <v>0.75</v>
      </c>
      <c r="F4" s="4">
        <v>3335</v>
      </c>
      <c r="G4" s="11">
        <f t="shared" ref="G4:G15" si="1">F4/E4/(1+D4)/B4</f>
        <v>0.419441854194556</v>
      </c>
      <c r="H4" s="4">
        <f>3576+70</f>
        <v>3646</v>
      </c>
      <c r="I4" s="2">
        <f t="shared" ref="I4:I8" si="2">H4/B4</f>
        <v>0.419562715765247</v>
      </c>
    </row>
    <row r="5" spans="1:9">
      <c r="A5" t="s">
        <v>84</v>
      </c>
      <c r="B5" s="4">
        <v>8690</v>
      </c>
      <c r="C5" s="4">
        <v>3375</v>
      </c>
      <c r="D5" s="1">
        <f t="shared" si="0"/>
        <v>0.219952816047757</v>
      </c>
      <c r="E5">
        <v>0.75</v>
      </c>
      <c r="F5" s="4">
        <v>2302</v>
      </c>
      <c r="G5" s="11">
        <f t="shared" si="1"/>
        <v>0.289521783614953</v>
      </c>
      <c r="H5" s="4">
        <v>2407</v>
      </c>
      <c r="I5" s="2">
        <f t="shared" si="2"/>
        <v>0.27698504027618</v>
      </c>
    </row>
    <row r="6" spans="1:9">
      <c r="A6" t="s">
        <v>127</v>
      </c>
      <c r="B6" s="4">
        <v>8690</v>
      </c>
      <c r="C6" s="4">
        <v>3375</v>
      </c>
      <c r="D6" s="1">
        <f t="shared" si="0"/>
        <v>0.219952816047757</v>
      </c>
      <c r="E6">
        <v>0.75</v>
      </c>
      <c r="F6" s="4">
        <v>2708</v>
      </c>
      <c r="G6" s="11">
        <f t="shared" si="1"/>
        <v>0.340584270212551</v>
      </c>
      <c r="H6" s="4">
        <v>2307</v>
      </c>
      <c r="I6" s="2">
        <f t="shared" si="2"/>
        <v>0.265477560414269</v>
      </c>
    </row>
    <row r="7" spans="1:9">
      <c r="A7" t="s">
        <v>128</v>
      </c>
      <c r="B7" s="4">
        <v>8690</v>
      </c>
      <c r="C7" s="4">
        <v>3375</v>
      </c>
      <c r="D7" s="1">
        <f t="shared" si="0"/>
        <v>0.219952816047757</v>
      </c>
      <c r="E7">
        <v>0.75</v>
      </c>
      <c r="F7" s="4">
        <v>2487</v>
      </c>
      <c r="G7" s="11">
        <f t="shared" si="1"/>
        <v>0.312789172828145</v>
      </c>
      <c r="H7" s="4">
        <f>2562+38</f>
        <v>2600</v>
      </c>
      <c r="I7" s="2">
        <f t="shared" si="2"/>
        <v>0.299194476409666</v>
      </c>
    </row>
    <row r="8" spans="1:9">
      <c r="A8" t="s">
        <v>95</v>
      </c>
      <c r="B8" s="4">
        <v>8690</v>
      </c>
      <c r="C8" s="4">
        <v>3375</v>
      </c>
      <c r="D8" s="1">
        <f t="shared" si="0"/>
        <v>0.219952816047757</v>
      </c>
      <c r="E8">
        <v>0.75</v>
      </c>
      <c r="F8" s="4">
        <v>2728</v>
      </c>
      <c r="G8" s="11">
        <f t="shared" si="1"/>
        <v>0.343099663641005</v>
      </c>
      <c r="H8" s="4">
        <v>2897</v>
      </c>
      <c r="I8" s="2">
        <f t="shared" si="2"/>
        <v>0.33337169159954</v>
      </c>
    </row>
    <row r="9" spans="1:7">
      <c r="A9" t="s">
        <v>129</v>
      </c>
      <c r="B9" s="4">
        <v>8690</v>
      </c>
      <c r="C9" s="4">
        <v>3375</v>
      </c>
      <c r="D9" s="1">
        <f t="shared" si="0"/>
        <v>0.219952816047757</v>
      </c>
      <c r="E9">
        <v>0.75</v>
      </c>
      <c r="F9" s="4">
        <v>2649</v>
      </c>
      <c r="G9" s="11">
        <f t="shared" si="1"/>
        <v>0.333163859598615</v>
      </c>
    </row>
    <row r="10" spans="1:7">
      <c r="A10" t="s">
        <v>130</v>
      </c>
      <c r="B10" s="4">
        <v>8690</v>
      </c>
      <c r="C10" s="4">
        <v>3375</v>
      </c>
      <c r="D10" s="1">
        <f t="shared" ref="D10:D12" si="3">C10/153.442*1%</f>
        <v>0.219952816047757</v>
      </c>
      <c r="E10">
        <v>0.75</v>
      </c>
      <c r="F10" s="4">
        <v>1557</v>
      </c>
      <c r="G10" s="11">
        <f t="shared" si="1"/>
        <v>0.195823378405075</v>
      </c>
    </row>
    <row r="11" spans="1:7">
      <c r="A11" t="s">
        <v>131</v>
      </c>
      <c r="B11" s="4">
        <v>8690</v>
      </c>
      <c r="C11" s="4">
        <v>3375</v>
      </c>
      <c r="D11" s="1">
        <f t="shared" si="3"/>
        <v>0.219952816047757</v>
      </c>
      <c r="E11">
        <v>0.75</v>
      </c>
      <c r="F11" s="4">
        <v>1516</v>
      </c>
      <c r="G11" s="11">
        <f t="shared" si="1"/>
        <v>0.190666821876746</v>
      </c>
    </row>
    <row r="12" spans="1:7">
      <c r="A12" t="s">
        <v>132</v>
      </c>
      <c r="B12" s="4">
        <v>8690</v>
      </c>
      <c r="C12" s="4">
        <v>3375</v>
      </c>
      <c r="D12" s="1">
        <f t="shared" si="3"/>
        <v>0.219952816047757</v>
      </c>
      <c r="E12">
        <v>0.75</v>
      </c>
      <c r="F12" s="4">
        <v>1725</v>
      </c>
      <c r="G12" s="11">
        <f t="shared" si="1"/>
        <v>0.216952683204081</v>
      </c>
    </row>
    <row r="13" spans="1:7">
      <c r="A13" t="s">
        <v>133</v>
      </c>
      <c r="B13" s="4">
        <v>8690</v>
      </c>
      <c r="C13" s="4">
        <v>3375</v>
      </c>
      <c r="D13" s="1">
        <f t="shared" ref="D13:D15" si="4">C13/153.442*1%</f>
        <v>0.219952816047757</v>
      </c>
      <c r="E13">
        <v>0.75</v>
      </c>
      <c r="F13" s="4">
        <v>8486</v>
      </c>
      <c r="G13" s="11">
        <f t="shared" si="1"/>
        <v>1.06728143169266</v>
      </c>
    </row>
    <row r="14" spans="1:7">
      <c r="A14" t="s">
        <v>134</v>
      </c>
      <c r="B14" s="4">
        <v>8690</v>
      </c>
      <c r="C14" s="4">
        <v>3375</v>
      </c>
      <c r="D14" s="1">
        <f t="shared" si="4"/>
        <v>0.219952816047757</v>
      </c>
      <c r="E14">
        <v>0.75</v>
      </c>
      <c r="F14" s="4">
        <v>8474</v>
      </c>
      <c r="G14" s="11">
        <f t="shared" si="1"/>
        <v>1.06577219563558</v>
      </c>
    </row>
    <row r="15" spans="1:7">
      <c r="A15" t="s">
        <v>135</v>
      </c>
      <c r="B15" s="4">
        <v>8690</v>
      </c>
      <c r="C15" s="4">
        <v>3375</v>
      </c>
      <c r="D15" s="1">
        <f t="shared" si="4"/>
        <v>0.219952816047757</v>
      </c>
      <c r="E15">
        <v>0.75</v>
      </c>
      <c r="F15" s="4">
        <v>8480</v>
      </c>
      <c r="G15" s="11">
        <f t="shared" si="1"/>
        <v>1.06652681366412</v>
      </c>
    </row>
    <row r="16" spans="1:9">
      <c r="A16" s="3" t="s">
        <v>136</v>
      </c>
      <c r="B16" s="3"/>
      <c r="C16" s="3"/>
      <c r="D16" s="3"/>
      <c r="E16" s="3"/>
      <c r="F16" s="3"/>
      <c r="G16" s="3"/>
      <c r="H16" s="3"/>
      <c r="I16" s="3"/>
    </row>
    <row r="17" spans="1:9">
      <c r="A17" t="s">
        <v>79</v>
      </c>
      <c r="B17" s="4">
        <v>6372</v>
      </c>
      <c r="C17" s="4">
        <v>1471</v>
      </c>
      <c r="D17" s="1">
        <f>C17/153.442*1%</f>
        <v>0.0958668421944448</v>
      </c>
      <c r="E17">
        <v>0.75</v>
      </c>
      <c r="F17" s="4">
        <v>6224</v>
      </c>
      <c r="G17" s="11">
        <f>F17/E17/(1+D17)/B17</f>
        <v>1.18843317569141</v>
      </c>
      <c r="H17" s="4">
        <f>169+7410</f>
        <v>7579</v>
      </c>
      <c r="I17" s="2">
        <f>H17/B17</f>
        <v>1.18942247332078</v>
      </c>
    </row>
    <row r="18" spans="1:9">
      <c r="A18" t="s">
        <v>126</v>
      </c>
      <c r="B18" s="4">
        <v>6372</v>
      </c>
      <c r="C18" s="4">
        <v>1471</v>
      </c>
      <c r="D18" s="1">
        <f t="shared" ref="D18:D21" si="5">C18/153.442*1%</f>
        <v>0.0958668421944448</v>
      </c>
      <c r="E18">
        <v>0.75</v>
      </c>
      <c r="F18" s="4">
        <v>2212</v>
      </c>
      <c r="G18" s="11">
        <f t="shared" ref="G18:G21" si="6">F18/E18/(1+D18)/B18</f>
        <v>0.422367317581844</v>
      </c>
      <c r="H18" s="4">
        <f>2622+70</f>
        <v>2692</v>
      </c>
      <c r="I18" s="2">
        <f t="shared" ref="I18:I21" si="7">H18/B18</f>
        <v>0.422473320778406</v>
      </c>
    </row>
    <row r="19" spans="1:9">
      <c r="A19" t="s">
        <v>84</v>
      </c>
      <c r="B19" s="4">
        <v>6372</v>
      </c>
      <c r="C19" s="4">
        <v>1471</v>
      </c>
      <c r="D19" s="1">
        <f t="shared" si="5"/>
        <v>0.0958668421944448</v>
      </c>
      <c r="E19">
        <v>0.75</v>
      </c>
      <c r="F19" s="4">
        <v>1527</v>
      </c>
      <c r="G19" s="11">
        <f t="shared" si="6"/>
        <v>0.291570928547683</v>
      </c>
      <c r="H19" s="4">
        <v>1778</v>
      </c>
      <c r="I19" s="2">
        <f t="shared" si="7"/>
        <v>0.279033270558694</v>
      </c>
    </row>
    <row r="20" spans="1:9">
      <c r="A20" t="s">
        <v>127</v>
      </c>
      <c r="B20" s="4">
        <v>6372</v>
      </c>
      <c r="C20" s="4">
        <v>1471</v>
      </c>
      <c r="D20" s="1">
        <f t="shared" si="5"/>
        <v>0.0958668421944448</v>
      </c>
      <c r="E20">
        <v>0.75</v>
      </c>
      <c r="F20" s="4">
        <v>1790</v>
      </c>
      <c r="G20" s="11">
        <f t="shared" si="6"/>
        <v>0.341789104191456</v>
      </c>
      <c r="H20" s="4">
        <f>1669+30</f>
        <v>1699</v>
      </c>
      <c r="I20" s="2">
        <f t="shared" si="7"/>
        <v>0.266635279347144</v>
      </c>
    </row>
    <row r="21" spans="1:9">
      <c r="A21" t="s">
        <v>128</v>
      </c>
      <c r="B21" s="4">
        <v>6372</v>
      </c>
      <c r="C21" s="4">
        <v>1471</v>
      </c>
      <c r="D21" s="1">
        <f t="shared" si="5"/>
        <v>0.0958668421944448</v>
      </c>
      <c r="E21">
        <v>0.75</v>
      </c>
      <c r="F21" s="4">
        <v>1647</v>
      </c>
      <c r="G21" s="11">
        <f t="shared" si="6"/>
        <v>0.314484164582865</v>
      </c>
      <c r="H21" s="4">
        <f>1878+38</f>
        <v>1916</v>
      </c>
      <c r="I21" s="2">
        <f t="shared" si="7"/>
        <v>0.300690521029504</v>
      </c>
    </row>
    <row r="22" spans="1:9">
      <c r="A22" s="3" t="s">
        <v>137</v>
      </c>
      <c r="B22" s="3"/>
      <c r="C22" s="3"/>
      <c r="D22" s="3"/>
      <c r="E22" s="3"/>
      <c r="F22" s="3"/>
      <c r="G22" s="3"/>
      <c r="H22" s="3"/>
      <c r="I22" s="3"/>
    </row>
    <row r="23" spans="1:9">
      <c r="A23" s="5"/>
      <c r="B23" s="5" t="s">
        <v>99</v>
      </c>
      <c r="C23" s="5" t="s">
        <v>138</v>
      </c>
      <c r="D23" s="5"/>
      <c r="E23" s="5"/>
      <c r="F23" s="5"/>
      <c r="G23" s="5"/>
      <c r="H23" s="5"/>
      <c r="I23" s="5"/>
    </row>
    <row r="24" spans="1:3">
      <c r="A24" t="s">
        <v>139</v>
      </c>
      <c r="B24" s="6">
        <v>3335</v>
      </c>
      <c r="C24" s="2">
        <f>(B24-$B$24)/$B$24</f>
        <v>0</v>
      </c>
    </row>
    <row r="25" spans="1:3">
      <c r="A25" t="s">
        <v>140</v>
      </c>
      <c r="B25" s="7">
        <v>5338</v>
      </c>
      <c r="C25" s="2">
        <f>(B25-$B$24)/$B$24</f>
        <v>0.600599700149925</v>
      </c>
    </row>
    <row r="26" spans="1:3">
      <c r="A26" t="s">
        <v>141</v>
      </c>
      <c r="B26">
        <v>3667</v>
      </c>
      <c r="C26" s="2">
        <f>(B26-$B$24)/$B$24</f>
        <v>0.0995502248875562</v>
      </c>
    </row>
    <row r="27" spans="1:3">
      <c r="A27" t="s">
        <v>142</v>
      </c>
      <c r="B27">
        <v>7336</v>
      </c>
      <c r="C27" s="2">
        <f>(B27-$B$24)/$B$24</f>
        <v>1.19970014992504</v>
      </c>
    </row>
    <row r="28" spans="1:4">
      <c r="A28" t="s">
        <v>143</v>
      </c>
      <c r="B28" s="8" t="s">
        <v>144</v>
      </c>
      <c r="C28" s="8"/>
      <c r="D28" s="8"/>
    </row>
    <row r="29" spans="1:4">
      <c r="A29" t="s">
        <v>145</v>
      </c>
      <c r="B29" s="8" t="s">
        <v>146</v>
      </c>
      <c r="C29" s="8"/>
      <c r="D29" s="8"/>
    </row>
    <row r="30" spans="1:9">
      <c r="A30" s="3" t="s">
        <v>147</v>
      </c>
      <c r="B30" s="3"/>
      <c r="C30" s="3"/>
      <c r="D30" s="3"/>
      <c r="E30" s="3"/>
      <c r="F30" s="3"/>
      <c r="G30" s="3"/>
      <c r="H30" s="3"/>
      <c r="I30" s="3"/>
    </row>
    <row r="31" spans="1:3">
      <c r="A31" s="5"/>
      <c r="B31" s="5" t="s">
        <v>99</v>
      </c>
      <c r="C31" s="5" t="s">
        <v>138</v>
      </c>
    </row>
    <row r="32" spans="1:3">
      <c r="A32" t="s">
        <v>139</v>
      </c>
      <c r="B32" s="6">
        <v>3335</v>
      </c>
      <c r="C32" s="2">
        <f>(B32-$B$24)/$B$24</f>
        <v>0</v>
      </c>
    </row>
    <row r="33" spans="1:3">
      <c r="A33" t="s">
        <v>148</v>
      </c>
      <c r="B33" s="6">
        <v>3600</v>
      </c>
      <c r="C33" s="2">
        <f>(B33-$B$24)/$B$24</f>
        <v>0.0794602698650675</v>
      </c>
    </row>
    <row r="34" spans="1:3">
      <c r="A34" t="s">
        <v>149</v>
      </c>
      <c r="B34" s="6">
        <v>3869</v>
      </c>
      <c r="C34" s="2">
        <f>(B34-$B$24)/$B$24</f>
        <v>0.160119940029985</v>
      </c>
    </row>
    <row r="35" spans="1:3">
      <c r="A35" t="s">
        <v>150</v>
      </c>
      <c r="B35" s="6">
        <v>4136</v>
      </c>
      <c r="C35" s="2">
        <f>(B35-$B$24)/$B$24</f>
        <v>0.240179910044978</v>
      </c>
    </row>
    <row r="36" spans="1:9">
      <c r="A36" s="8" t="s">
        <v>151</v>
      </c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 t="s">
        <v>152</v>
      </c>
      <c r="C37" s="8" t="s">
        <v>153</v>
      </c>
      <c r="D37" s="8" t="s">
        <v>154</v>
      </c>
      <c r="E37" s="8" t="s">
        <v>155</v>
      </c>
      <c r="F37" s="8"/>
      <c r="G37" s="8"/>
      <c r="H37" s="8"/>
      <c r="I37" s="8"/>
    </row>
    <row r="38" ht="13.4" spans="1:5">
      <c r="A38" t="s">
        <v>143</v>
      </c>
      <c r="B38" s="9" t="s">
        <v>156</v>
      </c>
      <c r="C38" s="10" t="s">
        <v>157</v>
      </c>
      <c r="D38" s="10" t="s">
        <v>158</v>
      </c>
      <c r="E38" s="10"/>
    </row>
    <row r="39" spans="1:5">
      <c r="A39" t="s">
        <v>145</v>
      </c>
      <c r="B39" s="9" t="s">
        <v>156</v>
      </c>
      <c r="C39" s="10" t="s">
        <v>159</v>
      </c>
      <c r="D39" s="10"/>
      <c r="E39" s="10" t="s">
        <v>160</v>
      </c>
    </row>
  </sheetData>
  <mergeCells count="7">
    <mergeCell ref="A1:I1"/>
    <mergeCell ref="A16:I16"/>
    <mergeCell ref="A22:I22"/>
    <mergeCell ref="B28:D28"/>
    <mergeCell ref="B29:D29"/>
    <mergeCell ref="A30:I30"/>
    <mergeCell ref="A36:I36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dps计算器</vt:lpstr>
      <vt:lpstr>数据支持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cosine</cp:lastModifiedBy>
  <dcterms:created xsi:type="dcterms:W3CDTF">2019-01-18T04:32:00Z</dcterms:created>
  <cp:lastPrinted>2019-01-18T04:33:00Z</cp:lastPrinted>
  <dcterms:modified xsi:type="dcterms:W3CDTF">2019-01-20T01:53:20Z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