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ine\Desktop\"/>
    </mc:Choice>
  </mc:AlternateContent>
  <bookViews>
    <workbookView xWindow="0" yWindow="0" windowWidth="14370" windowHeight="5310"/>
  </bookViews>
  <sheets>
    <sheet name="dps计算器" sheetId="2" r:id="rId1"/>
    <sheet name="数据支持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7" i="2" l="1"/>
  <c r="L20" i="2" l="1"/>
  <c r="J20" i="2"/>
  <c r="I20" i="2"/>
  <c r="H20" i="2"/>
  <c r="G20" i="2"/>
  <c r="F20" i="2"/>
  <c r="D20" i="2"/>
  <c r="C20" i="2"/>
  <c r="E23" i="2"/>
  <c r="F23" i="2" s="1"/>
  <c r="M20" i="2" l="1"/>
  <c r="E3" i="2"/>
  <c r="P23" i="2"/>
  <c r="Q23" i="2" s="1"/>
  <c r="P22" i="2"/>
  <c r="Q22" i="2" s="1"/>
  <c r="L63" i="2" l="1"/>
  <c r="M63" i="2" s="1"/>
  <c r="L64" i="2"/>
  <c r="M64" i="2" s="1"/>
  <c r="L65" i="2"/>
  <c r="M65" i="2" s="1"/>
  <c r="L66" i="2"/>
  <c r="M66" i="2" s="1"/>
  <c r="L67" i="2"/>
  <c r="M67" i="2" s="1"/>
  <c r="L68" i="2"/>
  <c r="M68" i="2" s="1"/>
  <c r="C63" i="2" l="1"/>
  <c r="R50" i="2"/>
  <c r="C43" i="2"/>
  <c r="C42" i="2"/>
  <c r="C41" i="2"/>
  <c r="C40" i="2"/>
  <c r="R51" i="2"/>
  <c r="R52" i="2"/>
  <c r="R43" i="2"/>
  <c r="R42" i="2"/>
  <c r="R41" i="2"/>
  <c r="M43" i="2"/>
  <c r="I43" i="2"/>
  <c r="H43" i="2"/>
  <c r="G43" i="2"/>
  <c r="M42" i="2"/>
  <c r="I42" i="2"/>
  <c r="H42" i="2"/>
  <c r="G42" i="2"/>
  <c r="M41" i="2"/>
  <c r="I41" i="2"/>
  <c r="H41" i="2"/>
  <c r="G41" i="2"/>
  <c r="D47" i="2"/>
  <c r="D46" i="2"/>
  <c r="D36" i="2"/>
  <c r="O41" i="2" l="1"/>
  <c r="P41" i="2" s="1"/>
  <c r="C69" i="2"/>
  <c r="C68" i="2"/>
  <c r="C67" i="2"/>
  <c r="O42" i="2"/>
  <c r="P42" i="2" s="1"/>
  <c r="O43" i="2"/>
  <c r="P43" i="2" s="1"/>
  <c r="E20" i="2"/>
  <c r="G36" i="2" l="1"/>
  <c r="D48" i="2"/>
  <c r="G46" i="2"/>
  <c r="C64" i="2"/>
  <c r="C65" i="2"/>
  <c r="C66" i="2"/>
  <c r="C70" i="2"/>
  <c r="C71" i="2"/>
  <c r="C36" i="2" l="1"/>
  <c r="C39" i="2"/>
  <c r="C38" i="2"/>
  <c r="C37" i="2"/>
  <c r="N37" i="2"/>
  <c r="M37" i="2"/>
  <c r="I37" i="2"/>
  <c r="H37" i="2"/>
  <c r="G37" i="2"/>
  <c r="N40" i="2"/>
  <c r="M40" i="2"/>
  <c r="I40" i="2"/>
  <c r="H40" i="2"/>
  <c r="G40" i="2"/>
  <c r="N39" i="2"/>
  <c r="M39" i="2"/>
  <c r="I39" i="2"/>
  <c r="H39" i="2"/>
  <c r="G39" i="2"/>
  <c r="N38" i="2"/>
  <c r="M38" i="2"/>
  <c r="I38" i="2"/>
  <c r="H38" i="2"/>
  <c r="G38" i="2"/>
  <c r="D45" i="2"/>
  <c r="C44" i="2"/>
  <c r="N44" i="2"/>
  <c r="M44" i="2"/>
  <c r="I44" i="2"/>
  <c r="H44" i="2"/>
  <c r="G44" i="2"/>
  <c r="N36" i="2"/>
  <c r="M36" i="2"/>
  <c r="I36" i="2"/>
  <c r="H36" i="2"/>
  <c r="C35" i="2"/>
  <c r="C34" i="2"/>
  <c r="C33" i="2"/>
  <c r="N35" i="2"/>
  <c r="M35" i="2"/>
  <c r="I35" i="2"/>
  <c r="H35" i="2"/>
  <c r="G35" i="2"/>
  <c r="N34" i="2"/>
  <c r="M34" i="2"/>
  <c r="I34" i="2"/>
  <c r="H34" i="2"/>
  <c r="G34" i="2"/>
  <c r="N33" i="2"/>
  <c r="M33" i="2"/>
  <c r="I33" i="2"/>
  <c r="H33" i="2"/>
  <c r="G33" i="2"/>
  <c r="C32" i="2"/>
  <c r="N32" i="2"/>
  <c r="M32" i="2"/>
  <c r="I32" i="2"/>
  <c r="H32" i="2"/>
  <c r="D32" i="2"/>
  <c r="G32" i="2" s="1"/>
  <c r="M50" i="2"/>
  <c r="M51" i="2"/>
  <c r="M52" i="2"/>
  <c r="N53" i="2"/>
  <c r="N54" i="2"/>
  <c r="N55" i="2"/>
  <c r="G50" i="2"/>
  <c r="H50" i="2"/>
  <c r="I50" i="2"/>
  <c r="G51" i="2"/>
  <c r="H51" i="2"/>
  <c r="I51" i="2"/>
  <c r="G52" i="2"/>
  <c r="H52" i="2"/>
  <c r="I52" i="2"/>
  <c r="G10" i="1"/>
  <c r="G11" i="1"/>
  <c r="G12" i="1"/>
  <c r="D10" i="1"/>
  <c r="D11" i="1"/>
  <c r="D12" i="1"/>
  <c r="N48" i="2"/>
  <c r="N47" i="2"/>
  <c r="N46" i="2"/>
  <c r="G59" i="2"/>
  <c r="H59" i="2"/>
  <c r="I59" i="2"/>
  <c r="M59" i="2"/>
  <c r="N59" i="2"/>
  <c r="J52" i="2" l="1"/>
  <c r="O34" i="2"/>
  <c r="P34" i="2" s="1"/>
  <c r="O32" i="2"/>
  <c r="P32" i="2" s="1"/>
  <c r="O36" i="2"/>
  <c r="P36" i="2" s="1"/>
  <c r="O52" i="2"/>
  <c r="O35" i="2"/>
  <c r="P35" i="2" s="1"/>
  <c r="O44" i="2"/>
  <c r="P44" i="2" s="1"/>
  <c r="O51" i="2"/>
  <c r="P51" i="2" s="1"/>
  <c r="O50" i="2"/>
  <c r="P50" i="2" s="1"/>
  <c r="O37" i="2"/>
  <c r="P37" i="2" s="1"/>
  <c r="P52" i="2"/>
  <c r="O33" i="2"/>
  <c r="P33" i="2" s="1"/>
  <c r="O38" i="2"/>
  <c r="P38" i="2" s="1"/>
  <c r="O39" i="2"/>
  <c r="P39" i="2" s="1"/>
  <c r="O40" i="2"/>
  <c r="P40" i="2" s="1"/>
  <c r="O59" i="2"/>
  <c r="P59" i="2" s="1"/>
  <c r="G45" i="2"/>
  <c r="H45" i="2"/>
  <c r="I45" i="2"/>
  <c r="M45" i="2"/>
  <c r="N45" i="2"/>
  <c r="H46" i="2"/>
  <c r="I46" i="2"/>
  <c r="M46" i="2"/>
  <c r="G47" i="2"/>
  <c r="H47" i="2"/>
  <c r="I47" i="2"/>
  <c r="M47" i="2"/>
  <c r="G48" i="2"/>
  <c r="H48" i="2"/>
  <c r="I48" i="2"/>
  <c r="M48" i="2"/>
  <c r="G49" i="2"/>
  <c r="H49" i="2"/>
  <c r="I49" i="2"/>
  <c r="M49" i="2"/>
  <c r="N49" i="2"/>
  <c r="G53" i="2"/>
  <c r="H53" i="2"/>
  <c r="I53" i="2"/>
  <c r="M53" i="2"/>
  <c r="G54" i="2"/>
  <c r="H54" i="2"/>
  <c r="I54" i="2"/>
  <c r="M54" i="2"/>
  <c r="G55" i="2"/>
  <c r="H55" i="2"/>
  <c r="I55" i="2"/>
  <c r="M55" i="2"/>
  <c r="G56" i="2"/>
  <c r="H56" i="2"/>
  <c r="I56" i="2"/>
  <c r="M56" i="2"/>
  <c r="N56" i="2"/>
  <c r="G57" i="2"/>
  <c r="H57" i="2"/>
  <c r="I57" i="2"/>
  <c r="M57" i="2"/>
  <c r="N57" i="2"/>
  <c r="G58" i="2"/>
  <c r="H58" i="2"/>
  <c r="I58" i="2"/>
  <c r="M58" i="2"/>
  <c r="N58" i="2"/>
  <c r="O45" i="2" l="1"/>
  <c r="P45" i="2" s="1"/>
  <c r="O48" i="2"/>
  <c r="P48" i="2" s="1"/>
  <c r="O49" i="2"/>
  <c r="P49" i="2" s="1"/>
  <c r="O46" i="2"/>
  <c r="P46" i="2" s="1"/>
  <c r="O55" i="2"/>
  <c r="P55" i="2" s="1"/>
  <c r="O57" i="2"/>
  <c r="P57" i="2" s="1"/>
  <c r="O47" i="2"/>
  <c r="P47" i="2" s="1"/>
  <c r="O54" i="2"/>
  <c r="P54" i="2" s="1"/>
  <c r="O58" i="2"/>
  <c r="P58" i="2" s="1"/>
  <c r="O56" i="2"/>
  <c r="P56" i="2" s="1"/>
  <c r="O53" i="2"/>
  <c r="P53" i="2" s="1"/>
  <c r="K36" i="2" l="1"/>
  <c r="L36" i="2" s="1"/>
  <c r="K43" i="2"/>
  <c r="L43" i="2" s="1"/>
  <c r="J42" i="2"/>
  <c r="J41" i="2"/>
  <c r="K42" i="2"/>
  <c r="L42" i="2" s="1"/>
  <c r="K41" i="2"/>
  <c r="L41" i="2" s="1"/>
  <c r="J43" i="2"/>
  <c r="J46" i="2"/>
  <c r="K39" i="2"/>
  <c r="L39" i="2" s="1"/>
  <c r="J39" i="2"/>
  <c r="K51" i="2"/>
  <c r="L51" i="2" s="1"/>
  <c r="J33" i="2"/>
  <c r="K50" i="2"/>
  <c r="L50" i="2" s="1"/>
  <c r="J35" i="2"/>
  <c r="K52" i="2"/>
  <c r="L52" i="2" s="1"/>
  <c r="K37" i="2"/>
  <c r="L37" i="2" s="1"/>
  <c r="J38" i="2"/>
  <c r="J51" i="2"/>
  <c r="K32" i="2"/>
  <c r="L32" i="2" s="1"/>
  <c r="K59" i="2"/>
  <c r="L59" i="2" s="1"/>
  <c r="K38" i="2"/>
  <c r="L38" i="2" s="1"/>
  <c r="J32" i="2"/>
  <c r="J36" i="2"/>
  <c r="K33" i="2"/>
  <c r="L33" i="2" s="1"/>
  <c r="K40" i="2"/>
  <c r="L40" i="2" s="1"/>
  <c r="K44" i="2"/>
  <c r="L44" i="2" s="1"/>
  <c r="J40" i="2"/>
  <c r="J59" i="2"/>
  <c r="K34" i="2"/>
  <c r="L34" i="2" s="1"/>
  <c r="K35" i="2"/>
  <c r="L35" i="2" s="1"/>
  <c r="J37" i="2"/>
  <c r="J50" i="2"/>
  <c r="J34" i="2"/>
  <c r="J44" i="2"/>
  <c r="J56" i="2"/>
  <c r="J48" i="2"/>
  <c r="K48" i="2"/>
  <c r="L48" i="2" s="1"/>
  <c r="J47" i="2"/>
  <c r="J45" i="2"/>
  <c r="K49" i="2"/>
  <c r="L49" i="2" s="1"/>
  <c r="K45" i="2"/>
  <c r="L45" i="2" s="1"/>
  <c r="J58" i="2"/>
  <c r="K58" i="2"/>
  <c r="L58" i="2" s="1"/>
  <c r="K47" i="2"/>
  <c r="L47" i="2" s="1"/>
  <c r="L57" i="2"/>
  <c r="J53" i="2"/>
  <c r="J49" i="2"/>
  <c r="K46" i="2"/>
  <c r="L46" i="2" s="1"/>
  <c r="K56" i="2"/>
  <c r="L56" i="2" s="1"/>
  <c r="J55" i="2"/>
  <c r="K53" i="2"/>
  <c r="L53" i="2" s="1"/>
  <c r="J57" i="2"/>
  <c r="K55" i="2"/>
  <c r="L55" i="2" s="1"/>
  <c r="J54" i="2"/>
  <c r="K54" i="2"/>
  <c r="L54" i="2" s="1"/>
  <c r="C35" i="1"/>
  <c r="C34" i="1"/>
  <c r="C33" i="1"/>
  <c r="C32" i="1"/>
  <c r="C27" i="1"/>
  <c r="C26" i="1"/>
  <c r="C25" i="1"/>
  <c r="C24" i="1"/>
  <c r="D9" i="1"/>
  <c r="G9" i="1" s="1"/>
  <c r="D13" i="1"/>
  <c r="G13" i="1" s="1"/>
  <c r="D14" i="1"/>
  <c r="G14" i="1" s="1"/>
  <c r="D15" i="1"/>
  <c r="G15" i="1" s="1"/>
  <c r="I8" i="1"/>
  <c r="D8" i="1"/>
  <c r="G8" i="1" s="1"/>
  <c r="H21" i="1"/>
  <c r="H20" i="1"/>
  <c r="I20" i="1" s="1"/>
  <c r="H18" i="1"/>
  <c r="H17" i="1"/>
  <c r="D21" i="1"/>
  <c r="G21" i="1" s="1"/>
  <c r="D20" i="1"/>
  <c r="I19" i="1"/>
  <c r="D19" i="1"/>
  <c r="G19" i="1" s="1"/>
  <c r="D18" i="1"/>
  <c r="G18" i="1" s="1"/>
  <c r="D17" i="1"/>
  <c r="G17" i="1" s="1"/>
  <c r="I5" i="1"/>
  <c r="I6" i="1"/>
  <c r="H7" i="1"/>
  <c r="I7" i="1" s="1"/>
  <c r="H3" i="1"/>
  <c r="I3" i="1" s="1"/>
  <c r="H4" i="1"/>
  <c r="I4" i="1" s="1"/>
  <c r="D4" i="1"/>
  <c r="G4" i="1" s="1"/>
  <c r="D5" i="1"/>
  <c r="G5" i="1" s="1"/>
  <c r="D6" i="1"/>
  <c r="G6" i="1" s="1"/>
  <c r="D7" i="1"/>
  <c r="G7" i="1" s="1"/>
  <c r="D3" i="1"/>
  <c r="G3" i="1" s="1"/>
  <c r="Q33" i="2" l="1"/>
  <c r="S33" i="2" s="1"/>
  <c r="Q43" i="2"/>
  <c r="S43" i="2" s="1"/>
  <c r="Q40" i="2"/>
  <c r="S40" i="2" s="1"/>
  <c r="Q41" i="2"/>
  <c r="S41" i="2" s="1"/>
  <c r="Q42" i="2"/>
  <c r="S42" i="2" s="1"/>
  <c r="Q51" i="2"/>
  <c r="S51" i="2" s="1"/>
  <c r="Q37" i="2"/>
  <c r="S37" i="2" s="1"/>
  <c r="Q48" i="2"/>
  <c r="S48" i="2" s="1"/>
  <c r="Q38" i="2"/>
  <c r="S38" i="2" s="1"/>
  <c r="Q50" i="2"/>
  <c r="S50" i="2" s="1"/>
  <c r="Q39" i="2"/>
  <c r="S39" i="2" s="1"/>
  <c r="Q59" i="2"/>
  <c r="S59" i="2" s="1"/>
  <c r="Q35" i="2"/>
  <c r="S35" i="2" s="1"/>
  <c r="Q52" i="2"/>
  <c r="S52" i="2" s="1"/>
  <c r="Q36" i="2"/>
  <c r="S36" i="2" s="1"/>
  <c r="Q44" i="2"/>
  <c r="S44" i="2" s="1"/>
  <c r="Q47" i="2"/>
  <c r="S47" i="2" s="1"/>
  <c r="Q34" i="2"/>
  <c r="S34" i="2" s="1"/>
  <c r="Q32" i="2"/>
  <c r="S32" i="2" s="1"/>
  <c r="Q46" i="2"/>
  <c r="S46" i="2" s="1"/>
  <c r="Q57" i="2"/>
  <c r="S57" i="2" s="1"/>
  <c r="Q55" i="2"/>
  <c r="S55" i="2" s="1"/>
  <c r="Q54" i="2"/>
  <c r="S54" i="2" s="1"/>
  <c r="Q49" i="2"/>
  <c r="S49" i="2" s="1"/>
  <c r="Q58" i="2"/>
  <c r="S58" i="2" s="1"/>
  <c r="Q45" i="2"/>
  <c r="S45" i="2" s="1"/>
  <c r="Q53" i="2"/>
  <c r="S53" i="2" s="1"/>
  <c r="Q56" i="2"/>
  <c r="S56" i="2" s="1"/>
  <c r="I18" i="1"/>
  <c r="I17" i="1"/>
  <c r="I21" i="1"/>
  <c r="G20" i="1"/>
  <c r="D69" i="2" l="1"/>
  <c r="S60" i="2"/>
  <c r="I23" i="2" s="1"/>
  <c r="D68" i="2"/>
  <c r="D67" i="2"/>
  <c r="D70" i="2"/>
  <c r="D65" i="2"/>
  <c r="D63" i="2"/>
  <c r="D71" i="2"/>
  <c r="D66" i="2"/>
  <c r="D64" i="2"/>
  <c r="E67" i="2" l="1"/>
  <c r="E64" i="2"/>
  <c r="E69" i="2"/>
  <c r="E65" i="2"/>
  <c r="E66" i="2"/>
  <c r="E71" i="2"/>
  <c r="E68" i="2"/>
  <c r="E70" i="2"/>
  <c r="E63" i="2"/>
</calcChain>
</file>

<file path=xl/sharedStrings.xml><?xml version="1.0" encoding="utf-8"?>
<sst xmlns="http://schemas.openxmlformats.org/spreadsheetml/2006/main" count="203" uniqueCount="175">
  <si>
    <t>破防等级</t>
    <phoneticPr fontId="1" type="noConversion"/>
  </si>
  <si>
    <t>面板攻击</t>
    <phoneticPr fontId="1" type="noConversion"/>
  </si>
  <si>
    <t>木桩减伤</t>
    <phoneticPr fontId="1" type="noConversion"/>
  </si>
  <si>
    <t>实际伤害</t>
    <phoneticPr fontId="1" type="noConversion"/>
  </si>
  <si>
    <t>商阳</t>
    <phoneticPr fontId="1" type="noConversion"/>
  </si>
  <si>
    <t>阳明</t>
    <phoneticPr fontId="1" type="noConversion"/>
  </si>
  <si>
    <t>快雪</t>
    <phoneticPr fontId="1" type="noConversion"/>
  </si>
  <si>
    <t>钟林</t>
    <phoneticPr fontId="1" type="noConversion"/>
  </si>
  <si>
    <t>兰摧</t>
    <phoneticPr fontId="1" type="noConversion"/>
  </si>
  <si>
    <t>破防</t>
    <phoneticPr fontId="1" type="noConversion"/>
  </si>
  <si>
    <t>面板伤害</t>
    <phoneticPr fontId="1" type="noConversion"/>
  </si>
  <si>
    <t>面板系数</t>
    <phoneticPr fontId="1" type="noConversion"/>
  </si>
  <si>
    <t>实际系数</t>
    <phoneticPr fontId="1" type="noConversion"/>
  </si>
  <si>
    <t>玉石</t>
    <phoneticPr fontId="1" type="noConversion"/>
  </si>
  <si>
    <t>商阳首跳</t>
    <phoneticPr fontId="1" type="noConversion"/>
  </si>
  <si>
    <t>兰摧首跳（雪中行）</t>
    <phoneticPr fontId="1" type="noConversion"/>
  </si>
  <si>
    <t>钟林首跳（雪中行）</t>
    <phoneticPr fontId="1" type="noConversion"/>
  </si>
  <si>
    <t>商阳首跳（雪中行）</t>
    <phoneticPr fontId="1" type="noConversion"/>
  </si>
  <si>
    <t>验证组</t>
    <phoneticPr fontId="1" type="noConversion"/>
  </si>
  <si>
    <t>系数测试</t>
    <phoneticPr fontId="1" type="noConversion"/>
  </si>
  <si>
    <t>雪中行快雪测试</t>
    <phoneticPr fontId="1" type="noConversion"/>
  </si>
  <si>
    <t>单独快雪</t>
    <phoneticPr fontId="1" type="noConversion"/>
  </si>
  <si>
    <t>吞噬6跳商阳</t>
    <phoneticPr fontId="1" type="noConversion"/>
  </si>
  <si>
    <t>伤害</t>
    <phoneticPr fontId="1" type="noConversion"/>
  </si>
  <si>
    <t>增幅</t>
    <phoneticPr fontId="1" type="noConversion"/>
  </si>
  <si>
    <t>吞噬1跳商阳</t>
    <phoneticPr fontId="1" type="noConversion"/>
  </si>
  <si>
    <t>吞噬6跳兰摧+6跳钟林</t>
    <phoneticPr fontId="1" type="noConversion"/>
  </si>
  <si>
    <t>焚玉测试</t>
    <phoneticPr fontId="1" type="noConversion"/>
  </si>
  <si>
    <t>1dot快雪</t>
    <phoneticPr fontId="1" type="noConversion"/>
  </si>
  <si>
    <t>2dot快雪</t>
    <phoneticPr fontId="1" type="noConversion"/>
  </si>
  <si>
    <t>3dot快雪</t>
    <phoneticPr fontId="1" type="noConversion"/>
  </si>
  <si>
    <t>元气</t>
    <phoneticPr fontId="1" type="noConversion"/>
  </si>
  <si>
    <t>基础攻击</t>
    <phoneticPr fontId="1" type="noConversion"/>
  </si>
  <si>
    <t>会心</t>
    <phoneticPr fontId="1" type="noConversion"/>
  </si>
  <si>
    <t>会效</t>
    <phoneticPr fontId="1" type="noConversion"/>
  </si>
  <si>
    <t>破防</t>
    <phoneticPr fontId="1" type="noConversion"/>
  </si>
  <si>
    <t>无双</t>
    <phoneticPr fontId="1" type="noConversion"/>
  </si>
  <si>
    <t>命中</t>
    <phoneticPr fontId="1" type="noConversion"/>
  </si>
  <si>
    <t>加速</t>
    <phoneticPr fontId="1" type="noConversion"/>
  </si>
  <si>
    <t>面板攻击</t>
    <phoneticPr fontId="1" type="noConversion"/>
  </si>
  <si>
    <t>角色属性</t>
    <phoneticPr fontId="1" type="noConversion"/>
  </si>
  <si>
    <t>技能</t>
    <phoneticPr fontId="1" type="noConversion"/>
  </si>
  <si>
    <t>商阳（DOT）</t>
    <phoneticPr fontId="1" type="noConversion"/>
  </si>
  <si>
    <t>兰摧（DOT）</t>
    <phoneticPr fontId="1" type="noConversion"/>
  </si>
  <si>
    <t>钟林（DOT）</t>
    <phoneticPr fontId="1" type="noConversion"/>
  </si>
  <si>
    <t>商阳（雪中行）</t>
    <phoneticPr fontId="1" type="noConversion"/>
  </si>
  <si>
    <t>兰摧（雪中行）</t>
    <phoneticPr fontId="1" type="noConversion"/>
  </si>
  <si>
    <t>钟林（雪中行）</t>
    <phoneticPr fontId="1" type="noConversion"/>
  </si>
  <si>
    <t>攻击力加成</t>
    <phoneticPr fontId="1" type="noConversion"/>
  </si>
  <si>
    <t>额外会心</t>
    <phoneticPr fontId="1" type="noConversion"/>
  </si>
  <si>
    <t>额外会效</t>
    <phoneticPr fontId="1" type="noConversion"/>
  </si>
  <si>
    <t>伤害加成</t>
    <phoneticPr fontId="1" type="noConversion"/>
  </si>
  <si>
    <t>最终伤害加成</t>
    <phoneticPr fontId="1" type="noConversion"/>
  </si>
  <si>
    <t>最终会心</t>
    <phoneticPr fontId="1" type="noConversion"/>
  </si>
  <si>
    <t>最终会效</t>
    <phoneticPr fontId="1" type="noConversion"/>
  </si>
  <si>
    <t>快雪加成</t>
    <phoneticPr fontId="1" type="noConversion"/>
  </si>
  <si>
    <t>全局加成</t>
    <phoneticPr fontId="1" type="noConversion"/>
  </si>
  <si>
    <t>秘籍12%</t>
    <phoneticPr fontId="1" type="noConversion"/>
  </si>
  <si>
    <t>噬骨10%</t>
    <phoneticPr fontId="1" type="noConversion"/>
  </si>
  <si>
    <t>套装攻击</t>
    <phoneticPr fontId="1" type="noConversion"/>
  </si>
  <si>
    <t>套装技能</t>
    <phoneticPr fontId="1" type="noConversion"/>
  </si>
  <si>
    <t>阳明加成</t>
    <phoneticPr fontId="1" type="noConversion"/>
  </si>
  <si>
    <t>雪中行10%每dot</t>
    <phoneticPr fontId="1" type="noConversion"/>
  </si>
  <si>
    <t>倚天20%无视</t>
    <phoneticPr fontId="1" type="noConversion"/>
  </si>
  <si>
    <t>秘籍4%伤3%会</t>
    <phoneticPr fontId="1" type="noConversion"/>
  </si>
  <si>
    <t>弹指10%双会</t>
    <phoneticPr fontId="1" type="noConversion"/>
  </si>
  <si>
    <t>焚玉24%</t>
    <phoneticPr fontId="1" type="noConversion"/>
  </si>
  <si>
    <t>青冠15%双会</t>
    <phoneticPr fontId="1" type="noConversion"/>
  </si>
  <si>
    <t>雪弃20%</t>
    <phoneticPr fontId="1" type="noConversion"/>
  </si>
  <si>
    <t>加成</t>
    <phoneticPr fontId="1" type="noConversion"/>
  </si>
  <si>
    <t>春寒流离</t>
    <phoneticPr fontId="1" type="noConversion"/>
  </si>
  <si>
    <t>DOT加成</t>
    <phoneticPr fontId="1" type="noConversion"/>
  </si>
  <si>
    <t>生息10%</t>
    <phoneticPr fontId="1" type="noConversion"/>
  </si>
  <si>
    <t>生息循环剩余跳数</t>
    <phoneticPr fontId="1" type="noConversion"/>
  </si>
  <si>
    <t>兰摧1商阳2钟林2</t>
    <phoneticPr fontId="1" type="noConversion"/>
  </si>
  <si>
    <t>兰摧3商阳4钟林4</t>
    <phoneticPr fontId="1" type="noConversion"/>
  </si>
  <si>
    <t>流离循环剩余跳数</t>
    <phoneticPr fontId="1" type="noConversion"/>
  </si>
  <si>
    <t>目标属性</t>
    <phoneticPr fontId="1" type="noConversion"/>
  </si>
  <si>
    <t>等级</t>
    <phoneticPr fontId="1" type="noConversion"/>
  </si>
  <si>
    <t>命中要求</t>
    <phoneticPr fontId="1" type="noConversion"/>
  </si>
  <si>
    <t>无双要求</t>
    <phoneticPr fontId="1" type="noConversion"/>
  </si>
  <si>
    <t>防御</t>
    <phoneticPr fontId="1" type="noConversion"/>
  </si>
  <si>
    <t>会心伤害</t>
    <phoneticPr fontId="1" type="noConversion"/>
  </si>
  <si>
    <t>命中伤害</t>
    <phoneticPr fontId="1" type="noConversion"/>
  </si>
  <si>
    <t>识破伤害</t>
    <phoneticPr fontId="1" type="noConversion"/>
  </si>
  <si>
    <t>减伤</t>
    <phoneticPr fontId="1" type="noConversion"/>
  </si>
  <si>
    <t>单次期望</t>
    <phoneticPr fontId="1" type="noConversion"/>
  </si>
  <si>
    <t>识破概率</t>
    <phoneticPr fontId="1" type="noConversion"/>
  </si>
  <si>
    <t>Miss概率</t>
    <phoneticPr fontId="1" type="noConversion"/>
  </si>
  <si>
    <t>会心概率</t>
    <phoneticPr fontId="1" type="noConversion"/>
  </si>
  <si>
    <t>普通命中概率</t>
    <phoneticPr fontId="1" type="noConversion"/>
  </si>
  <si>
    <t>玉石（水月乱洒）</t>
    <phoneticPr fontId="1" type="noConversion"/>
  </si>
  <si>
    <t>玉石</t>
    <phoneticPr fontId="1" type="noConversion"/>
  </si>
  <si>
    <t>商阳（触发）</t>
    <phoneticPr fontId="1" type="noConversion"/>
  </si>
  <si>
    <t>兰摧（触发）</t>
    <phoneticPr fontId="1" type="noConversion"/>
  </si>
  <si>
    <t>钟林（触发）</t>
    <phoneticPr fontId="1" type="noConversion"/>
  </si>
  <si>
    <t>商阳触发</t>
    <phoneticPr fontId="1" type="noConversion"/>
  </si>
  <si>
    <t>兰摧触发</t>
    <phoneticPr fontId="1" type="noConversion"/>
  </si>
  <si>
    <t>钟林触发</t>
    <phoneticPr fontId="1" type="noConversion"/>
  </si>
  <si>
    <t>商阳（雪中行）</t>
    <phoneticPr fontId="1" type="noConversion"/>
  </si>
  <si>
    <t>商阳</t>
    <phoneticPr fontId="1" type="noConversion"/>
  </si>
  <si>
    <t>钟林（DOT）</t>
    <phoneticPr fontId="1" type="noConversion"/>
  </si>
  <si>
    <t>兰摧（DOT）</t>
    <phoneticPr fontId="1" type="noConversion"/>
  </si>
  <si>
    <t>商阳（DOT）</t>
    <phoneticPr fontId="1" type="noConversion"/>
  </si>
  <si>
    <t>阳明</t>
    <phoneticPr fontId="1" type="noConversion"/>
  </si>
  <si>
    <t>水月乱洒</t>
    <phoneticPr fontId="1" type="noConversion"/>
  </si>
  <si>
    <t>累计伤害</t>
    <phoneticPr fontId="1" type="noConversion"/>
  </si>
  <si>
    <t>1min(61S)EDPS</t>
    <phoneticPr fontId="1" type="noConversion"/>
  </si>
  <si>
    <t>技能个数</t>
    <phoneticPr fontId="1" type="noConversion"/>
  </si>
  <si>
    <t>DPS</t>
    <phoneticPr fontId="1" type="noConversion"/>
  </si>
  <si>
    <t>技能占比</t>
    <phoneticPr fontId="1" type="noConversion"/>
  </si>
  <si>
    <t>快雪时晴</t>
    <phoneticPr fontId="1" type="noConversion"/>
  </si>
  <si>
    <t>兰摧玉折（DOT）</t>
    <phoneticPr fontId="1" type="noConversion"/>
  </si>
  <si>
    <t>钟灵毓秀（DOT）</t>
    <phoneticPr fontId="1" type="noConversion"/>
  </si>
  <si>
    <t>商阳指（DOT)</t>
    <phoneticPr fontId="1" type="noConversion"/>
  </si>
  <si>
    <t>商阳指</t>
    <phoneticPr fontId="1" type="noConversion"/>
  </si>
  <si>
    <t>兰摧玉折</t>
    <phoneticPr fontId="1" type="noConversion"/>
  </si>
  <si>
    <t>钟灵毓秀</t>
    <phoneticPr fontId="1" type="noConversion"/>
  </si>
  <si>
    <t>玉石俱焚</t>
    <phoneticPr fontId="1" type="noConversion"/>
  </si>
  <si>
    <t>阳明指</t>
    <phoneticPr fontId="1" type="noConversion"/>
  </si>
  <si>
    <t>次数</t>
    <phoneticPr fontId="1" type="noConversion"/>
  </si>
  <si>
    <t>伤害</t>
    <phoneticPr fontId="1" type="noConversion"/>
  </si>
  <si>
    <t>占比</t>
    <phoneticPr fontId="1" type="noConversion"/>
  </si>
  <si>
    <t>单属性收益</t>
    <phoneticPr fontId="1" type="noConversion"/>
  </si>
  <si>
    <t>基础dps</t>
    <phoneticPr fontId="1" type="noConversion"/>
  </si>
  <si>
    <t>元气+10</t>
    <phoneticPr fontId="1" type="noConversion"/>
  </si>
  <si>
    <t>基础攻击+10</t>
    <phoneticPr fontId="1" type="noConversion"/>
  </si>
  <si>
    <t>会心1%</t>
    <phoneticPr fontId="1" type="noConversion"/>
  </si>
  <si>
    <t>破防1%</t>
    <phoneticPr fontId="1" type="noConversion"/>
  </si>
  <si>
    <t>无双1%</t>
    <phoneticPr fontId="1" type="noConversion"/>
  </si>
  <si>
    <t>增加dps</t>
    <phoneticPr fontId="1" type="noConversion"/>
  </si>
  <si>
    <t>会效1%</t>
    <phoneticPr fontId="1" type="noConversion"/>
  </si>
  <si>
    <t>每点增益</t>
    <phoneticPr fontId="1" type="noConversion"/>
  </si>
  <si>
    <t>快雪（无雪中行）</t>
    <phoneticPr fontId="1" type="noConversion"/>
  </si>
  <si>
    <t>快雪（21雪中行）</t>
    <phoneticPr fontId="1" type="noConversion"/>
  </si>
  <si>
    <t>玉石剩余跳数</t>
    <phoneticPr fontId="1" type="noConversion"/>
  </si>
  <si>
    <t>生息循环剩余跳数</t>
    <phoneticPr fontId="1" type="noConversion"/>
  </si>
  <si>
    <t>起手直接爆</t>
    <phoneticPr fontId="1" type="noConversion"/>
  </si>
  <si>
    <t>5阳明爆</t>
    <phoneticPr fontId="1" type="noConversion"/>
  </si>
  <si>
    <t>12阳明爆</t>
    <phoneticPr fontId="1" type="noConversion"/>
  </si>
  <si>
    <t>20阳明爆</t>
    <phoneticPr fontId="1" type="noConversion"/>
  </si>
  <si>
    <t>7-7-7</t>
    <phoneticPr fontId="1" type="noConversion"/>
  </si>
  <si>
    <t>7-7-7</t>
    <phoneticPr fontId="1" type="noConversion"/>
  </si>
  <si>
    <r>
      <rPr>
        <sz val="11"/>
        <color theme="1"/>
        <rFont val="等线"/>
        <family val="2"/>
        <charset val="134"/>
        <scheme val="minor"/>
      </rPr>
      <t>5-</t>
    </r>
    <r>
      <rPr>
        <sz val="11"/>
        <color theme="1"/>
        <rFont val="等线"/>
        <family val="2"/>
        <charset val="134"/>
        <scheme val="minor"/>
      </rPr>
      <t>6-6</t>
    </r>
    <phoneticPr fontId="1" type="noConversion"/>
  </si>
  <si>
    <t>5-6-6</t>
    <phoneticPr fontId="1" type="noConversion"/>
  </si>
  <si>
    <t>3-4-4</t>
    <phoneticPr fontId="1" type="noConversion"/>
  </si>
  <si>
    <t>快雪（17雪中行）</t>
    <phoneticPr fontId="1" type="noConversion"/>
  </si>
  <si>
    <t>快雪（11雪中行）</t>
    <phoneticPr fontId="1" type="noConversion"/>
  </si>
  <si>
    <t>2-3-3</t>
    <phoneticPr fontId="1" type="noConversion"/>
  </si>
  <si>
    <t>计算属性</t>
    <phoneticPr fontId="1" type="noConversion"/>
  </si>
  <si>
    <t>输入</t>
    <phoneticPr fontId="1" type="noConversion"/>
  </si>
  <si>
    <t>小药磨石</t>
    <phoneticPr fontId="1" type="noConversion"/>
  </si>
  <si>
    <t>宴席</t>
    <phoneticPr fontId="1" type="noConversion"/>
  </si>
  <si>
    <t>帮会宴席</t>
    <phoneticPr fontId="1" type="noConversion"/>
  </si>
  <si>
    <t>水煮鱼</t>
    <phoneticPr fontId="1" type="noConversion"/>
  </si>
  <si>
    <t>阵</t>
    <phoneticPr fontId="1" type="noConversion"/>
  </si>
  <si>
    <t>秀气</t>
    <phoneticPr fontId="1" type="noConversion"/>
  </si>
  <si>
    <t>清隽</t>
    <phoneticPr fontId="1" type="noConversion"/>
  </si>
  <si>
    <t>金刚怒目</t>
    <phoneticPr fontId="1" type="noConversion"/>
  </si>
  <si>
    <t>尾后阵</t>
    <phoneticPr fontId="1" type="noConversion"/>
  </si>
  <si>
    <t>分澜</t>
    <phoneticPr fontId="1" type="noConversion"/>
  </si>
  <si>
    <t>戒火斩</t>
    <phoneticPr fontId="1" type="noConversion"/>
  </si>
  <si>
    <t>立地成佛</t>
    <phoneticPr fontId="1" type="noConversion"/>
  </si>
  <si>
    <t>破苍穹</t>
    <phoneticPr fontId="1" type="noConversion"/>
  </si>
  <si>
    <t>团队增益</t>
    <phoneticPr fontId="1" type="noConversion"/>
  </si>
  <si>
    <t>涓流</t>
    <phoneticPr fontId="1" type="noConversion"/>
  </si>
  <si>
    <t>实际内防（倚天）</t>
    <phoneticPr fontId="1" type="noConversion"/>
  </si>
  <si>
    <t>清流</t>
    <phoneticPr fontId="1" type="noConversion"/>
  </si>
  <si>
    <t>修改绿色部分</t>
    <phoneticPr fontId="1" type="noConversion"/>
  </si>
  <si>
    <t>修改绿色部分</t>
    <phoneticPr fontId="1" type="noConversion"/>
  </si>
  <si>
    <t>DPS</t>
    <phoneticPr fontId="1" type="noConversion"/>
  </si>
  <si>
    <t>常见目标</t>
    <phoneticPr fontId="1" type="noConversion"/>
  </si>
  <si>
    <t>102木桩</t>
    <phoneticPr fontId="1" type="noConversion"/>
  </si>
  <si>
    <t>103木桩/25英雄</t>
    <phoneticPr fontId="1" type="noConversion"/>
  </si>
  <si>
    <t>循环是从开水月开始算，水月CD好结束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</si>
</sst>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2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4" borderId="0" xfId="0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2" fillId="8" borderId="0" xfId="0" applyFont="1" applyFill="1" applyBorder="1" applyAlignment="1">
      <alignment horizontal="center" vertical="center"/>
    </xf>
    <xf numFmtId="10" fontId="2" fillId="8" borderId="0" xfId="0" applyNumberFormat="1" applyFont="1" applyFill="1" applyBorder="1" applyAlignment="1">
      <alignment horizontal="center" vertical="center"/>
    </xf>
    <xf numFmtId="178" fontId="2" fillId="8" borderId="0" xfId="0" applyNumberFormat="1" applyFont="1" applyFill="1" applyBorder="1" applyAlignment="1">
      <alignment horizontal="center" vertical="center"/>
    </xf>
    <xf numFmtId="177" fontId="2" fillId="8" borderId="0" xfId="0" applyNumberFormat="1" applyFont="1" applyFill="1" applyBorder="1" applyAlignment="1">
      <alignment horizontal="center" vertical="center"/>
    </xf>
    <xf numFmtId="178" fontId="5" fillId="8" borderId="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10</xdr:row>
      <xdr:rowOff>104775</xdr:rowOff>
    </xdr:from>
    <xdr:to>
      <xdr:col>16</xdr:col>
      <xdr:colOff>382296</xdr:colOff>
      <xdr:row>27</xdr:row>
      <xdr:rowOff>52595</xdr:rowOff>
    </xdr:to>
    <xdr:pic>
      <xdr:nvPicPr>
        <xdr:cNvPr id="2" name="图片 1" descr="属性系数对比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8258175" y="1914525"/>
          <a:ext cx="4554246" cy="30243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37" workbookViewId="0">
      <selection activeCell="O54" sqref="O54"/>
    </sheetView>
  </sheetViews>
  <sheetFormatPr defaultRowHeight="16.5" x14ac:dyDescent="0.2"/>
  <cols>
    <col min="1" max="1" width="3.25" style="10" customWidth="1"/>
    <col min="2" max="2" width="23.75" style="8" bestFit="1" customWidth="1"/>
    <col min="3" max="16" width="10.625" style="8" customWidth="1"/>
    <col min="17" max="17" width="10.625" style="11" customWidth="1"/>
    <col min="18" max="18" width="10.625" style="8" customWidth="1"/>
    <col min="19" max="16384" width="9" style="8"/>
  </cols>
  <sheetData>
    <row r="1" spans="1:19" x14ac:dyDescent="0.2">
      <c r="A1" s="53" t="s">
        <v>40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</row>
    <row r="2" spans="1:19" s="10" customFormat="1" x14ac:dyDescent="0.2">
      <c r="A2" s="54" t="s">
        <v>150</v>
      </c>
      <c r="B2" s="54"/>
      <c r="C2" s="10" t="s">
        <v>31</v>
      </c>
      <c r="D2" s="10" t="s">
        <v>32</v>
      </c>
      <c r="E2" s="10" t="s">
        <v>39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 t="s">
        <v>59</v>
      </c>
      <c r="M2" s="10" t="s">
        <v>60</v>
      </c>
      <c r="N2" s="48" t="s">
        <v>169</v>
      </c>
      <c r="O2" s="48"/>
      <c r="P2" s="48"/>
      <c r="Q2" s="48"/>
      <c r="R2" s="48"/>
      <c r="S2" s="48"/>
    </row>
    <row r="3" spans="1:19" s="10" customFormat="1" x14ac:dyDescent="0.2">
      <c r="A3" s="54"/>
      <c r="B3" s="54"/>
      <c r="C3" s="40">
        <v>1822</v>
      </c>
      <c r="D3" s="40">
        <v>5674</v>
      </c>
      <c r="E3" s="10">
        <f>C3*1.95+D3*IF(L3=1,1.1,1)</f>
        <v>9226.9</v>
      </c>
      <c r="F3" s="41">
        <v>0.1047</v>
      </c>
      <c r="G3" s="41">
        <v>1.75</v>
      </c>
      <c r="H3" s="41">
        <v>0.40989999999999999</v>
      </c>
      <c r="I3" s="41">
        <v>0.18240000000000001</v>
      </c>
      <c r="J3" s="41">
        <v>1.0577000000000001</v>
      </c>
      <c r="K3" s="40">
        <v>994</v>
      </c>
      <c r="L3" s="40">
        <v>0</v>
      </c>
      <c r="M3" s="40">
        <v>1</v>
      </c>
      <c r="N3" s="48"/>
      <c r="O3" s="48"/>
      <c r="P3" s="48"/>
      <c r="Q3" s="48"/>
      <c r="R3" s="48"/>
      <c r="S3" s="48"/>
    </row>
    <row r="4" spans="1:19" s="10" customFormat="1" x14ac:dyDescent="0.2">
      <c r="A4" s="55" t="s">
        <v>164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45"/>
      <c r="M4" s="49"/>
      <c r="N4" s="48"/>
      <c r="O4" s="48"/>
      <c r="P4" s="48"/>
      <c r="Q4" s="48"/>
      <c r="R4" s="48"/>
      <c r="S4" s="48"/>
    </row>
    <row r="5" spans="1:19" s="10" customFormat="1" x14ac:dyDescent="0.2">
      <c r="A5" s="49" t="s">
        <v>151</v>
      </c>
      <c r="B5" s="49"/>
      <c r="C5" s="38"/>
      <c r="D5" s="38"/>
      <c r="E5" s="38"/>
      <c r="F5" s="38"/>
      <c r="G5" s="38"/>
      <c r="H5" s="38"/>
      <c r="I5" s="38"/>
      <c r="J5" s="38"/>
      <c r="K5" s="38"/>
      <c r="L5" s="40"/>
      <c r="M5" s="49"/>
      <c r="N5" s="48"/>
      <c r="O5" s="48"/>
      <c r="P5" s="48"/>
      <c r="Q5" s="48"/>
      <c r="R5" s="48"/>
      <c r="S5" s="48"/>
    </row>
    <row r="6" spans="1:19" s="10" customFormat="1" x14ac:dyDescent="0.2">
      <c r="A6" s="49" t="s">
        <v>152</v>
      </c>
      <c r="B6" s="49"/>
      <c r="C6" s="38"/>
      <c r="D6" s="38"/>
      <c r="E6" s="38"/>
      <c r="F6" s="38"/>
      <c r="G6" s="38"/>
      <c r="H6" s="38"/>
      <c r="I6" s="38"/>
      <c r="J6" s="38"/>
      <c r="K6" s="38"/>
      <c r="L6" s="40"/>
      <c r="M6" s="49"/>
      <c r="N6" s="48"/>
      <c r="O6" s="48"/>
      <c r="P6" s="48"/>
      <c r="Q6" s="48"/>
      <c r="R6" s="48"/>
      <c r="S6" s="48"/>
    </row>
    <row r="7" spans="1:19" s="10" customFormat="1" x14ac:dyDescent="0.2">
      <c r="A7" s="49" t="s">
        <v>153</v>
      </c>
      <c r="B7" s="49"/>
      <c r="C7" s="38"/>
      <c r="D7" s="38"/>
      <c r="E7" s="38"/>
      <c r="F7" s="38"/>
      <c r="G7" s="38"/>
      <c r="H7" s="38"/>
      <c r="I7" s="38"/>
      <c r="J7" s="38"/>
      <c r="K7" s="38"/>
      <c r="L7" s="40"/>
      <c r="M7" s="49"/>
      <c r="N7" s="48"/>
      <c r="O7" s="48"/>
      <c r="P7" s="48"/>
      <c r="Q7" s="48"/>
      <c r="R7" s="48"/>
      <c r="S7" s="48"/>
    </row>
    <row r="8" spans="1:19" s="10" customFormat="1" x14ac:dyDescent="0.2">
      <c r="A8" s="49" t="s">
        <v>154</v>
      </c>
      <c r="B8" s="49"/>
      <c r="C8" s="38"/>
      <c r="D8" s="38"/>
      <c r="E8" s="38"/>
      <c r="F8" s="38"/>
      <c r="G8" s="38"/>
      <c r="H8" s="38"/>
      <c r="I8" s="38"/>
      <c r="J8" s="38"/>
      <c r="K8" s="38"/>
      <c r="L8" s="40"/>
      <c r="M8" s="49"/>
      <c r="N8" s="48"/>
      <c r="O8" s="48"/>
      <c r="P8" s="48"/>
      <c r="Q8" s="48"/>
      <c r="R8" s="48"/>
      <c r="S8" s="48"/>
    </row>
    <row r="9" spans="1:19" s="10" customFormat="1" x14ac:dyDescent="0.2">
      <c r="A9" s="49" t="s">
        <v>155</v>
      </c>
      <c r="B9" s="49"/>
      <c r="C9" s="38"/>
      <c r="D9" s="38"/>
      <c r="E9" s="38"/>
      <c r="F9" s="38"/>
      <c r="G9" s="38"/>
      <c r="H9" s="38"/>
      <c r="I9" s="38"/>
      <c r="J9" s="38"/>
      <c r="K9" s="38"/>
      <c r="L9" s="40"/>
      <c r="M9" s="49"/>
      <c r="N9" s="48"/>
      <c r="O9" s="48"/>
      <c r="P9" s="48"/>
      <c r="Q9" s="48"/>
      <c r="R9" s="48"/>
      <c r="S9" s="48"/>
    </row>
    <row r="10" spans="1:19" s="10" customFormat="1" x14ac:dyDescent="0.2">
      <c r="A10" s="49" t="s">
        <v>156</v>
      </c>
      <c r="B10" s="49"/>
      <c r="C10" s="38"/>
      <c r="D10" s="38"/>
      <c r="E10" s="38"/>
      <c r="F10" s="38"/>
      <c r="G10" s="38"/>
      <c r="H10" s="38"/>
      <c r="I10" s="38"/>
      <c r="J10" s="38"/>
      <c r="K10" s="38"/>
      <c r="L10" s="40"/>
      <c r="M10" s="49"/>
      <c r="N10" s="48"/>
      <c r="O10" s="48"/>
      <c r="P10" s="48"/>
      <c r="Q10" s="48"/>
      <c r="R10" s="48"/>
      <c r="S10" s="48"/>
    </row>
    <row r="11" spans="1:19" s="10" customFormat="1" x14ac:dyDescent="0.2">
      <c r="A11" s="49" t="s">
        <v>157</v>
      </c>
      <c r="B11" s="49"/>
      <c r="C11" s="38"/>
      <c r="D11" s="38"/>
      <c r="E11" s="38"/>
      <c r="F11" s="38"/>
      <c r="G11" s="38"/>
      <c r="H11" s="38"/>
      <c r="I11" s="38"/>
      <c r="J11" s="38"/>
      <c r="K11" s="38"/>
      <c r="L11" s="40"/>
      <c r="M11" s="49"/>
      <c r="N11" s="48"/>
      <c r="O11" s="48"/>
      <c r="P11" s="48"/>
      <c r="Q11" s="48"/>
      <c r="R11" s="48"/>
      <c r="S11" s="48"/>
    </row>
    <row r="12" spans="1:19" s="10" customFormat="1" x14ac:dyDescent="0.2">
      <c r="A12" s="49" t="s">
        <v>158</v>
      </c>
      <c r="B12" s="49"/>
      <c r="C12" s="38"/>
      <c r="D12" s="38"/>
      <c r="E12" s="38"/>
      <c r="F12" s="38"/>
      <c r="G12" s="38"/>
      <c r="H12" s="38"/>
      <c r="I12" s="38"/>
      <c r="J12" s="38"/>
      <c r="K12" s="38"/>
      <c r="L12" s="40"/>
      <c r="M12" s="49"/>
      <c r="N12" s="48"/>
      <c r="O12" s="48"/>
      <c r="P12" s="48"/>
      <c r="Q12" s="48"/>
      <c r="R12" s="48"/>
      <c r="S12" s="48"/>
    </row>
    <row r="13" spans="1:19" s="10" customFormat="1" x14ac:dyDescent="0.2">
      <c r="A13" s="49" t="s">
        <v>159</v>
      </c>
      <c r="B13" s="49"/>
      <c r="C13" s="38"/>
      <c r="D13" s="47">
        <v>0.1</v>
      </c>
      <c r="E13" s="38"/>
      <c r="F13" s="38"/>
      <c r="G13" s="38"/>
      <c r="H13" s="38"/>
      <c r="I13" s="38"/>
      <c r="J13" s="38"/>
      <c r="K13" s="38"/>
      <c r="L13" s="40"/>
      <c r="M13" s="49"/>
      <c r="N13" s="48"/>
      <c r="O13" s="48"/>
      <c r="P13" s="48"/>
      <c r="Q13" s="48"/>
      <c r="R13" s="48"/>
      <c r="S13" s="48"/>
    </row>
    <row r="14" spans="1:19" s="10" customFormat="1" x14ac:dyDescent="0.2">
      <c r="A14" s="49" t="s">
        <v>160</v>
      </c>
      <c r="B14" s="49"/>
      <c r="C14" s="38"/>
      <c r="D14" s="38"/>
      <c r="E14" s="38"/>
      <c r="F14" s="38"/>
      <c r="G14" s="38"/>
      <c r="H14" s="38"/>
      <c r="I14" s="38"/>
      <c r="J14" s="38"/>
      <c r="K14" s="38"/>
      <c r="L14" s="40"/>
      <c r="M14" s="49"/>
      <c r="N14" s="48"/>
      <c r="O14" s="48"/>
      <c r="P14" s="48"/>
      <c r="Q14" s="48"/>
      <c r="R14" s="48"/>
      <c r="S14" s="48"/>
    </row>
    <row r="15" spans="1:19" s="10" customFormat="1" x14ac:dyDescent="0.2">
      <c r="A15" s="49" t="s">
        <v>161</v>
      </c>
      <c r="B15" s="49"/>
      <c r="C15" s="38"/>
      <c r="D15" s="38"/>
      <c r="E15" s="38"/>
      <c r="F15" s="38"/>
      <c r="G15" s="38"/>
      <c r="H15" s="38"/>
      <c r="I15" s="38"/>
      <c r="J15" s="38"/>
      <c r="K15" s="38"/>
      <c r="L15" s="40"/>
      <c r="M15" s="49"/>
      <c r="N15" s="48"/>
      <c r="O15" s="48"/>
      <c r="P15" s="48"/>
      <c r="Q15" s="48"/>
      <c r="R15" s="48"/>
      <c r="S15" s="48"/>
    </row>
    <row r="16" spans="1:19" s="10" customFormat="1" x14ac:dyDescent="0.2">
      <c r="A16" s="49" t="s">
        <v>162</v>
      </c>
      <c r="B16" s="49"/>
      <c r="C16" s="38"/>
      <c r="D16" s="38"/>
      <c r="E16" s="38"/>
      <c r="F16" s="38"/>
      <c r="G16" s="38"/>
      <c r="H16" s="38"/>
      <c r="I16" s="38"/>
      <c r="J16" s="38"/>
      <c r="K16" s="38"/>
      <c r="L16" s="40"/>
      <c r="M16" s="49"/>
      <c r="N16" s="48"/>
      <c r="O16" s="48"/>
      <c r="P16" s="48"/>
      <c r="Q16" s="48"/>
      <c r="R16" s="48"/>
      <c r="S16" s="48"/>
    </row>
    <row r="17" spans="1:21" s="10" customFormat="1" x14ac:dyDescent="0.2">
      <c r="A17" s="49" t="s">
        <v>163</v>
      </c>
      <c r="B17" s="49"/>
      <c r="C17" s="38"/>
      <c r="D17" s="38"/>
      <c r="E17" s="38"/>
      <c r="F17" s="38"/>
      <c r="G17" s="38"/>
      <c r="H17" s="38"/>
      <c r="I17" s="38"/>
      <c r="J17" s="38"/>
      <c r="K17" s="38"/>
      <c r="L17" s="40"/>
      <c r="M17" s="49"/>
      <c r="N17" s="48"/>
      <c r="O17" s="48"/>
      <c r="P17" s="48"/>
      <c r="Q17" s="48"/>
      <c r="R17" s="48"/>
      <c r="S17" s="48"/>
    </row>
    <row r="18" spans="1:21" s="10" customFormat="1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8"/>
      <c r="O18" s="48"/>
      <c r="P18" s="48"/>
      <c r="Q18" s="48"/>
      <c r="R18" s="48"/>
      <c r="S18" s="48"/>
    </row>
    <row r="19" spans="1:21" x14ac:dyDescent="0.2">
      <c r="A19" s="50" t="s">
        <v>149</v>
      </c>
      <c r="B19" s="50"/>
      <c r="C19" s="8" t="s">
        <v>31</v>
      </c>
      <c r="D19" s="8" t="s">
        <v>32</v>
      </c>
      <c r="E19" s="8" t="s">
        <v>39</v>
      </c>
      <c r="F19" s="8" t="s">
        <v>33</v>
      </c>
      <c r="G19" s="8" t="s">
        <v>34</v>
      </c>
      <c r="H19" s="8" t="s">
        <v>35</v>
      </c>
      <c r="I19" s="8" t="s">
        <v>36</v>
      </c>
      <c r="J19" s="8" t="s">
        <v>37</v>
      </c>
      <c r="K19" s="8" t="s">
        <v>38</v>
      </c>
      <c r="L19" s="8" t="s">
        <v>59</v>
      </c>
      <c r="M19" s="8" t="s">
        <v>60</v>
      </c>
      <c r="N19" s="48"/>
      <c r="O19" s="48"/>
      <c r="P19" s="48"/>
      <c r="Q19" s="48"/>
      <c r="R19" s="48"/>
      <c r="S19" s="48"/>
    </row>
    <row r="20" spans="1:21" x14ac:dyDescent="0.2">
      <c r="A20" s="50"/>
      <c r="B20" s="50"/>
      <c r="C20" s="8">
        <f>C3</f>
        <v>1822</v>
      </c>
      <c r="D20" s="8">
        <f>D3</f>
        <v>5674</v>
      </c>
      <c r="E20" s="8">
        <f>C20*1.95+D20*IF(L20=1,1.1,1)</f>
        <v>9226.9</v>
      </c>
      <c r="F20" s="9">
        <f>F3</f>
        <v>0.1047</v>
      </c>
      <c r="G20" s="9">
        <f>G3</f>
        <v>1.75</v>
      </c>
      <c r="H20" s="9">
        <f>H3</f>
        <v>0.40989999999999999</v>
      </c>
      <c r="I20" s="9">
        <f>I3</f>
        <v>0.18240000000000001</v>
      </c>
      <c r="J20" s="9">
        <f>J3</f>
        <v>1.0577000000000001</v>
      </c>
      <c r="K20" s="8">
        <v>994</v>
      </c>
      <c r="L20" s="8">
        <f>L3</f>
        <v>0</v>
      </c>
      <c r="M20" s="8">
        <f>M3</f>
        <v>1</v>
      </c>
      <c r="N20" s="48"/>
      <c r="O20" s="48"/>
      <c r="P20" s="48"/>
      <c r="Q20" s="48"/>
      <c r="R20" s="48"/>
      <c r="S20" s="48"/>
    </row>
    <row r="21" spans="1:21" x14ac:dyDescent="0.2">
      <c r="A21" s="53" t="s">
        <v>77</v>
      </c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</row>
    <row r="22" spans="1:21" x14ac:dyDescent="0.2">
      <c r="A22" s="50"/>
      <c r="B22" s="50"/>
      <c r="C22" s="8" t="s">
        <v>78</v>
      </c>
      <c r="D22" s="8" t="s">
        <v>81</v>
      </c>
      <c r="E22" s="10" t="s">
        <v>166</v>
      </c>
      <c r="F22" s="8" t="s">
        <v>85</v>
      </c>
      <c r="G22" s="8" t="s">
        <v>79</v>
      </c>
      <c r="H22" s="9" t="s">
        <v>80</v>
      </c>
      <c r="I22" s="38" t="s">
        <v>170</v>
      </c>
      <c r="J22" s="51" t="s">
        <v>168</v>
      </c>
      <c r="K22" s="51"/>
      <c r="L22" s="50" t="s">
        <v>171</v>
      </c>
      <c r="M22" s="8" t="s">
        <v>172</v>
      </c>
      <c r="N22" s="38">
        <v>102</v>
      </c>
      <c r="O22" s="38">
        <v>2818</v>
      </c>
      <c r="P22" s="38">
        <f>O22*0.8</f>
        <v>2254.4</v>
      </c>
      <c r="Q22" s="39">
        <f>1-P22/(P22+(4.084*(N22*185-16800)))</f>
        <v>0.78947132499336958</v>
      </c>
      <c r="R22" s="39">
        <v>1.05</v>
      </c>
      <c r="S22" s="39">
        <v>0.2</v>
      </c>
    </row>
    <row r="23" spans="1:21" s="10" customFormat="1" ht="17.25" thickBot="1" x14ac:dyDescent="0.25">
      <c r="A23" s="50"/>
      <c r="B23" s="50"/>
      <c r="C23" s="46">
        <v>102</v>
      </c>
      <c r="D23" s="46">
        <v>2818</v>
      </c>
      <c r="E23" s="46">
        <f>D23*0.8</f>
        <v>2254.4</v>
      </c>
      <c r="F23" s="39">
        <f>1-E23/(E23+(4.084*(C23*185-16800)))</f>
        <v>0.78947132499336958</v>
      </c>
      <c r="G23" s="39">
        <v>1.05</v>
      </c>
      <c r="H23" s="39">
        <v>0.2</v>
      </c>
      <c r="I23" s="44">
        <f>S60</f>
        <v>30360.200913586803</v>
      </c>
      <c r="J23" s="51"/>
      <c r="K23" s="51"/>
      <c r="L23" s="50"/>
      <c r="M23" s="10" t="s">
        <v>173</v>
      </c>
      <c r="N23" s="38">
        <v>103</v>
      </c>
      <c r="O23" s="38">
        <v>4959</v>
      </c>
      <c r="P23" s="38">
        <f>O23*0.8</f>
        <v>3967.2000000000003</v>
      </c>
      <c r="Q23" s="39">
        <f>1-P23/(P23+(4.084*(N23*185-16800)))</f>
        <v>0.69892127116058589</v>
      </c>
      <c r="R23" s="39">
        <v>1.1000000000000001</v>
      </c>
      <c r="S23" s="39">
        <v>0.3</v>
      </c>
    </row>
    <row r="24" spans="1:21" ht="17.25" thickTop="1" x14ac:dyDescent="0.2">
      <c r="A24" s="56" t="s">
        <v>70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8"/>
    </row>
    <row r="25" spans="1:21" x14ac:dyDescent="0.2">
      <c r="A25" s="59" t="s">
        <v>69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1"/>
    </row>
    <row r="26" spans="1:21" x14ac:dyDescent="0.2">
      <c r="A26" s="27"/>
      <c r="B26" s="12" t="s">
        <v>56</v>
      </c>
      <c r="C26" s="12" t="s">
        <v>58</v>
      </c>
      <c r="D26" s="52" t="s">
        <v>63</v>
      </c>
      <c r="E26" s="52"/>
      <c r="F26" s="43" t="s">
        <v>165</v>
      </c>
      <c r="G26" s="43" t="s">
        <v>167</v>
      </c>
      <c r="H26" s="12"/>
      <c r="I26" s="12"/>
      <c r="J26" s="12"/>
      <c r="K26" s="12"/>
      <c r="L26" s="70" t="s">
        <v>174</v>
      </c>
      <c r="M26" s="70"/>
      <c r="N26" s="70"/>
      <c r="O26" s="70"/>
      <c r="P26" s="70"/>
      <c r="Q26" s="70"/>
      <c r="R26" s="70"/>
      <c r="S26" s="71"/>
    </row>
    <row r="27" spans="1:21" x14ac:dyDescent="0.2">
      <c r="A27" s="27"/>
      <c r="B27" s="12" t="s">
        <v>55</v>
      </c>
      <c r="C27" s="12" t="s">
        <v>57</v>
      </c>
      <c r="D27" s="52" t="s">
        <v>65</v>
      </c>
      <c r="E27" s="52"/>
      <c r="F27" s="52" t="s">
        <v>62</v>
      </c>
      <c r="G27" s="52"/>
      <c r="H27" s="12" t="s">
        <v>66</v>
      </c>
      <c r="I27" s="52" t="s">
        <v>67</v>
      </c>
      <c r="J27" s="52"/>
      <c r="K27" s="12" t="s">
        <v>68</v>
      </c>
      <c r="L27" s="70"/>
      <c r="M27" s="70"/>
      <c r="N27" s="70"/>
      <c r="O27" s="70"/>
      <c r="P27" s="70"/>
      <c r="Q27" s="70"/>
      <c r="R27" s="70"/>
      <c r="S27" s="71"/>
    </row>
    <row r="28" spans="1:21" x14ac:dyDescent="0.2">
      <c r="A28" s="27"/>
      <c r="B28" s="12" t="s">
        <v>61</v>
      </c>
      <c r="C28" s="52" t="s">
        <v>64</v>
      </c>
      <c r="D28" s="52"/>
      <c r="E28" s="52" t="s">
        <v>67</v>
      </c>
      <c r="F28" s="52"/>
      <c r="G28" s="12"/>
      <c r="H28" s="12"/>
      <c r="I28" s="12"/>
      <c r="J28" s="12"/>
      <c r="K28" s="12"/>
      <c r="L28" s="70"/>
      <c r="M28" s="70"/>
      <c r="N28" s="70"/>
      <c r="O28" s="70"/>
      <c r="P28" s="70"/>
      <c r="Q28" s="70"/>
      <c r="R28" s="70"/>
      <c r="S28" s="71"/>
      <c r="U28" s="15"/>
    </row>
    <row r="29" spans="1:21" x14ac:dyDescent="0.2">
      <c r="A29" s="27"/>
      <c r="B29" s="13" t="s">
        <v>71</v>
      </c>
      <c r="C29" s="13" t="s">
        <v>72</v>
      </c>
      <c r="D29" s="12"/>
      <c r="E29" s="12"/>
      <c r="F29" s="12"/>
      <c r="G29" s="12"/>
      <c r="H29" s="12"/>
      <c r="I29" s="42"/>
      <c r="J29" s="42"/>
      <c r="K29" s="42"/>
      <c r="L29" s="70"/>
      <c r="M29" s="70"/>
      <c r="N29" s="70"/>
      <c r="O29" s="70"/>
      <c r="P29" s="70"/>
      <c r="Q29" s="70"/>
      <c r="R29" s="70"/>
      <c r="S29" s="71"/>
      <c r="U29" s="15"/>
    </row>
    <row r="30" spans="1:21" x14ac:dyDescent="0.2">
      <c r="A30" s="65" t="s">
        <v>41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7" t="s">
        <v>107</v>
      </c>
      <c r="S30" s="68"/>
      <c r="U30" s="15"/>
    </row>
    <row r="31" spans="1:21" x14ac:dyDescent="0.2">
      <c r="A31" s="27"/>
      <c r="B31" s="14"/>
      <c r="C31" s="14" t="s">
        <v>48</v>
      </c>
      <c r="D31" s="14" t="s">
        <v>51</v>
      </c>
      <c r="E31" s="14" t="s">
        <v>49</v>
      </c>
      <c r="F31" s="14" t="s">
        <v>50</v>
      </c>
      <c r="G31" s="14" t="s">
        <v>52</v>
      </c>
      <c r="H31" s="14" t="s">
        <v>53</v>
      </c>
      <c r="I31" s="14" t="s">
        <v>54</v>
      </c>
      <c r="J31" s="12" t="s">
        <v>82</v>
      </c>
      <c r="K31" s="14" t="s">
        <v>83</v>
      </c>
      <c r="L31" s="14" t="s">
        <v>84</v>
      </c>
      <c r="M31" s="14" t="s">
        <v>88</v>
      </c>
      <c r="N31" s="12" t="s">
        <v>87</v>
      </c>
      <c r="O31" s="12" t="s">
        <v>89</v>
      </c>
      <c r="P31" s="12" t="s">
        <v>90</v>
      </c>
      <c r="Q31" s="18" t="s">
        <v>86</v>
      </c>
      <c r="R31" s="12" t="s">
        <v>108</v>
      </c>
      <c r="S31" s="28" t="s">
        <v>106</v>
      </c>
    </row>
    <row r="32" spans="1:21" s="10" customFormat="1" x14ac:dyDescent="0.2">
      <c r="A32" s="64" t="s">
        <v>105</v>
      </c>
      <c r="B32" s="22" t="s">
        <v>104</v>
      </c>
      <c r="C32" s="22">
        <f>1.18*1.3</f>
        <v>1.534</v>
      </c>
      <c r="D32" s="23">
        <f>1.04*1.1</f>
        <v>1.1440000000000001</v>
      </c>
      <c r="E32" s="23">
        <v>0.38</v>
      </c>
      <c r="F32" s="23">
        <v>0.15</v>
      </c>
      <c r="G32" s="23">
        <f>(1+$H$20)*D32</f>
        <v>1.6129256000000001</v>
      </c>
      <c r="H32" s="23">
        <f>E32+F$20</f>
        <v>0.48470000000000002</v>
      </c>
      <c r="I32" s="23">
        <f>F32+G$20</f>
        <v>1.9</v>
      </c>
      <c r="J32" s="24">
        <f t="shared" ref="J32:J59" si="0">$E$20*C32*I32*G32*$F$23</f>
        <v>34244.077372779349</v>
      </c>
      <c r="K32" s="24">
        <f t="shared" ref="K32:K59" si="1">C32*$E$20*G32*$F$23</f>
        <v>18023.198617252292</v>
      </c>
      <c r="L32" s="24">
        <f>K32*0.25</f>
        <v>4505.799654313073</v>
      </c>
      <c r="M32" s="23">
        <f t="shared" ref="M32:M59" si="2">IF($J$20&gt;$G$23,0,$G$23-$J$20)</f>
        <v>0</v>
      </c>
      <c r="N32" s="23">
        <f t="shared" ref="N32:N40" si="3">IF($H$23&gt;$I$20,$H$23-$I$20,0)</f>
        <v>1.7600000000000005E-2</v>
      </c>
      <c r="O32" s="23">
        <f>IF(H32&gt;(1-M32-N32),(1-M32-N32),H32)</f>
        <v>0.48470000000000002</v>
      </c>
      <c r="P32" s="23">
        <f>IF((M32+N32+O32)=1,0,1-M32-N32-O32)</f>
        <v>0.49769999999999992</v>
      </c>
      <c r="Q32" s="25">
        <f>J32*O32+K32*P32+L32*N32</f>
        <v>25647.552328308528</v>
      </c>
      <c r="R32" s="22">
        <v>1</v>
      </c>
      <c r="S32" s="29">
        <f>R32*Q32</f>
        <v>25647.552328308528</v>
      </c>
    </row>
    <row r="33" spans="1:19" s="10" customFormat="1" x14ac:dyDescent="0.2">
      <c r="A33" s="64"/>
      <c r="B33" s="22" t="s">
        <v>103</v>
      </c>
      <c r="C33" s="22">
        <f>1.3*0.29</f>
        <v>0.377</v>
      </c>
      <c r="D33" s="23">
        <v>1.1000000000000001</v>
      </c>
      <c r="E33" s="23">
        <v>0.2</v>
      </c>
      <c r="F33" s="23"/>
      <c r="G33" s="23">
        <f t="shared" ref="G33:G34" si="4">(1+$H$20)*D33</f>
        <v>1.5508900000000001</v>
      </c>
      <c r="H33" s="23">
        <f t="shared" ref="H33:H44" si="5">E33+F$20</f>
        <v>0.30470000000000003</v>
      </c>
      <c r="I33" s="23">
        <f t="shared" ref="I33:I44" si="6">F33+G$20</f>
        <v>1.75</v>
      </c>
      <c r="J33" s="24">
        <f t="shared" si="0"/>
        <v>7453.3680722421259</v>
      </c>
      <c r="K33" s="24">
        <f t="shared" si="1"/>
        <v>4259.0674698526436</v>
      </c>
      <c r="L33" s="26">
        <f>K33*0.25</f>
        <v>1064.7668674631609</v>
      </c>
      <c r="M33" s="23">
        <f t="shared" si="2"/>
        <v>0</v>
      </c>
      <c r="N33" s="23">
        <f t="shared" si="3"/>
        <v>1.7600000000000005E-2</v>
      </c>
      <c r="O33" s="23">
        <f t="shared" ref="O33:O44" si="7">IF(H33&gt;(1-M33-N33),(1-M33-N33),H33)</f>
        <v>0.30470000000000003</v>
      </c>
      <c r="P33" s="23">
        <f t="shared" ref="P33:P44" si="8">IF((M33+N33+O33)=1,0,1-M33-N33-O33)</f>
        <v>0.67769999999999997</v>
      </c>
      <c r="Q33" s="25">
        <f>J33*O33+K33*P33+L33*N33</f>
        <v>5176.1511727986635</v>
      </c>
      <c r="R33" s="22">
        <v>14</v>
      </c>
      <c r="S33" s="29">
        <f t="shared" ref="S33:S59" si="9">R33*Q33</f>
        <v>72466.116419181286</v>
      </c>
    </row>
    <row r="34" spans="1:19" s="10" customFormat="1" x14ac:dyDescent="0.2">
      <c r="A34" s="64"/>
      <c r="B34" s="22" t="s">
        <v>102</v>
      </c>
      <c r="C34" s="22">
        <f>1.3*0.34</f>
        <v>0.44200000000000006</v>
      </c>
      <c r="D34" s="23">
        <v>1.1000000000000001</v>
      </c>
      <c r="E34" s="23">
        <v>0.2</v>
      </c>
      <c r="F34" s="23"/>
      <c r="G34" s="23">
        <f t="shared" si="4"/>
        <v>1.5508900000000001</v>
      </c>
      <c r="H34" s="23">
        <f t="shared" si="5"/>
        <v>0.30470000000000003</v>
      </c>
      <c r="I34" s="23">
        <f t="shared" si="6"/>
        <v>1.75</v>
      </c>
      <c r="J34" s="24">
        <f t="shared" si="0"/>
        <v>8738.4315329735291</v>
      </c>
      <c r="K34" s="24">
        <f t="shared" si="1"/>
        <v>4993.3894474134449</v>
      </c>
      <c r="L34" s="26">
        <f t="shared" ref="L34:L44" si="10">K34*0.25</f>
        <v>1248.3473618533612</v>
      </c>
      <c r="M34" s="23">
        <f t="shared" si="2"/>
        <v>0</v>
      </c>
      <c r="N34" s="23">
        <f t="shared" si="3"/>
        <v>1.7600000000000005E-2</v>
      </c>
      <c r="O34" s="23">
        <f t="shared" si="7"/>
        <v>0.30470000000000003</v>
      </c>
      <c r="P34" s="23">
        <f t="shared" si="8"/>
        <v>0.67769999999999997</v>
      </c>
      <c r="Q34" s="25">
        <f t="shared" ref="Q34:Q35" si="11">J34*O34+K34*P34+L34*N34</f>
        <v>6068.5910301777449</v>
      </c>
      <c r="R34" s="22">
        <v>14</v>
      </c>
      <c r="S34" s="29">
        <f t="shared" si="9"/>
        <v>84960.274422488423</v>
      </c>
    </row>
    <row r="35" spans="1:19" s="10" customFormat="1" x14ac:dyDescent="0.2">
      <c r="A35" s="64"/>
      <c r="B35" s="22" t="s">
        <v>101</v>
      </c>
      <c r="C35" s="22">
        <f>1.3*0.31</f>
        <v>0.40300000000000002</v>
      </c>
      <c r="D35" s="23">
        <v>1.1000000000000001</v>
      </c>
      <c r="E35" s="23">
        <v>0.2</v>
      </c>
      <c r="F35" s="23"/>
      <c r="G35" s="23">
        <f>(1+$H$20)*D35</f>
        <v>1.5508900000000001</v>
      </c>
      <c r="H35" s="23">
        <f t="shared" si="5"/>
        <v>0.30470000000000003</v>
      </c>
      <c r="I35" s="23">
        <f t="shared" si="6"/>
        <v>1.75</v>
      </c>
      <c r="J35" s="24">
        <f t="shared" si="0"/>
        <v>7967.3934565346872</v>
      </c>
      <c r="K35" s="24">
        <f t="shared" si="1"/>
        <v>4552.796260876964</v>
      </c>
      <c r="L35" s="26">
        <f t="shared" si="10"/>
        <v>1138.199065219241</v>
      </c>
      <c r="M35" s="23">
        <f t="shared" si="2"/>
        <v>0</v>
      </c>
      <c r="N35" s="23">
        <f t="shared" si="3"/>
        <v>1.7600000000000005E-2</v>
      </c>
      <c r="O35" s="23">
        <f t="shared" si="7"/>
        <v>0.30470000000000003</v>
      </c>
      <c r="P35" s="23">
        <f t="shared" si="8"/>
        <v>0.67769999999999997</v>
      </c>
      <c r="Q35" s="25">
        <f t="shared" si="11"/>
        <v>5533.127115750297</v>
      </c>
      <c r="R35" s="22">
        <v>14</v>
      </c>
      <c r="S35" s="29">
        <f t="shared" si="9"/>
        <v>77463.779620504152</v>
      </c>
    </row>
    <row r="36" spans="1:19" s="10" customFormat="1" x14ac:dyDescent="0.2">
      <c r="A36" s="64"/>
      <c r="B36" s="22" t="s">
        <v>134</v>
      </c>
      <c r="C36" s="22">
        <f>1.3*0.42</f>
        <v>0.54600000000000004</v>
      </c>
      <c r="D36" s="23">
        <f>1.12*1.1*(1+0.2+0.24+2.1)*IF($M$20=1,1.1,1)</f>
        <v>4.7974080000000008</v>
      </c>
      <c r="E36" s="23">
        <v>0.45</v>
      </c>
      <c r="F36" s="23">
        <v>0.25</v>
      </c>
      <c r="G36" s="23">
        <f>(1+$H$20)*D36</f>
        <v>6.7638655392000011</v>
      </c>
      <c r="H36" s="23">
        <f t="shared" si="5"/>
        <v>0.55469999999999997</v>
      </c>
      <c r="I36" s="23">
        <f t="shared" si="6"/>
        <v>2</v>
      </c>
      <c r="J36" s="24">
        <f t="shared" si="0"/>
        <v>53803.407072179012</v>
      </c>
      <c r="K36" s="24">
        <f t="shared" si="1"/>
        <v>26901.703536089506</v>
      </c>
      <c r="L36" s="24">
        <f t="shared" si="10"/>
        <v>6725.4258840223765</v>
      </c>
      <c r="M36" s="23">
        <f t="shared" si="2"/>
        <v>0</v>
      </c>
      <c r="N36" s="23">
        <f t="shared" si="3"/>
        <v>1.7600000000000005E-2</v>
      </c>
      <c r="O36" s="23">
        <f t="shared" si="7"/>
        <v>0.55469999999999997</v>
      </c>
      <c r="P36" s="23">
        <f t="shared" si="8"/>
        <v>0.42769999999999997</v>
      </c>
      <c r="Q36" s="25">
        <f>(J36*O36+K36*P36+L36*N36)</f>
        <v>41468.976000881972</v>
      </c>
      <c r="R36" s="22">
        <v>5</v>
      </c>
      <c r="S36" s="29">
        <f t="shared" si="9"/>
        <v>207344.88000440988</v>
      </c>
    </row>
    <row r="37" spans="1:19" s="10" customFormat="1" x14ac:dyDescent="0.2">
      <c r="A37" s="64"/>
      <c r="B37" s="22" t="s">
        <v>100</v>
      </c>
      <c r="C37" s="22">
        <f>1.3*0.33</f>
        <v>0.42900000000000005</v>
      </c>
      <c r="D37" s="23">
        <v>1.1000000000000001</v>
      </c>
      <c r="E37" s="23">
        <v>0.2</v>
      </c>
      <c r="F37" s="23"/>
      <c r="G37" s="23">
        <f t="shared" ref="G37:G44" si="12">(1+$H$20)*D37</f>
        <v>1.5508900000000001</v>
      </c>
      <c r="H37" s="23">
        <f t="shared" si="5"/>
        <v>0.30470000000000003</v>
      </c>
      <c r="I37" s="23">
        <f t="shared" si="6"/>
        <v>1.75</v>
      </c>
      <c r="J37" s="24">
        <f t="shared" si="0"/>
        <v>8481.4188408272494</v>
      </c>
      <c r="K37" s="24">
        <f t="shared" si="1"/>
        <v>4846.5250519012843</v>
      </c>
      <c r="L37" s="24">
        <f t="shared" si="10"/>
        <v>1211.6312629753211</v>
      </c>
      <c r="M37" s="23">
        <f t="shared" si="2"/>
        <v>0</v>
      </c>
      <c r="N37" s="23">
        <f t="shared" si="3"/>
        <v>1.7600000000000005E-2</v>
      </c>
      <c r="O37" s="23">
        <f t="shared" si="7"/>
        <v>0.30470000000000003</v>
      </c>
      <c r="P37" s="23">
        <f t="shared" si="8"/>
        <v>0.67769999999999997</v>
      </c>
      <c r="Q37" s="25">
        <f t="shared" ref="Q37" si="13">J37*O37+K37*P37+L37*N37</f>
        <v>5890.1030587019286</v>
      </c>
      <c r="R37" s="22">
        <v>2</v>
      </c>
      <c r="S37" s="29">
        <f t="shared" si="9"/>
        <v>11780.206117403857</v>
      </c>
    </row>
    <row r="38" spans="1:19" s="10" customFormat="1" x14ac:dyDescent="0.2">
      <c r="A38" s="64"/>
      <c r="B38" s="22" t="s">
        <v>99</v>
      </c>
      <c r="C38" s="22">
        <f>1.3*1.07</f>
        <v>1.3910000000000002</v>
      </c>
      <c r="D38" s="23">
        <v>1.1000000000000001</v>
      </c>
      <c r="E38" s="23">
        <v>0.2</v>
      </c>
      <c r="F38" s="23"/>
      <c r="G38" s="23">
        <f t="shared" si="12"/>
        <v>1.5508900000000001</v>
      </c>
      <c r="H38" s="23">
        <f t="shared" si="5"/>
        <v>0.30470000000000003</v>
      </c>
      <c r="I38" s="23">
        <f t="shared" si="6"/>
        <v>1.75</v>
      </c>
      <c r="J38" s="24">
        <f t="shared" si="0"/>
        <v>27500.35805965199</v>
      </c>
      <c r="K38" s="24">
        <f t="shared" si="1"/>
        <v>15714.490319801134</v>
      </c>
      <c r="L38" s="24">
        <f t="shared" si="10"/>
        <v>3928.6225799502836</v>
      </c>
      <c r="M38" s="23">
        <f t="shared" si="2"/>
        <v>0</v>
      </c>
      <c r="N38" s="23">
        <f t="shared" si="3"/>
        <v>1.7600000000000005E-2</v>
      </c>
      <c r="O38" s="23">
        <f t="shared" si="7"/>
        <v>0.30470000000000003</v>
      </c>
      <c r="P38" s="23">
        <f t="shared" si="8"/>
        <v>0.67769999999999997</v>
      </c>
      <c r="Q38" s="25">
        <f t="shared" ref="Q38:Q43" si="14">J38*O38+K38*P38+L38*N38</f>
        <v>19098.212947912314</v>
      </c>
      <c r="R38" s="22">
        <v>2</v>
      </c>
      <c r="S38" s="29">
        <f t="shared" si="9"/>
        <v>38196.425895824628</v>
      </c>
    </row>
    <row r="39" spans="1:19" s="10" customFormat="1" x14ac:dyDescent="0.2">
      <c r="A39" s="64"/>
      <c r="B39" s="22" t="s">
        <v>46</v>
      </c>
      <c r="C39" s="22">
        <f>1.3*1.07</f>
        <v>1.3910000000000002</v>
      </c>
      <c r="D39" s="23">
        <v>1.1000000000000001</v>
      </c>
      <c r="E39" s="23">
        <v>0.2</v>
      </c>
      <c r="F39" s="23"/>
      <c r="G39" s="23">
        <f t="shared" si="12"/>
        <v>1.5508900000000001</v>
      </c>
      <c r="H39" s="23">
        <f t="shared" si="5"/>
        <v>0.30470000000000003</v>
      </c>
      <c r="I39" s="23">
        <f t="shared" si="6"/>
        <v>1.75</v>
      </c>
      <c r="J39" s="24">
        <f t="shared" si="0"/>
        <v>27500.35805965199</v>
      </c>
      <c r="K39" s="24">
        <f t="shared" si="1"/>
        <v>15714.490319801134</v>
      </c>
      <c r="L39" s="24">
        <f t="shared" si="10"/>
        <v>3928.6225799502836</v>
      </c>
      <c r="M39" s="23">
        <f t="shared" si="2"/>
        <v>0</v>
      </c>
      <c r="N39" s="23">
        <f t="shared" si="3"/>
        <v>1.7600000000000005E-2</v>
      </c>
      <c r="O39" s="23">
        <f t="shared" si="7"/>
        <v>0.30470000000000003</v>
      </c>
      <c r="P39" s="23">
        <f t="shared" si="8"/>
        <v>0.67769999999999997</v>
      </c>
      <c r="Q39" s="25">
        <f t="shared" si="14"/>
        <v>19098.212947912314</v>
      </c>
      <c r="R39" s="22">
        <v>1</v>
      </c>
      <c r="S39" s="29">
        <f t="shared" si="9"/>
        <v>19098.212947912314</v>
      </c>
    </row>
    <row r="40" spans="1:19" s="10" customFormat="1" x14ac:dyDescent="0.2">
      <c r="A40" s="64"/>
      <c r="B40" s="22" t="s">
        <v>47</v>
      </c>
      <c r="C40" s="22">
        <f>1.3*1.07</f>
        <v>1.3910000000000002</v>
      </c>
      <c r="D40" s="23">
        <v>1.1000000000000001</v>
      </c>
      <c r="E40" s="23">
        <v>0.2</v>
      </c>
      <c r="F40" s="23"/>
      <c r="G40" s="23">
        <f t="shared" si="12"/>
        <v>1.5508900000000001</v>
      </c>
      <c r="H40" s="23">
        <f t="shared" si="5"/>
        <v>0.30470000000000003</v>
      </c>
      <c r="I40" s="23">
        <f t="shared" si="6"/>
        <v>1.75</v>
      </c>
      <c r="J40" s="24">
        <f t="shared" si="0"/>
        <v>27500.35805965199</v>
      </c>
      <c r="K40" s="24">
        <f t="shared" si="1"/>
        <v>15714.490319801134</v>
      </c>
      <c r="L40" s="24">
        <f t="shared" si="10"/>
        <v>3928.6225799502836</v>
      </c>
      <c r="M40" s="23">
        <f t="shared" si="2"/>
        <v>0</v>
      </c>
      <c r="N40" s="23">
        <f t="shared" si="3"/>
        <v>1.7600000000000005E-2</v>
      </c>
      <c r="O40" s="23">
        <f t="shared" si="7"/>
        <v>0.30470000000000003</v>
      </c>
      <c r="P40" s="23">
        <f t="shared" si="8"/>
        <v>0.67769999999999997</v>
      </c>
      <c r="Q40" s="25">
        <f t="shared" si="14"/>
        <v>19098.212947912314</v>
      </c>
      <c r="R40" s="22">
        <v>1</v>
      </c>
      <c r="S40" s="29">
        <f t="shared" si="9"/>
        <v>19098.212947912314</v>
      </c>
    </row>
    <row r="41" spans="1:19" s="10" customFormat="1" x14ac:dyDescent="0.2">
      <c r="A41" s="64"/>
      <c r="B41" s="22" t="s">
        <v>93</v>
      </c>
      <c r="C41" s="22">
        <f>1.3*0.2</f>
        <v>0.26</v>
      </c>
      <c r="D41" s="23">
        <v>1.1000000000000001</v>
      </c>
      <c r="E41" s="23">
        <v>0.2</v>
      </c>
      <c r="F41" s="23"/>
      <c r="G41" s="23">
        <f t="shared" si="12"/>
        <v>1.5508900000000001</v>
      </c>
      <c r="H41" s="23">
        <f t="shared" si="5"/>
        <v>0.30470000000000003</v>
      </c>
      <c r="I41" s="23">
        <f t="shared" si="6"/>
        <v>1.75</v>
      </c>
      <c r="J41" s="24">
        <f t="shared" si="0"/>
        <v>5140.2538429256047</v>
      </c>
      <c r="K41" s="24">
        <f t="shared" si="1"/>
        <v>2937.2879102432025</v>
      </c>
      <c r="L41" s="24">
        <f t="shared" si="10"/>
        <v>734.32197756080063</v>
      </c>
      <c r="M41" s="23">
        <f t="shared" si="2"/>
        <v>0</v>
      </c>
      <c r="N41" s="23">
        <v>0</v>
      </c>
      <c r="O41" s="23">
        <f t="shared" si="7"/>
        <v>0.30470000000000003</v>
      </c>
      <c r="P41" s="23">
        <f t="shared" si="8"/>
        <v>0.69530000000000003</v>
      </c>
      <c r="Q41" s="25">
        <f t="shared" si="14"/>
        <v>3608.5316299315309</v>
      </c>
      <c r="R41" s="22">
        <f>$R$36*0.4</f>
        <v>2</v>
      </c>
      <c r="S41" s="29">
        <f t="shared" ref="S41:S43" si="15">R41*Q41</f>
        <v>7217.0632598630618</v>
      </c>
    </row>
    <row r="42" spans="1:19" s="10" customFormat="1" x14ac:dyDescent="0.2">
      <c r="A42" s="64"/>
      <c r="B42" s="22" t="s">
        <v>94</v>
      </c>
      <c r="C42" s="22">
        <f>1.3*0.2</f>
        <v>0.26</v>
      </c>
      <c r="D42" s="23">
        <v>1.1000000000000001</v>
      </c>
      <c r="E42" s="23">
        <v>0.2</v>
      </c>
      <c r="F42" s="23"/>
      <c r="G42" s="23">
        <f t="shared" si="12"/>
        <v>1.5508900000000001</v>
      </c>
      <c r="H42" s="23">
        <f t="shared" si="5"/>
        <v>0.30470000000000003</v>
      </c>
      <c r="I42" s="23">
        <f t="shared" si="6"/>
        <v>1.75</v>
      </c>
      <c r="J42" s="24">
        <f t="shared" si="0"/>
        <v>5140.2538429256047</v>
      </c>
      <c r="K42" s="24">
        <f t="shared" si="1"/>
        <v>2937.2879102432025</v>
      </c>
      <c r="L42" s="24">
        <f t="shared" si="10"/>
        <v>734.32197756080063</v>
      </c>
      <c r="M42" s="23">
        <f t="shared" si="2"/>
        <v>0</v>
      </c>
      <c r="N42" s="23">
        <v>0</v>
      </c>
      <c r="O42" s="23">
        <f t="shared" si="7"/>
        <v>0.30470000000000003</v>
      </c>
      <c r="P42" s="23">
        <f t="shared" si="8"/>
        <v>0.69530000000000003</v>
      </c>
      <c r="Q42" s="25">
        <f t="shared" si="14"/>
        <v>3608.5316299315309</v>
      </c>
      <c r="R42" s="22">
        <f>$R$36*0.4</f>
        <v>2</v>
      </c>
      <c r="S42" s="29">
        <f t="shared" si="15"/>
        <v>7217.0632598630618</v>
      </c>
    </row>
    <row r="43" spans="1:19" s="10" customFormat="1" x14ac:dyDescent="0.2">
      <c r="A43" s="64"/>
      <c r="B43" s="22" t="s">
        <v>95</v>
      </c>
      <c r="C43" s="22">
        <f>1.3*0.2</f>
        <v>0.26</v>
      </c>
      <c r="D43" s="23">
        <v>1.1000000000000001</v>
      </c>
      <c r="E43" s="23">
        <v>0.2</v>
      </c>
      <c r="F43" s="23"/>
      <c r="G43" s="23">
        <f t="shared" si="12"/>
        <v>1.5508900000000001</v>
      </c>
      <c r="H43" s="23">
        <f t="shared" si="5"/>
        <v>0.30470000000000003</v>
      </c>
      <c r="I43" s="23">
        <f t="shared" si="6"/>
        <v>1.75</v>
      </c>
      <c r="J43" s="24">
        <f t="shared" si="0"/>
        <v>5140.2538429256047</v>
      </c>
      <c r="K43" s="24">
        <f t="shared" si="1"/>
        <v>2937.2879102432025</v>
      </c>
      <c r="L43" s="24">
        <f t="shared" si="10"/>
        <v>734.32197756080063</v>
      </c>
      <c r="M43" s="23">
        <f t="shared" si="2"/>
        <v>0</v>
      </c>
      <c r="N43" s="23">
        <v>0</v>
      </c>
      <c r="O43" s="23">
        <f t="shared" si="7"/>
        <v>0.30470000000000003</v>
      </c>
      <c r="P43" s="23">
        <f t="shared" si="8"/>
        <v>0.69530000000000003</v>
      </c>
      <c r="Q43" s="25">
        <f t="shared" si="14"/>
        <v>3608.5316299315309</v>
      </c>
      <c r="R43" s="22">
        <f>$R$36*0.4</f>
        <v>2</v>
      </c>
      <c r="S43" s="29">
        <f t="shared" si="15"/>
        <v>7217.0632598630618</v>
      </c>
    </row>
    <row r="44" spans="1:19" s="10" customFormat="1" x14ac:dyDescent="0.2">
      <c r="A44" s="64"/>
      <c r="B44" s="22" t="s">
        <v>91</v>
      </c>
      <c r="C44" s="22">
        <f>1.3*0.33</f>
        <v>0.42900000000000005</v>
      </c>
      <c r="D44" s="23">
        <v>1.1000000000000001</v>
      </c>
      <c r="E44" s="23">
        <v>0.2</v>
      </c>
      <c r="F44" s="23"/>
      <c r="G44" s="23">
        <f t="shared" si="12"/>
        <v>1.5508900000000001</v>
      </c>
      <c r="H44" s="23">
        <f t="shared" si="5"/>
        <v>0.30470000000000003</v>
      </c>
      <c r="I44" s="23">
        <f t="shared" si="6"/>
        <v>1.75</v>
      </c>
      <c r="J44" s="24">
        <f t="shared" si="0"/>
        <v>8481.4188408272494</v>
      </c>
      <c r="K44" s="24">
        <f t="shared" si="1"/>
        <v>4846.5250519012843</v>
      </c>
      <c r="L44" s="24">
        <f t="shared" si="10"/>
        <v>1211.6312629753211</v>
      </c>
      <c r="M44" s="23">
        <f t="shared" si="2"/>
        <v>0</v>
      </c>
      <c r="N44" s="23">
        <f t="shared" ref="N44:N49" si="16">IF($H$23&gt;$I$20,$H$23-$I$20,0)</f>
        <v>1.7600000000000005E-2</v>
      </c>
      <c r="O44" s="23">
        <f t="shared" si="7"/>
        <v>0.30470000000000003</v>
      </c>
      <c r="P44" s="23">
        <f t="shared" si="8"/>
        <v>0.67769999999999997</v>
      </c>
      <c r="Q44" s="25">
        <f t="shared" ref="Q44" si="17">J44*O44+K44*P44+L44*N44</f>
        <v>5890.1030587019286</v>
      </c>
      <c r="R44" s="22">
        <v>1</v>
      </c>
      <c r="S44" s="29">
        <f t="shared" si="9"/>
        <v>5890.1030587019286</v>
      </c>
    </row>
    <row r="45" spans="1:19" x14ac:dyDescent="0.2">
      <c r="A45" s="27"/>
      <c r="B45" s="12" t="s">
        <v>5</v>
      </c>
      <c r="C45" s="12">
        <v>1.18</v>
      </c>
      <c r="D45" s="15">
        <f>1.04*1.1*IF(M20=1,1.1,1)</f>
        <v>1.2584000000000002</v>
      </c>
      <c r="E45" s="15">
        <v>0.18</v>
      </c>
      <c r="F45" s="15">
        <v>0.15</v>
      </c>
      <c r="G45" s="15">
        <f>(1+$H$20)*D45</f>
        <v>1.7742181600000002</v>
      </c>
      <c r="H45" s="15">
        <f>E45+F$20</f>
        <v>0.28470000000000001</v>
      </c>
      <c r="I45" s="15">
        <f>F45+G$20</f>
        <v>1.9</v>
      </c>
      <c r="J45" s="16">
        <f t="shared" si="0"/>
        <v>28975.757776967141</v>
      </c>
      <c r="K45" s="16">
        <f t="shared" si="1"/>
        <v>15250.398829982705</v>
      </c>
      <c r="L45" s="16">
        <f>K45*0.25</f>
        <v>3812.5997074956763</v>
      </c>
      <c r="M45" s="15">
        <f t="shared" si="2"/>
        <v>0</v>
      </c>
      <c r="N45" s="15">
        <f t="shared" si="16"/>
        <v>1.7600000000000005E-2</v>
      </c>
      <c r="O45" s="15">
        <f>IF(H45&gt;(1-M45-N45),(1-M45-N45),H45)</f>
        <v>0.28470000000000001</v>
      </c>
      <c r="P45" s="15">
        <f>IF((M45+N45+O45)=1,0,1-M45-N45-O45)</f>
        <v>0.69769999999999999</v>
      </c>
      <c r="Q45" s="18">
        <f>J45*O45+K45*P45+L45*N45</f>
        <v>18956.703257633402</v>
      </c>
      <c r="R45" s="12">
        <v>0</v>
      </c>
      <c r="S45" s="28">
        <f t="shared" si="9"/>
        <v>0</v>
      </c>
    </row>
    <row r="46" spans="1:19" x14ac:dyDescent="0.2">
      <c r="A46" s="27"/>
      <c r="B46" s="12" t="s">
        <v>146</v>
      </c>
      <c r="C46" s="12">
        <v>0.42</v>
      </c>
      <c r="D46" s="15">
        <f>1.12*1.1*(1+0.2+0.24+1.7)*IF($M$20=1,1.1,1)</f>
        <v>4.2553280000000004</v>
      </c>
      <c r="E46" s="15">
        <v>0.25</v>
      </c>
      <c r="F46" s="15">
        <v>0.25</v>
      </c>
      <c r="G46" s="15">
        <f>(1+$H$20)*D46</f>
        <v>5.9995869472000001</v>
      </c>
      <c r="H46" s="15">
        <f t="shared" ref="H46:H58" si="18">E46+F$20</f>
        <v>0.35470000000000002</v>
      </c>
      <c r="I46" s="15">
        <f t="shared" ref="I46:I58" si="19">F46+G$20</f>
        <v>2</v>
      </c>
      <c r="J46" s="16">
        <f t="shared" si="0"/>
        <v>36710.712343903091</v>
      </c>
      <c r="K46" s="16">
        <f t="shared" si="1"/>
        <v>18355.356171951546</v>
      </c>
      <c r="L46" s="16">
        <f t="shared" ref="L46:L58" si="20">K46*0.25</f>
        <v>4588.8390429878864</v>
      </c>
      <c r="M46" s="15">
        <f t="shared" si="2"/>
        <v>0</v>
      </c>
      <c r="N46" s="15">
        <f t="shared" si="16"/>
        <v>1.7600000000000005E-2</v>
      </c>
      <c r="O46" s="15">
        <f t="shared" ref="O46:O58" si="21">IF(H46&gt;(1-M46-N46),(1-M46-N46),H46)</f>
        <v>0.35470000000000002</v>
      </c>
      <c r="P46" s="15">
        <f t="shared" ref="P46:P58" si="22">IF((M46+N46+O46)=1,0,1-M46-N46-O46)</f>
        <v>0.62769999999999992</v>
      </c>
      <c r="Q46" s="18">
        <f>(J46*O46+K46*P46+L46*N46)</f>
        <v>24623.710304672997</v>
      </c>
      <c r="R46" s="12">
        <v>5</v>
      </c>
      <c r="S46" s="28">
        <f t="shared" si="9"/>
        <v>123118.55152336499</v>
      </c>
    </row>
    <row r="47" spans="1:19" x14ac:dyDescent="0.2">
      <c r="A47" s="27"/>
      <c r="B47" s="12" t="s">
        <v>147</v>
      </c>
      <c r="C47" s="12">
        <v>0.42</v>
      </c>
      <c r="D47" s="15">
        <f>1.12*1.1*(1+0.2+0.24+1.1)*IF($M$20=1,1.1,1)</f>
        <v>3.4422080000000008</v>
      </c>
      <c r="E47" s="15">
        <v>0.25</v>
      </c>
      <c r="F47" s="15">
        <v>0.25</v>
      </c>
      <c r="G47" s="15">
        <f t="shared" ref="G47" si="23">(1+$H$20)*D47</f>
        <v>4.8531690592000007</v>
      </c>
      <c r="H47" s="15">
        <f t="shared" si="18"/>
        <v>0.35470000000000002</v>
      </c>
      <c r="I47" s="15">
        <f t="shared" si="19"/>
        <v>2</v>
      </c>
      <c r="J47" s="16">
        <f t="shared" si="0"/>
        <v>29695.926545705053</v>
      </c>
      <c r="K47" s="16">
        <f t="shared" si="1"/>
        <v>14847.963272852527</v>
      </c>
      <c r="L47" s="16">
        <f t="shared" si="20"/>
        <v>3711.9908182131317</v>
      </c>
      <c r="M47" s="15">
        <f t="shared" si="2"/>
        <v>0</v>
      </c>
      <c r="N47" s="15">
        <f t="shared" si="16"/>
        <v>1.7600000000000005E-2</v>
      </c>
      <c r="O47" s="15">
        <f t="shared" si="21"/>
        <v>0.35470000000000002</v>
      </c>
      <c r="P47" s="15">
        <f t="shared" si="22"/>
        <v>0.62769999999999992</v>
      </c>
      <c r="Q47" s="18">
        <f t="shared" ref="Q47:Q48" si="24">(J47*O47+K47*P47+L47*N47)</f>
        <v>19918.542730531663</v>
      </c>
      <c r="R47" s="12">
        <v>15</v>
      </c>
      <c r="S47" s="28">
        <f t="shared" si="9"/>
        <v>298778.14095797495</v>
      </c>
    </row>
    <row r="48" spans="1:19" x14ac:dyDescent="0.2">
      <c r="A48" s="27"/>
      <c r="B48" s="12" t="s">
        <v>133</v>
      </c>
      <c r="C48" s="12">
        <v>0.42</v>
      </c>
      <c r="D48" s="15">
        <f>1.12*1.1*(1+0.2+0.24)*IF($M$20=1,1.1,1)</f>
        <v>1.9514880000000006</v>
      </c>
      <c r="E48" s="15">
        <v>0.25</v>
      </c>
      <c r="F48" s="15">
        <v>0.25</v>
      </c>
      <c r="G48" s="15">
        <f>(1+$H$20)*D48</f>
        <v>2.7514029312000008</v>
      </c>
      <c r="H48" s="15">
        <f t="shared" si="18"/>
        <v>0.35470000000000002</v>
      </c>
      <c r="I48" s="15">
        <f t="shared" si="19"/>
        <v>2</v>
      </c>
      <c r="J48" s="16">
        <f t="shared" si="0"/>
        <v>16835.485915675305</v>
      </c>
      <c r="K48" s="16">
        <f t="shared" si="1"/>
        <v>8417.7429578376523</v>
      </c>
      <c r="L48" s="16">
        <f t="shared" si="20"/>
        <v>2104.4357394594131</v>
      </c>
      <c r="M48" s="15">
        <f t="shared" si="2"/>
        <v>0</v>
      </c>
      <c r="N48" s="15">
        <f t="shared" si="16"/>
        <v>1.7600000000000005E-2</v>
      </c>
      <c r="O48" s="15">
        <f t="shared" si="21"/>
        <v>0.35470000000000002</v>
      </c>
      <c r="P48" s="15">
        <f t="shared" si="22"/>
        <v>0.62769999999999992</v>
      </c>
      <c r="Q48" s="18">
        <f t="shared" si="24"/>
        <v>11292.40217793921</v>
      </c>
      <c r="R48" s="12">
        <v>28</v>
      </c>
      <c r="S48" s="28">
        <f t="shared" si="9"/>
        <v>316187.26098229788</v>
      </c>
    </row>
    <row r="49" spans="1:19" x14ac:dyDescent="0.2">
      <c r="A49" s="27"/>
      <c r="B49" s="12" t="s">
        <v>4</v>
      </c>
      <c r="C49" s="12">
        <v>0.33</v>
      </c>
      <c r="D49" s="15">
        <v>1.1000000000000001</v>
      </c>
      <c r="E49" s="15"/>
      <c r="F49" s="15"/>
      <c r="G49" s="15">
        <f t="shared" ref="G49:G54" si="25">(1+$H$20)*D49</f>
        <v>1.5508900000000001</v>
      </c>
      <c r="H49" s="15">
        <f t="shared" si="18"/>
        <v>0.1047</v>
      </c>
      <c r="I49" s="15">
        <f t="shared" si="19"/>
        <v>1.75</v>
      </c>
      <c r="J49" s="16">
        <f t="shared" si="0"/>
        <v>6524.1683390978824</v>
      </c>
      <c r="K49" s="16">
        <f t="shared" si="1"/>
        <v>3728.0961937702186</v>
      </c>
      <c r="L49" s="16">
        <f t="shared" si="20"/>
        <v>932.02404844255466</v>
      </c>
      <c r="M49" s="15">
        <f t="shared" si="2"/>
        <v>0</v>
      </c>
      <c r="N49" s="15">
        <f t="shared" si="16"/>
        <v>1.7600000000000005E-2</v>
      </c>
      <c r="O49" s="15">
        <f t="shared" si="21"/>
        <v>0.1047</v>
      </c>
      <c r="P49" s="15">
        <f t="shared" si="22"/>
        <v>0.87769999999999992</v>
      </c>
      <c r="Q49" s="18">
        <f t="shared" ref="Q49:Q58" si="26">J49*O49+K49*P49+L49*N49</f>
        <v>3971.6340776282582</v>
      </c>
      <c r="R49" s="12">
        <v>4</v>
      </c>
      <c r="S49" s="28">
        <f t="shared" si="9"/>
        <v>15886.536310513033</v>
      </c>
    </row>
    <row r="50" spans="1:19" s="10" customFormat="1" x14ac:dyDescent="0.2">
      <c r="A50" s="27"/>
      <c r="B50" s="12" t="s">
        <v>93</v>
      </c>
      <c r="C50" s="12">
        <v>0.2</v>
      </c>
      <c r="D50" s="15">
        <v>1.1000000000000001</v>
      </c>
      <c r="E50" s="15"/>
      <c r="F50" s="15"/>
      <c r="G50" s="15">
        <f t="shared" ref="G50:G52" si="27">(1+$H$20)*D50</f>
        <v>1.5508900000000001</v>
      </c>
      <c r="H50" s="15">
        <f t="shared" ref="H50:H52" si="28">E50+F$20</f>
        <v>0.1047</v>
      </c>
      <c r="I50" s="15">
        <f t="shared" ref="I50:I52" si="29">F50+G$20</f>
        <v>1.75</v>
      </c>
      <c r="J50" s="16">
        <f t="shared" si="0"/>
        <v>3954.0414176350805</v>
      </c>
      <c r="K50" s="16">
        <f t="shared" si="1"/>
        <v>2259.4522386486174</v>
      </c>
      <c r="L50" s="16">
        <f t="shared" ref="L50:L52" si="30">K50*0.25</f>
        <v>564.86305966215434</v>
      </c>
      <c r="M50" s="15">
        <f t="shared" si="2"/>
        <v>0</v>
      </c>
      <c r="N50" s="15">
        <v>0</v>
      </c>
      <c r="O50" s="15">
        <f t="shared" si="21"/>
        <v>0.1047</v>
      </c>
      <c r="P50" s="15">
        <f t="shared" si="22"/>
        <v>0.89529999999999998</v>
      </c>
      <c r="Q50" s="18">
        <f t="shared" si="26"/>
        <v>2436.8757256885001</v>
      </c>
      <c r="R50" s="12">
        <f>(R$47+R$48+R$46)*0.4</f>
        <v>19.200000000000003</v>
      </c>
      <c r="S50" s="28">
        <f t="shared" si="9"/>
        <v>46788.013933219212</v>
      </c>
    </row>
    <row r="51" spans="1:19" s="10" customFormat="1" x14ac:dyDescent="0.2">
      <c r="A51" s="27"/>
      <c r="B51" s="12" t="s">
        <v>94</v>
      </c>
      <c r="C51" s="12">
        <v>0.2</v>
      </c>
      <c r="D51" s="15">
        <v>1.1000000000000001</v>
      </c>
      <c r="E51" s="15"/>
      <c r="F51" s="15"/>
      <c r="G51" s="15">
        <f t="shared" si="27"/>
        <v>1.5508900000000001</v>
      </c>
      <c r="H51" s="15">
        <f t="shared" si="28"/>
        <v>0.1047</v>
      </c>
      <c r="I51" s="15">
        <f t="shared" si="29"/>
        <v>1.75</v>
      </c>
      <c r="J51" s="16">
        <f t="shared" si="0"/>
        <v>3954.0414176350805</v>
      </c>
      <c r="K51" s="16">
        <f t="shared" si="1"/>
        <v>2259.4522386486174</v>
      </c>
      <c r="L51" s="16">
        <f t="shared" si="30"/>
        <v>564.86305966215434</v>
      </c>
      <c r="M51" s="15">
        <f t="shared" si="2"/>
        <v>0</v>
      </c>
      <c r="N51" s="15">
        <v>0</v>
      </c>
      <c r="O51" s="15">
        <f t="shared" si="21"/>
        <v>0.1047</v>
      </c>
      <c r="P51" s="15">
        <f t="shared" si="22"/>
        <v>0.89529999999999998</v>
      </c>
      <c r="Q51" s="18">
        <f t="shared" si="26"/>
        <v>2436.8757256885001</v>
      </c>
      <c r="R51" s="12">
        <f t="shared" ref="R51:R52" si="31">(R$47+R$48+R$46)*0.4</f>
        <v>19.200000000000003</v>
      </c>
      <c r="S51" s="28">
        <f t="shared" si="9"/>
        <v>46788.013933219212</v>
      </c>
    </row>
    <row r="52" spans="1:19" s="10" customFormat="1" x14ac:dyDescent="0.2">
      <c r="A52" s="27"/>
      <c r="B52" s="12" t="s">
        <v>95</v>
      </c>
      <c r="C52" s="12">
        <v>0.22</v>
      </c>
      <c r="D52" s="15">
        <v>1.1000000000000001</v>
      </c>
      <c r="E52" s="15"/>
      <c r="F52" s="15"/>
      <c r="G52" s="15">
        <f t="shared" si="27"/>
        <v>1.5508900000000001</v>
      </c>
      <c r="H52" s="15">
        <f t="shared" si="28"/>
        <v>0.1047</v>
      </c>
      <c r="I52" s="15">
        <f t="shared" si="29"/>
        <v>1.75</v>
      </c>
      <c r="J52" s="16">
        <f t="shared" si="0"/>
        <v>4349.4455593985886</v>
      </c>
      <c r="K52" s="16">
        <f t="shared" si="1"/>
        <v>2485.3974625134788</v>
      </c>
      <c r="L52" s="16">
        <f t="shared" si="30"/>
        <v>621.3493656283697</v>
      </c>
      <c r="M52" s="15">
        <f t="shared" si="2"/>
        <v>0</v>
      </c>
      <c r="N52" s="15">
        <v>0</v>
      </c>
      <c r="O52" s="15">
        <f t="shared" si="21"/>
        <v>0.1047</v>
      </c>
      <c r="P52" s="15">
        <f t="shared" si="22"/>
        <v>0.89529999999999998</v>
      </c>
      <c r="Q52" s="18">
        <f t="shared" si="26"/>
        <v>2680.5632982573497</v>
      </c>
      <c r="R52" s="12">
        <f t="shared" si="31"/>
        <v>19.200000000000003</v>
      </c>
      <c r="S52" s="28">
        <f t="shared" si="9"/>
        <v>51466.815326541124</v>
      </c>
    </row>
    <row r="53" spans="1:19" x14ac:dyDescent="0.2">
      <c r="A53" s="27"/>
      <c r="B53" s="12" t="s">
        <v>42</v>
      </c>
      <c r="C53" s="12">
        <v>0.28999999999999998</v>
      </c>
      <c r="D53" s="15">
        <v>1.1000000000000001</v>
      </c>
      <c r="E53" s="15"/>
      <c r="F53" s="15"/>
      <c r="G53" s="15">
        <f t="shared" si="25"/>
        <v>1.5508900000000001</v>
      </c>
      <c r="H53" s="15">
        <f t="shared" si="18"/>
        <v>0.1047</v>
      </c>
      <c r="I53" s="15">
        <f t="shared" si="19"/>
        <v>1.75</v>
      </c>
      <c r="J53" s="16">
        <f t="shared" si="0"/>
        <v>5733.3600555708663</v>
      </c>
      <c r="K53" s="16">
        <f t="shared" si="1"/>
        <v>3276.2057460404953</v>
      </c>
      <c r="L53" s="17">
        <f>K53*0.25</f>
        <v>819.05143651012384</v>
      </c>
      <c r="M53" s="15">
        <f t="shared" si="2"/>
        <v>0</v>
      </c>
      <c r="N53" s="15">
        <f t="shared" ref="N53:N59" si="32">IF($H$23&gt;$I$20,$H$23-$I$20,0)</f>
        <v>1.7600000000000005E-2</v>
      </c>
      <c r="O53" s="15">
        <f t="shared" si="21"/>
        <v>0.1047</v>
      </c>
      <c r="P53" s="15">
        <f t="shared" si="22"/>
        <v>0.87769999999999992</v>
      </c>
      <c r="Q53" s="18">
        <f t="shared" si="26"/>
        <v>3490.2238864005908</v>
      </c>
      <c r="R53" s="12">
        <v>21</v>
      </c>
      <c r="S53" s="28">
        <f t="shared" si="9"/>
        <v>73294.701614412406</v>
      </c>
    </row>
    <row r="54" spans="1:19" x14ac:dyDescent="0.2">
      <c r="A54" s="27"/>
      <c r="B54" s="12" t="s">
        <v>43</v>
      </c>
      <c r="C54" s="12">
        <v>0.34</v>
      </c>
      <c r="D54" s="15">
        <v>1.1000000000000001</v>
      </c>
      <c r="E54" s="15"/>
      <c r="F54" s="15"/>
      <c r="G54" s="15">
        <f t="shared" si="25"/>
        <v>1.5508900000000001</v>
      </c>
      <c r="H54" s="15">
        <f t="shared" si="18"/>
        <v>0.1047</v>
      </c>
      <c r="I54" s="15">
        <f t="shared" si="19"/>
        <v>1.75</v>
      </c>
      <c r="J54" s="16">
        <f t="shared" si="0"/>
        <v>6721.8704099796378</v>
      </c>
      <c r="K54" s="16">
        <f t="shared" si="1"/>
        <v>3841.06880570265</v>
      </c>
      <c r="L54" s="17">
        <f t="shared" si="20"/>
        <v>960.26720142566251</v>
      </c>
      <c r="M54" s="15">
        <f t="shared" si="2"/>
        <v>0</v>
      </c>
      <c r="N54" s="15">
        <f t="shared" si="32"/>
        <v>1.7600000000000005E-2</v>
      </c>
      <c r="O54" s="15">
        <f t="shared" si="21"/>
        <v>0.1047</v>
      </c>
      <c r="P54" s="15">
        <f t="shared" si="22"/>
        <v>0.87769999999999992</v>
      </c>
      <c r="Q54" s="18">
        <f t="shared" si="26"/>
        <v>4091.9866254351755</v>
      </c>
      <c r="R54" s="12">
        <v>21</v>
      </c>
      <c r="S54" s="28">
        <f t="shared" si="9"/>
        <v>85931.719134138679</v>
      </c>
    </row>
    <row r="55" spans="1:19" x14ac:dyDescent="0.2">
      <c r="A55" s="27"/>
      <c r="B55" s="12" t="s">
        <v>44</v>
      </c>
      <c r="C55" s="12">
        <v>0.31</v>
      </c>
      <c r="D55" s="15">
        <v>1.1000000000000001</v>
      </c>
      <c r="E55" s="15"/>
      <c r="F55" s="15"/>
      <c r="G55" s="15">
        <f>(1+$H$20)*D55</f>
        <v>1.5508900000000001</v>
      </c>
      <c r="H55" s="15">
        <f t="shared" si="18"/>
        <v>0.1047</v>
      </c>
      <c r="I55" s="15">
        <f t="shared" si="19"/>
        <v>1.75</v>
      </c>
      <c r="J55" s="16">
        <f t="shared" si="0"/>
        <v>6128.7641973343743</v>
      </c>
      <c r="K55" s="16">
        <f t="shared" si="1"/>
        <v>3502.1509699053568</v>
      </c>
      <c r="L55" s="17">
        <f t="shared" si="20"/>
        <v>875.53774247633919</v>
      </c>
      <c r="M55" s="15">
        <f t="shared" si="2"/>
        <v>0</v>
      </c>
      <c r="N55" s="15">
        <f t="shared" si="32"/>
        <v>1.7600000000000005E-2</v>
      </c>
      <c r="O55" s="15">
        <f t="shared" si="21"/>
        <v>0.1047</v>
      </c>
      <c r="P55" s="15">
        <f t="shared" si="22"/>
        <v>0.87769999999999992</v>
      </c>
      <c r="Q55" s="18">
        <f t="shared" si="26"/>
        <v>3730.928982014424</v>
      </c>
      <c r="R55" s="12">
        <v>21</v>
      </c>
      <c r="S55" s="28">
        <f t="shared" si="9"/>
        <v>78349.508622302907</v>
      </c>
    </row>
    <row r="56" spans="1:19" x14ac:dyDescent="0.2">
      <c r="A56" s="27"/>
      <c r="B56" s="12" t="s">
        <v>45</v>
      </c>
      <c r="C56" s="12">
        <v>1.07</v>
      </c>
      <c r="D56" s="15">
        <v>1.1000000000000001</v>
      </c>
      <c r="E56" s="15"/>
      <c r="F56" s="15"/>
      <c r="G56" s="15">
        <f t="shared" ref="G56:G58" si="33">(1+$H$20)*D56</f>
        <v>1.5508900000000001</v>
      </c>
      <c r="H56" s="15">
        <f t="shared" si="18"/>
        <v>0.1047</v>
      </c>
      <c r="I56" s="15">
        <f t="shared" si="19"/>
        <v>1.75</v>
      </c>
      <c r="J56" s="16">
        <f t="shared" si="0"/>
        <v>21154.121584347682</v>
      </c>
      <c r="K56" s="16">
        <f t="shared" si="1"/>
        <v>12088.069476770102</v>
      </c>
      <c r="L56" s="16">
        <f t="shared" si="20"/>
        <v>3022.0173691925256</v>
      </c>
      <c r="M56" s="15">
        <f t="shared" si="2"/>
        <v>0</v>
      </c>
      <c r="N56" s="15">
        <f t="shared" si="32"/>
        <v>1.7600000000000005E-2</v>
      </c>
      <c r="O56" s="15">
        <f t="shared" si="21"/>
        <v>0.1047</v>
      </c>
      <c r="P56" s="15">
        <f t="shared" si="22"/>
        <v>0.87769999999999992</v>
      </c>
      <c r="Q56" s="18">
        <f t="shared" si="26"/>
        <v>12877.722615340108</v>
      </c>
      <c r="R56" s="12">
        <v>3</v>
      </c>
      <c r="S56" s="28">
        <f t="shared" si="9"/>
        <v>38633.167846020326</v>
      </c>
    </row>
    <row r="57" spans="1:19" x14ac:dyDescent="0.2">
      <c r="A57" s="27"/>
      <c r="B57" s="12" t="s">
        <v>46</v>
      </c>
      <c r="C57" s="12">
        <v>1.07</v>
      </c>
      <c r="D57" s="15">
        <v>1.1000000000000001</v>
      </c>
      <c r="E57" s="15"/>
      <c r="F57" s="15"/>
      <c r="G57" s="15">
        <f t="shared" si="33"/>
        <v>1.5508900000000001</v>
      </c>
      <c r="H57" s="15">
        <f t="shared" si="18"/>
        <v>0.1047</v>
      </c>
      <c r="I57" s="15">
        <f t="shared" si="19"/>
        <v>1.75</v>
      </c>
      <c r="J57" s="16">
        <f t="shared" si="0"/>
        <v>21154.121584347682</v>
      </c>
      <c r="K57" s="16">
        <f>C57*$E$20*G57*$F$23</f>
        <v>12088.069476770102</v>
      </c>
      <c r="L57" s="16">
        <f t="shared" si="20"/>
        <v>3022.0173691925256</v>
      </c>
      <c r="M57" s="15">
        <f t="shared" si="2"/>
        <v>0</v>
      </c>
      <c r="N57" s="15">
        <f t="shared" si="32"/>
        <v>1.7600000000000005E-2</v>
      </c>
      <c r="O57" s="15">
        <f t="shared" si="21"/>
        <v>0.1047</v>
      </c>
      <c r="P57" s="15">
        <f t="shared" si="22"/>
        <v>0.87769999999999992</v>
      </c>
      <c r="Q57" s="18">
        <f t="shared" si="26"/>
        <v>12877.722615340108</v>
      </c>
      <c r="R57" s="12">
        <v>3</v>
      </c>
      <c r="S57" s="28">
        <f t="shared" si="9"/>
        <v>38633.167846020326</v>
      </c>
    </row>
    <row r="58" spans="1:19" x14ac:dyDescent="0.2">
      <c r="A58" s="27"/>
      <c r="B58" s="12" t="s">
        <v>47</v>
      </c>
      <c r="C58" s="12">
        <v>1.07</v>
      </c>
      <c r="D58" s="15">
        <v>1.1000000000000001</v>
      </c>
      <c r="E58" s="15"/>
      <c r="F58" s="15"/>
      <c r="G58" s="15">
        <f t="shared" si="33"/>
        <v>1.5508900000000001</v>
      </c>
      <c r="H58" s="15">
        <f t="shared" si="18"/>
        <v>0.1047</v>
      </c>
      <c r="I58" s="15">
        <f t="shared" si="19"/>
        <v>1.75</v>
      </c>
      <c r="J58" s="16">
        <f t="shared" si="0"/>
        <v>21154.121584347682</v>
      </c>
      <c r="K58" s="16">
        <f t="shared" si="1"/>
        <v>12088.069476770102</v>
      </c>
      <c r="L58" s="16">
        <f t="shared" si="20"/>
        <v>3022.0173691925256</v>
      </c>
      <c r="M58" s="15">
        <f t="shared" si="2"/>
        <v>0</v>
      </c>
      <c r="N58" s="15">
        <f t="shared" si="32"/>
        <v>1.7600000000000005E-2</v>
      </c>
      <c r="O58" s="15">
        <f t="shared" si="21"/>
        <v>0.1047</v>
      </c>
      <c r="P58" s="15">
        <f t="shared" si="22"/>
        <v>0.87769999999999992</v>
      </c>
      <c r="Q58" s="18">
        <f t="shared" si="26"/>
        <v>12877.722615340108</v>
      </c>
      <c r="R58" s="12">
        <v>3</v>
      </c>
      <c r="S58" s="28">
        <f t="shared" si="9"/>
        <v>38633.167846020326</v>
      </c>
    </row>
    <row r="59" spans="1:19" s="10" customFormat="1" x14ac:dyDescent="0.2">
      <c r="A59" s="27"/>
      <c r="B59" s="12" t="s">
        <v>92</v>
      </c>
      <c r="C59" s="12">
        <v>0.33</v>
      </c>
      <c r="D59" s="15">
        <v>1.1000000000000001</v>
      </c>
      <c r="E59" s="15"/>
      <c r="F59" s="15"/>
      <c r="G59" s="15">
        <f t="shared" ref="G59" si="34">(1+$H$20)*D59</f>
        <v>1.5508900000000001</v>
      </c>
      <c r="H59" s="15">
        <f t="shared" ref="H59" si="35">E59+F$20</f>
        <v>0.1047</v>
      </c>
      <c r="I59" s="15">
        <f t="shared" ref="I59" si="36">F59+G$20</f>
        <v>1.75</v>
      </c>
      <c r="J59" s="16">
        <f t="shared" si="0"/>
        <v>6524.1683390978824</v>
      </c>
      <c r="K59" s="16">
        <f t="shared" si="1"/>
        <v>3728.0961937702186</v>
      </c>
      <c r="L59" s="16">
        <f t="shared" ref="L59" si="37">K59*0.25</f>
        <v>932.02404844255466</v>
      </c>
      <c r="M59" s="15">
        <f t="shared" si="2"/>
        <v>0</v>
      </c>
      <c r="N59" s="15">
        <f t="shared" si="32"/>
        <v>1.7600000000000005E-2</v>
      </c>
      <c r="O59" s="15">
        <f t="shared" ref="O59" si="38">IF(H59&gt;(1-M59-N59),(1-M59-N59),H59)</f>
        <v>0.1047</v>
      </c>
      <c r="P59" s="15">
        <f t="shared" ref="P59" si="39">IF((M59+N59+O59)=1,0,1-M59-N59-O59)</f>
        <v>0.87769999999999992</v>
      </c>
      <c r="Q59" s="18">
        <f t="shared" ref="Q59" si="40">J59*O59+K59*P59+L59*N59</f>
        <v>3971.6340776282582</v>
      </c>
      <c r="R59" s="12">
        <v>4</v>
      </c>
      <c r="S59" s="28">
        <f t="shared" si="9"/>
        <v>15886.536310513033</v>
      </c>
    </row>
    <row r="60" spans="1:19" x14ac:dyDescent="0.2">
      <c r="A60" s="27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8"/>
      <c r="R60" s="12" t="s">
        <v>109</v>
      </c>
      <c r="S60" s="30">
        <f>SUM(S32:S59)/61</f>
        <v>30360.200913586803</v>
      </c>
    </row>
    <row r="61" spans="1:19" x14ac:dyDescent="0.2">
      <c r="A61" s="62" t="s">
        <v>110</v>
      </c>
      <c r="B61" s="63"/>
      <c r="C61" s="63"/>
      <c r="D61" s="63"/>
      <c r="E61" s="63"/>
      <c r="F61" s="31"/>
      <c r="H61" s="10"/>
      <c r="I61" s="10"/>
      <c r="J61" s="69" t="s">
        <v>123</v>
      </c>
      <c r="K61" s="69"/>
      <c r="L61" s="69"/>
      <c r="M61" s="69"/>
      <c r="N61" s="10"/>
      <c r="O61" s="10"/>
      <c r="P61" s="31"/>
      <c r="Q61" s="31"/>
      <c r="R61" s="12"/>
      <c r="S61" s="28"/>
    </row>
    <row r="62" spans="1:19" x14ac:dyDescent="0.2">
      <c r="A62" s="27"/>
      <c r="B62" s="12"/>
      <c r="C62" s="12" t="s">
        <v>120</v>
      </c>
      <c r="D62" s="12" t="s">
        <v>121</v>
      </c>
      <c r="E62" s="12" t="s">
        <v>122</v>
      </c>
      <c r="F62" s="12"/>
      <c r="J62" s="12" t="s">
        <v>124</v>
      </c>
      <c r="K62" s="12">
        <v>26459.8</v>
      </c>
      <c r="L62" s="12" t="s">
        <v>130</v>
      </c>
      <c r="M62" s="12" t="s">
        <v>132</v>
      </c>
      <c r="N62" s="12"/>
      <c r="O62" s="12"/>
      <c r="P62" s="12"/>
      <c r="Q62" s="18"/>
      <c r="R62" s="12"/>
      <c r="S62" s="28"/>
    </row>
    <row r="63" spans="1:19" x14ac:dyDescent="0.2">
      <c r="A63" s="27"/>
      <c r="B63" s="12" t="s">
        <v>111</v>
      </c>
      <c r="C63" s="12">
        <f>R36+R46+R47+R48</f>
        <v>53</v>
      </c>
      <c r="D63" s="12">
        <f>S36+S46+S47+S48</f>
        <v>945428.83346804767</v>
      </c>
      <c r="E63" s="15">
        <f t="shared" ref="E63:E71" si="41">D63/($S$60*61)</f>
        <v>0.51049837844141943</v>
      </c>
      <c r="F63" s="12"/>
      <c r="J63" s="12" t="s">
        <v>125</v>
      </c>
      <c r="K63" s="12">
        <v>26519.1</v>
      </c>
      <c r="L63" s="12">
        <f t="shared" ref="L63:L68" si="42">K63-$K$62</f>
        <v>59.299999999999272</v>
      </c>
      <c r="M63" s="32">
        <f>L63/10</f>
        <v>5.9299999999999269</v>
      </c>
      <c r="N63" s="12"/>
      <c r="O63" s="12"/>
      <c r="P63" s="12"/>
      <c r="Q63" s="18"/>
      <c r="R63" s="12"/>
      <c r="S63" s="28"/>
    </row>
    <row r="64" spans="1:19" x14ac:dyDescent="0.2">
      <c r="A64" s="27"/>
      <c r="B64" s="12" t="s">
        <v>112</v>
      </c>
      <c r="C64" s="12">
        <f>R34+R54</f>
        <v>35</v>
      </c>
      <c r="D64" s="12">
        <f>S34+S54</f>
        <v>170891.9935566271</v>
      </c>
      <c r="E64" s="15">
        <f t="shared" si="41"/>
        <v>9.2275676931983547E-2</v>
      </c>
      <c r="F64" s="12"/>
      <c r="J64" s="12" t="s">
        <v>126</v>
      </c>
      <c r="K64" s="12">
        <v>26490.2</v>
      </c>
      <c r="L64" s="12">
        <f t="shared" si="42"/>
        <v>30.400000000001455</v>
      </c>
      <c r="M64" s="32">
        <f>L64/10</f>
        <v>3.0400000000001457</v>
      </c>
      <c r="N64" s="12"/>
      <c r="O64" s="12"/>
      <c r="P64" s="12"/>
      <c r="Q64" s="18"/>
      <c r="R64" s="12"/>
      <c r="S64" s="28"/>
    </row>
    <row r="65" spans="1:19" x14ac:dyDescent="0.2">
      <c r="A65" s="27"/>
      <c r="B65" s="12" t="s">
        <v>113</v>
      </c>
      <c r="C65" s="12">
        <f>R35+R55</f>
        <v>35</v>
      </c>
      <c r="D65" s="12">
        <f>S35+S55</f>
        <v>155813.28824280706</v>
      </c>
      <c r="E65" s="15">
        <f t="shared" si="41"/>
        <v>8.4133705437984999E-2</v>
      </c>
      <c r="F65" s="12"/>
      <c r="J65" s="12" t="s">
        <v>127</v>
      </c>
      <c r="K65" s="12">
        <v>26629.1</v>
      </c>
      <c r="L65" s="12">
        <f t="shared" si="42"/>
        <v>169.29999999999927</v>
      </c>
      <c r="M65" s="32">
        <f>L65/153.442</f>
        <v>1.1033484965003015</v>
      </c>
      <c r="N65" s="12"/>
      <c r="O65" s="12"/>
      <c r="P65" s="12"/>
      <c r="Q65" s="18"/>
      <c r="R65" s="12"/>
      <c r="S65" s="28"/>
    </row>
    <row r="66" spans="1:19" x14ac:dyDescent="0.2">
      <c r="A66" s="27"/>
      <c r="B66" s="12" t="s">
        <v>114</v>
      </c>
      <c r="C66" s="12">
        <f>R33+R53</f>
        <v>35</v>
      </c>
      <c r="D66" s="12">
        <f>S33+S53</f>
        <v>145760.81803359371</v>
      </c>
      <c r="E66" s="15">
        <f t="shared" si="41"/>
        <v>7.8705724441985966E-2</v>
      </c>
      <c r="F66" s="12"/>
      <c r="J66" s="12" t="s">
        <v>131</v>
      </c>
      <c r="K66" s="12">
        <v>26544</v>
      </c>
      <c r="L66" s="12">
        <f t="shared" si="42"/>
        <v>84.200000000000728</v>
      </c>
      <c r="M66" s="32">
        <f>L66/53.703</f>
        <v>1.5678826136342612</v>
      </c>
      <c r="N66" s="12"/>
      <c r="O66" s="12"/>
      <c r="P66" s="12"/>
      <c r="Q66" s="18"/>
      <c r="R66" s="12"/>
      <c r="S66" s="28"/>
    </row>
    <row r="67" spans="1:19" x14ac:dyDescent="0.2">
      <c r="A67" s="27"/>
      <c r="B67" s="12" t="s">
        <v>115</v>
      </c>
      <c r="C67" s="12">
        <f>R37+R38+R49+R50+R56+R41</f>
        <v>32.200000000000003</v>
      </c>
      <c r="D67" s="12">
        <f>S37+S38+S49+S50+S56+S41</f>
        <v>158501.41336284415</v>
      </c>
      <c r="E67" s="15">
        <f t="shared" si="41"/>
        <v>8.558519862948491E-2</v>
      </c>
      <c r="F67" s="12"/>
      <c r="J67" s="12" t="s">
        <v>128</v>
      </c>
      <c r="K67" s="12">
        <v>26676.7</v>
      </c>
      <c r="L67" s="12">
        <f t="shared" si="42"/>
        <v>216.90000000000146</v>
      </c>
      <c r="M67" s="32">
        <f>L67/153.442</f>
        <v>1.4135634311335974</v>
      </c>
      <c r="N67" s="12"/>
      <c r="O67" s="12"/>
      <c r="P67" s="12"/>
      <c r="Q67" s="18"/>
      <c r="R67" s="12"/>
      <c r="S67" s="28"/>
    </row>
    <row r="68" spans="1:19" x14ac:dyDescent="0.2">
      <c r="A68" s="27"/>
      <c r="B68" s="12" t="s">
        <v>116</v>
      </c>
      <c r="C68" s="12">
        <f>R39+R57+R51+R42</f>
        <v>25.200000000000003</v>
      </c>
      <c r="D68" s="12">
        <f>S39+S57+S51+S42</f>
        <v>111736.4579870149</v>
      </c>
      <c r="E68" s="15">
        <f t="shared" si="41"/>
        <v>6.0333764526641874E-2</v>
      </c>
      <c r="F68" s="12"/>
      <c r="J68" s="12" t="s">
        <v>129</v>
      </c>
      <c r="K68" s="12">
        <v>26594.6</v>
      </c>
      <c r="L68" s="12">
        <f t="shared" si="42"/>
        <v>134.79999999999927</v>
      </c>
      <c r="M68" s="32">
        <f>L68/87.176</f>
        <v>1.5462971460034789</v>
      </c>
      <c r="N68" s="12"/>
      <c r="O68" s="12"/>
      <c r="P68" s="12"/>
      <c r="Q68" s="18"/>
      <c r="R68" s="12"/>
      <c r="S68" s="28"/>
    </row>
    <row r="69" spans="1:19" x14ac:dyDescent="0.2">
      <c r="A69" s="27"/>
      <c r="B69" s="12" t="s">
        <v>117</v>
      </c>
      <c r="C69" s="12">
        <f>R40+R52+R58+R43</f>
        <v>25.200000000000003</v>
      </c>
      <c r="D69" s="12">
        <f>S40+S52+S58+S43</f>
        <v>116415.25938033682</v>
      </c>
      <c r="E69" s="15">
        <f t="shared" si="41"/>
        <v>6.2860153018072434E-2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8"/>
      <c r="R69" s="12"/>
      <c r="S69" s="28"/>
    </row>
    <row r="70" spans="1:19" x14ac:dyDescent="0.2">
      <c r="A70" s="27"/>
      <c r="B70" s="12" t="s">
        <v>118</v>
      </c>
      <c r="C70" s="12">
        <f>+R44+R59</f>
        <v>5</v>
      </c>
      <c r="D70" s="12">
        <f>+S44+S59</f>
        <v>21776.639369214961</v>
      </c>
      <c r="E70" s="15">
        <f t="shared" si="41"/>
        <v>1.1758620736273038E-2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8"/>
      <c r="R70" s="12"/>
      <c r="S70" s="28"/>
    </row>
    <row r="71" spans="1:19" ht="17.25" thickBot="1" x14ac:dyDescent="0.25">
      <c r="A71" s="33"/>
      <c r="B71" s="34" t="s">
        <v>119</v>
      </c>
      <c r="C71" s="34">
        <f>R32+R45</f>
        <v>1</v>
      </c>
      <c r="D71" s="34">
        <f>S32+S45</f>
        <v>25647.552328308528</v>
      </c>
      <c r="E71" s="35">
        <f t="shared" si="41"/>
        <v>1.384877783615371E-2</v>
      </c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6"/>
      <c r="R71" s="34"/>
      <c r="S71" s="37"/>
    </row>
    <row r="72" spans="1:19" ht="17.25" thickTop="1" x14ac:dyDescent="0.2">
      <c r="E72" s="9"/>
    </row>
  </sheetData>
  <mergeCells count="38">
    <mergeCell ref="A24:S24"/>
    <mergeCell ref="A25:S25"/>
    <mergeCell ref="A61:E61"/>
    <mergeCell ref="A32:A44"/>
    <mergeCell ref="A30:Q30"/>
    <mergeCell ref="R30:S30"/>
    <mergeCell ref="J61:M61"/>
    <mergeCell ref="I27:J27"/>
    <mergeCell ref="L26:S29"/>
    <mergeCell ref="A1:S1"/>
    <mergeCell ref="A21:S21"/>
    <mergeCell ref="A19:B20"/>
    <mergeCell ref="A2:B3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4:K4"/>
    <mergeCell ref="M4:M17"/>
    <mergeCell ref="E28:F28"/>
    <mergeCell ref="C28:D28"/>
    <mergeCell ref="D26:E26"/>
    <mergeCell ref="D27:E27"/>
    <mergeCell ref="F27:G27"/>
    <mergeCell ref="N2:S20"/>
    <mergeCell ref="A18:M18"/>
    <mergeCell ref="L22:L23"/>
    <mergeCell ref="J22:K23"/>
    <mergeCell ref="A15:B15"/>
    <mergeCell ref="A16:B16"/>
    <mergeCell ref="A17:B17"/>
    <mergeCell ref="A22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K37" sqref="K37"/>
    </sheetView>
  </sheetViews>
  <sheetFormatPr defaultRowHeight="14.25" x14ac:dyDescent="0.2"/>
  <cols>
    <col min="1" max="1" width="28.125" customWidth="1"/>
    <col min="4" max="4" width="9" style="1"/>
    <col min="7" max="7" width="9" style="2"/>
    <col min="9" max="9" width="9" style="2"/>
  </cols>
  <sheetData>
    <row r="1" spans="1:9" x14ac:dyDescent="0.2">
      <c r="A1" s="73" t="s">
        <v>19</v>
      </c>
      <c r="B1" s="73"/>
      <c r="C1" s="73"/>
      <c r="D1" s="73"/>
      <c r="E1" s="73"/>
      <c r="F1" s="73"/>
      <c r="G1" s="73"/>
      <c r="H1" s="73"/>
      <c r="I1" s="73"/>
    </row>
    <row r="2" spans="1:9" x14ac:dyDescent="0.2">
      <c r="B2" t="s">
        <v>1</v>
      </c>
      <c r="C2" t="s">
        <v>0</v>
      </c>
      <c r="D2" s="1" t="s">
        <v>9</v>
      </c>
      <c r="E2" t="s">
        <v>2</v>
      </c>
      <c r="F2" t="s">
        <v>3</v>
      </c>
      <c r="G2" s="2" t="s">
        <v>12</v>
      </c>
      <c r="H2" t="s">
        <v>10</v>
      </c>
      <c r="I2" s="2" t="s">
        <v>11</v>
      </c>
    </row>
    <row r="3" spans="1:9" x14ac:dyDescent="0.2">
      <c r="A3" t="s">
        <v>5</v>
      </c>
      <c r="B3" s="3">
        <v>8690</v>
      </c>
      <c r="C3" s="3">
        <v>3375</v>
      </c>
      <c r="D3" s="1">
        <f>C3/153.442*1%</f>
        <v>0.21995281604775746</v>
      </c>
      <c r="E3">
        <v>0.75</v>
      </c>
      <c r="F3" s="3">
        <v>9390</v>
      </c>
      <c r="G3" s="4">
        <f>F3/E3/(1+D3)/B3</f>
        <v>1.1809772146587361</v>
      </c>
      <c r="H3" s="3">
        <f>10093+169</f>
        <v>10262</v>
      </c>
      <c r="I3" s="2">
        <f>H3/B3</f>
        <v>1.180897583429229</v>
      </c>
    </row>
    <row r="4" spans="1:9" x14ac:dyDescent="0.2">
      <c r="A4" t="s">
        <v>6</v>
      </c>
      <c r="B4" s="3">
        <v>8690</v>
      </c>
      <c r="C4" s="3">
        <v>3375</v>
      </c>
      <c r="D4" s="1">
        <f t="shared" ref="D4:D7" si="0">C4/153.442*1%</f>
        <v>0.21995281604775746</v>
      </c>
      <c r="E4">
        <v>0.75</v>
      </c>
      <c r="F4" s="3">
        <v>3335</v>
      </c>
      <c r="G4" s="4">
        <f t="shared" ref="G4:G15" si="1">F4/E4/(1+D4)/B4</f>
        <v>0.41944185419455648</v>
      </c>
      <c r="H4" s="3">
        <f>3576+70</f>
        <v>3646</v>
      </c>
      <c r="I4" s="2">
        <f t="shared" ref="I4:I7" si="2">H4/B4</f>
        <v>0.4195627157652474</v>
      </c>
    </row>
    <row r="5" spans="1:9" x14ac:dyDescent="0.2">
      <c r="A5" t="s">
        <v>4</v>
      </c>
      <c r="B5" s="3">
        <v>8690</v>
      </c>
      <c r="C5" s="3">
        <v>3375</v>
      </c>
      <c r="D5" s="1">
        <f t="shared" si="0"/>
        <v>0.21995281604775746</v>
      </c>
      <c r="E5">
        <v>0.75</v>
      </c>
      <c r="F5" s="3">
        <v>2302</v>
      </c>
      <c r="G5" s="4">
        <f t="shared" si="1"/>
        <v>0.28952178361495323</v>
      </c>
      <c r="H5" s="3">
        <v>2407</v>
      </c>
      <c r="I5" s="2">
        <f t="shared" si="2"/>
        <v>0.27698504027617954</v>
      </c>
    </row>
    <row r="6" spans="1:9" x14ac:dyDescent="0.2">
      <c r="A6" t="s">
        <v>8</v>
      </c>
      <c r="B6" s="3">
        <v>8690</v>
      </c>
      <c r="C6" s="3">
        <v>3375</v>
      </c>
      <c r="D6" s="1">
        <f t="shared" si="0"/>
        <v>0.21995281604775746</v>
      </c>
      <c r="E6">
        <v>0.75</v>
      </c>
      <c r="F6" s="3">
        <v>2708</v>
      </c>
      <c r="G6" s="4">
        <f t="shared" si="1"/>
        <v>0.34058427021255139</v>
      </c>
      <c r="H6" s="3">
        <v>2307</v>
      </c>
      <c r="I6" s="2">
        <f t="shared" si="2"/>
        <v>0.26547756041426929</v>
      </c>
    </row>
    <row r="7" spans="1:9" x14ac:dyDescent="0.2">
      <c r="A7" t="s">
        <v>7</v>
      </c>
      <c r="B7" s="3">
        <v>8690</v>
      </c>
      <c r="C7" s="3">
        <v>3375</v>
      </c>
      <c r="D7" s="1">
        <f t="shared" si="0"/>
        <v>0.21995281604775746</v>
      </c>
      <c r="E7">
        <v>0.75</v>
      </c>
      <c r="F7" s="3">
        <v>2487</v>
      </c>
      <c r="G7" s="4">
        <f t="shared" si="1"/>
        <v>0.3127891728281445</v>
      </c>
      <c r="H7" s="3">
        <f>2562+38</f>
        <v>2600</v>
      </c>
      <c r="I7" s="2">
        <f t="shared" si="2"/>
        <v>0.29919447640966629</v>
      </c>
    </row>
    <row r="8" spans="1:9" x14ac:dyDescent="0.2">
      <c r="A8" t="s">
        <v>13</v>
      </c>
      <c r="B8" s="3">
        <v>8690</v>
      </c>
      <c r="C8" s="3">
        <v>3375</v>
      </c>
      <c r="D8" s="1">
        <f>C8/153.442*1%</f>
        <v>0.21995281604775746</v>
      </c>
      <c r="E8">
        <v>0.75</v>
      </c>
      <c r="F8" s="3">
        <v>2728</v>
      </c>
      <c r="G8" s="4">
        <f t="shared" si="1"/>
        <v>0.34309966364100453</v>
      </c>
      <c r="H8" s="3">
        <v>2897</v>
      </c>
      <c r="I8" s="2">
        <f>H8/B8</f>
        <v>0.33337169159953972</v>
      </c>
    </row>
    <row r="9" spans="1:9" x14ac:dyDescent="0.2">
      <c r="A9" t="s">
        <v>14</v>
      </c>
      <c r="B9" s="3">
        <v>8690</v>
      </c>
      <c r="C9" s="3">
        <v>3375</v>
      </c>
      <c r="D9" s="1">
        <f>C9/153.442*1%</f>
        <v>0.21995281604775746</v>
      </c>
      <c r="E9">
        <v>0.75</v>
      </c>
      <c r="F9" s="3">
        <v>2649</v>
      </c>
      <c r="G9" s="4">
        <f t="shared" si="1"/>
        <v>0.33316385959861472</v>
      </c>
    </row>
    <row r="10" spans="1:9" x14ac:dyDescent="0.2">
      <c r="A10" t="s">
        <v>96</v>
      </c>
      <c r="B10" s="3">
        <v>8690</v>
      </c>
      <c r="C10" s="3">
        <v>3375</v>
      </c>
      <c r="D10" s="1">
        <f t="shared" ref="D10:D12" si="3">C10/153.442*1%</f>
        <v>0.21995281604775746</v>
      </c>
      <c r="E10">
        <v>0.75</v>
      </c>
      <c r="F10" s="3">
        <v>1557</v>
      </c>
      <c r="G10" s="4">
        <f t="shared" si="1"/>
        <v>0.19582337840507477</v>
      </c>
    </row>
    <row r="11" spans="1:9" x14ac:dyDescent="0.2">
      <c r="A11" t="s">
        <v>97</v>
      </c>
      <c r="B11" s="3">
        <v>8690</v>
      </c>
      <c r="C11" s="3">
        <v>3375</v>
      </c>
      <c r="D11" s="1">
        <f t="shared" si="3"/>
        <v>0.21995281604775746</v>
      </c>
      <c r="E11">
        <v>0.75</v>
      </c>
      <c r="F11" s="3">
        <v>1516</v>
      </c>
      <c r="G11" s="4">
        <f t="shared" si="1"/>
        <v>0.19066682187674591</v>
      </c>
    </row>
    <row r="12" spans="1:9" x14ac:dyDescent="0.2">
      <c r="A12" t="s">
        <v>98</v>
      </c>
      <c r="B12" s="3">
        <v>8690</v>
      </c>
      <c r="C12" s="3">
        <v>3375</v>
      </c>
      <c r="D12" s="1">
        <f t="shared" si="3"/>
        <v>0.21995281604775746</v>
      </c>
      <c r="E12">
        <v>0.75</v>
      </c>
      <c r="F12" s="3">
        <v>1725</v>
      </c>
      <c r="G12" s="4">
        <f t="shared" si="1"/>
        <v>0.21695268320408093</v>
      </c>
    </row>
    <row r="13" spans="1:9" x14ac:dyDescent="0.2">
      <c r="A13" t="s">
        <v>17</v>
      </c>
      <c r="B13" s="3">
        <v>8690</v>
      </c>
      <c r="C13" s="3">
        <v>3375</v>
      </c>
      <c r="D13" s="1">
        <f t="shared" ref="D13:D15" si="4">C13/153.442*1%</f>
        <v>0.21995281604775746</v>
      </c>
      <c r="E13">
        <v>0.75</v>
      </c>
      <c r="F13" s="3">
        <v>8486</v>
      </c>
      <c r="G13" s="4">
        <f t="shared" si="1"/>
        <v>1.0672814316926555</v>
      </c>
    </row>
    <row r="14" spans="1:9" x14ac:dyDescent="0.2">
      <c r="A14" t="s">
        <v>15</v>
      </c>
      <c r="B14" s="3">
        <v>8690</v>
      </c>
      <c r="C14" s="3">
        <v>3375</v>
      </c>
      <c r="D14" s="1">
        <f t="shared" si="4"/>
        <v>0.21995281604775746</v>
      </c>
      <c r="E14">
        <v>0.75</v>
      </c>
      <c r="F14" s="3">
        <v>8474</v>
      </c>
      <c r="G14" s="4">
        <f t="shared" si="1"/>
        <v>1.0657721956355837</v>
      </c>
    </row>
    <row r="15" spans="1:9" x14ac:dyDescent="0.2">
      <c r="A15" t="s">
        <v>16</v>
      </c>
      <c r="B15" s="3">
        <v>8690</v>
      </c>
      <c r="C15" s="3">
        <v>3375</v>
      </c>
      <c r="D15" s="1">
        <f t="shared" si="4"/>
        <v>0.21995281604775746</v>
      </c>
      <c r="E15">
        <v>0.75</v>
      </c>
      <c r="F15" s="3">
        <v>8480</v>
      </c>
      <c r="G15" s="4">
        <f t="shared" si="1"/>
        <v>1.0665268136641195</v>
      </c>
    </row>
    <row r="16" spans="1:9" x14ac:dyDescent="0.2">
      <c r="A16" s="73" t="s">
        <v>18</v>
      </c>
      <c r="B16" s="73"/>
      <c r="C16" s="73"/>
      <c r="D16" s="73"/>
      <c r="E16" s="73"/>
      <c r="F16" s="73"/>
      <c r="G16" s="73"/>
      <c r="H16" s="73"/>
      <c r="I16" s="73"/>
    </row>
    <row r="17" spans="1:9" x14ac:dyDescent="0.2">
      <c r="A17" t="s">
        <v>5</v>
      </c>
      <c r="B17" s="3">
        <v>6372</v>
      </c>
      <c r="C17" s="3">
        <v>1471</v>
      </c>
      <c r="D17" s="1">
        <f>C17/153.442*1%</f>
        <v>9.5866842194444801E-2</v>
      </c>
      <c r="E17">
        <v>0.75</v>
      </c>
      <c r="F17" s="3">
        <v>6224</v>
      </c>
      <c r="G17" s="4">
        <f>F17/E17/(1+D17)/B17</f>
        <v>1.1884331756914082</v>
      </c>
      <c r="H17" s="3">
        <f>169+7410</f>
        <v>7579</v>
      </c>
      <c r="I17" s="2">
        <f>H17/B17</f>
        <v>1.1894224733207783</v>
      </c>
    </row>
    <row r="18" spans="1:9" x14ac:dyDescent="0.2">
      <c r="A18" t="s">
        <v>6</v>
      </c>
      <c r="B18" s="3">
        <v>6372</v>
      </c>
      <c r="C18" s="3">
        <v>1471</v>
      </c>
      <c r="D18" s="1">
        <f t="shared" ref="D18:D21" si="5">C18/153.442*1%</f>
        <v>9.5866842194444801E-2</v>
      </c>
      <c r="E18">
        <v>0.75</v>
      </c>
      <c r="F18" s="3">
        <v>2212</v>
      </c>
      <c r="G18" s="4">
        <f t="shared" ref="G18:G21" si="6">F18/E18/(1+D18)/B18</f>
        <v>0.42236731758184365</v>
      </c>
      <c r="H18" s="3">
        <f>2622+70</f>
        <v>2692</v>
      </c>
      <c r="I18" s="2">
        <f t="shared" ref="I18:I21" si="7">H18/B18</f>
        <v>0.42247332077840555</v>
      </c>
    </row>
    <row r="19" spans="1:9" x14ac:dyDescent="0.2">
      <c r="A19" t="s">
        <v>4</v>
      </c>
      <c r="B19" s="3">
        <v>6372</v>
      </c>
      <c r="C19" s="3">
        <v>1471</v>
      </c>
      <c r="D19" s="1">
        <f t="shared" si="5"/>
        <v>9.5866842194444801E-2</v>
      </c>
      <c r="E19">
        <v>0.75</v>
      </c>
      <c r="F19" s="3">
        <v>1527</v>
      </c>
      <c r="G19" s="4">
        <f t="shared" si="6"/>
        <v>0.29157092854768324</v>
      </c>
      <c r="H19" s="3">
        <v>1778</v>
      </c>
      <c r="I19" s="2">
        <f t="shared" si="7"/>
        <v>0.27903327055869431</v>
      </c>
    </row>
    <row r="20" spans="1:9" x14ac:dyDescent="0.2">
      <c r="A20" t="s">
        <v>8</v>
      </c>
      <c r="B20" s="3">
        <v>6372</v>
      </c>
      <c r="C20" s="3">
        <v>1471</v>
      </c>
      <c r="D20" s="1">
        <f t="shared" si="5"/>
        <v>9.5866842194444801E-2</v>
      </c>
      <c r="E20">
        <v>0.75</v>
      </c>
      <c r="F20" s="3">
        <v>1790</v>
      </c>
      <c r="G20" s="4">
        <f t="shared" si="6"/>
        <v>0.34178910419145575</v>
      </c>
      <c r="H20" s="3">
        <f>1669+30</f>
        <v>1699</v>
      </c>
      <c r="I20" s="2">
        <f t="shared" si="7"/>
        <v>0.26663527934714376</v>
      </c>
    </row>
    <row r="21" spans="1:9" x14ac:dyDescent="0.2">
      <c r="A21" t="s">
        <v>7</v>
      </c>
      <c r="B21" s="3">
        <v>6372</v>
      </c>
      <c r="C21" s="3">
        <v>1471</v>
      </c>
      <c r="D21" s="1">
        <f t="shared" si="5"/>
        <v>9.5866842194444801E-2</v>
      </c>
      <c r="E21">
        <v>0.75</v>
      </c>
      <c r="F21" s="3">
        <v>1647</v>
      </c>
      <c r="G21" s="4">
        <f t="shared" si="6"/>
        <v>0.3144841645828646</v>
      </c>
      <c r="H21" s="3">
        <f>1878+38</f>
        <v>1916</v>
      </c>
      <c r="I21" s="2">
        <f t="shared" si="7"/>
        <v>0.30069052102950405</v>
      </c>
    </row>
    <row r="22" spans="1:9" x14ac:dyDescent="0.2">
      <c r="A22" s="73" t="s">
        <v>20</v>
      </c>
      <c r="B22" s="73"/>
      <c r="C22" s="73"/>
      <c r="D22" s="73"/>
      <c r="E22" s="73"/>
      <c r="F22" s="73"/>
      <c r="G22" s="73"/>
      <c r="H22" s="73"/>
      <c r="I22" s="73"/>
    </row>
    <row r="23" spans="1:9" x14ac:dyDescent="0.2">
      <c r="A23" s="7"/>
      <c r="B23" s="7" t="s">
        <v>23</v>
      </c>
      <c r="C23" s="7" t="s">
        <v>24</v>
      </c>
      <c r="D23" s="7"/>
      <c r="E23" s="7"/>
      <c r="F23" s="7"/>
      <c r="G23" s="7"/>
      <c r="H23" s="7"/>
      <c r="I23" s="7"/>
    </row>
    <row r="24" spans="1:9" x14ac:dyDescent="0.2">
      <c r="A24" t="s">
        <v>21</v>
      </c>
      <c r="B24" s="6">
        <v>3335</v>
      </c>
      <c r="C24" s="2">
        <f>(B24-$B$24)/$B$24</f>
        <v>0</v>
      </c>
    </row>
    <row r="25" spans="1:9" x14ac:dyDescent="0.2">
      <c r="A25" t="s">
        <v>22</v>
      </c>
      <c r="B25" s="5">
        <v>5338</v>
      </c>
      <c r="C25" s="2">
        <f>(B25-$B$24)/$B$24</f>
        <v>0.60059970014992503</v>
      </c>
    </row>
    <row r="26" spans="1:9" x14ac:dyDescent="0.2">
      <c r="A26" t="s">
        <v>25</v>
      </c>
      <c r="B26">
        <v>3667</v>
      </c>
      <c r="C26" s="2">
        <f>(B26-$B$24)/$B$24</f>
        <v>9.9550224887556216E-2</v>
      </c>
    </row>
    <row r="27" spans="1:9" x14ac:dyDescent="0.2">
      <c r="A27" t="s">
        <v>26</v>
      </c>
      <c r="B27">
        <v>7336</v>
      </c>
      <c r="C27" s="2">
        <f>(B27-$B$24)/$B$24</f>
        <v>1.1997001499250375</v>
      </c>
    </row>
    <row r="28" spans="1:9" x14ac:dyDescent="0.2">
      <c r="A28" t="s">
        <v>73</v>
      </c>
      <c r="B28" s="72" t="s">
        <v>74</v>
      </c>
      <c r="C28" s="72"/>
      <c r="D28" s="72"/>
    </row>
    <row r="29" spans="1:9" x14ac:dyDescent="0.2">
      <c r="A29" t="s">
        <v>76</v>
      </c>
      <c r="B29" s="72" t="s">
        <v>75</v>
      </c>
      <c r="C29" s="72"/>
      <c r="D29" s="72"/>
    </row>
    <row r="30" spans="1:9" x14ac:dyDescent="0.2">
      <c r="A30" s="73" t="s">
        <v>27</v>
      </c>
      <c r="B30" s="73"/>
      <c r="C30" s="73"/>
      <c r="D30" s="73"/>
      <c r="E30" s="73"/>
      <c r="F30" s="73"/>
      <c r="G30" s="73"/>
      <c r="H30" s="73"/>
      <c r="I30" s="73"/>
    </row>
    <row r="31" spans="1:9" x14ac:dyDescent="0.2">
      <c r="A31" s="7"/>
      <c r="B31" s="7" t="s">
        <v>23</v>
      </c>
      <c r="C31" s="7" t="s">
        <v>24</v>
      </c>
    </row>
    <row r="32" spans="1:9" x14ac:dyDescent="0.2">
      <c r="A32" t="s">
        <v>21</v>
      </c>
      <c r="B32" s="6">
        <v>3335</v>
      </c>
      <c r="C32" s="2">
        <f>(B32-$B$24)/$B$24</f>
        <v>0</v>
      </c>
    </row>
    <row r="33" spans="1:9" x14ac:dyDescent="0.2">
      <c r="A33" t="s">
        <v>28</v>
      </c>
      <c r="B33" s="6">
        <v>3600</v>
      </c>
      <c r="C33" s="2">
        <f>(B33-$B$24)/$B$24</f>
        <v>7.9460269865067462E-2</v>
      </c>
    </row>
    <row r="34" spans="1:9" x14ac:dyDescent="0.2">
      <c r="A34" t="s">
        <v>29</v>
      </c>
      <c r="B34" s="6">
        <v>3869</v>
      </c>
      <c r="C34" s="2">
        <f>(B34-$B$24)/$B$24</f>
        <v>0.160119940029985</v>
      </c>
    </row>
    <row r="35" spans="1:9" x14ac:dyDescent="0.2">
      <c r="A35" t="s">
        <v>30</v>
      </c>
      <c r="B35" s="6">
        <v>4136</v>
      </c>
      <c r="C35" s="2">
        <f>(B35-$B$24)/$B$24</f>
        <v>0.24017991004497752</v>
      </c>
    </row>
    <row r="36" spans="1:9" x14ac:dyDescent="0.2">
      <c r="A36" s="72" t="s">
        <v>135</v>
      </c>
      <c r="B36" s="72"/>
      <c r="C36" s="72"/>
      <c r="D36" s="72"/>
      <c r="E36" s="72"/>
      <c r="F36" s="72"/>
      <c r="G36" s="72"/>
      <c r="H36" s="72"/>
      <c r="I36" s="72"/>
    </row>
    <row r="37" spans="1:9" x14ac:dyDescent="0.2">
      <c r="A37" s="19"/>
      <c r="B37" s="19" t="s">
        <v>137</v>
      </c>
      <c r="C37" s="19" t="s">
        <v>138</v>
      </c>
      <c r="D37" s="19" t="s">
        <v>139</v>
      </c>
      <c r="E37" s="19" t="s">
        <v>140</v>
      </c>
      <c r="F37" s="19"/>
      <c r="G37" s="19"/>
      <c r="H37" s="19"/>
      <c r="I37" s="19"/>
    </row>
    <row r="38" spans="1:9" x14ac:dyDescent="0.2">
      <c r="A38" t="s">
        <v>136</v>
      </c>
      <c r="B38" s="20" t="s">
        <v>141</v>
      </c>
      <c r="C38" s="21" t="s">
        <v>143</v>
      </c>
      <c r="D38" s="21" t="s">
        <v>145</v>
      </c>
      <c r="E38" s="21"/>
    </row>
    <row r="39" spans="1:9" x14ac:dyDescent="0.2">
      <c r="A39" t="s">
        <v>76</v>
      </c>
      <c r="B39" s="20" t="s">
        <v>142</v>
      </c>
      <c r="C39" s="21" t="s">
        <v>144</v>
      </c>
      <c r="D39" s="21"/>
      <c r="E39" s="21" t="s">
        <v>148</v>
      </c>
    </row>
  </sheetData>
  <mergeCells count="7">
    <mergeCell ref="A36:I36"/>
    <mergeCell ref="A16:I16"/>
    <mergeCell ref="A1:I1"/>
    <mergeCell ref="A22:I22"/>
    <mergeCell ref="A30:I30"/>
    <mergeCell ref="B28:D28"/>
    <mergeCell ref="B29:D2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dps计算器</vt:lpstr>
      <vt:lpstr>数据支持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cp:lastPrinted>2019-01-17T12:33:33Z</cp:lastPrinted>
  <dcterms:created xsi:type="dcterms:W3CDTF">2019-01-17T12:32:48Z</dcterms:created>
  <dcterms:modified xsi:type="dcterms:W3CDTF">2019-01-19T07:52:23Z</dcterms:modified>
</cp:coreProperties>
</file>