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defaultThemeVersion="124226"/>
  <mc:AlternateContent xmlns:mc="http://schemas.openxmlformats.org/markup-compatibility/2006">
    <mc:Choice Requires="x15">
      <x15ac:absPath xmlns:x15ac="http://schemas.microsoft.com/office/spreadsheetml/2010/11/ac" url="C:\xampp\htdocs\"/>
    </mc:Choice>
  </mc:AlternateContent>
  <xr:revisionPtr revIDLastSave="0" documentId="13_ncr:1_{4BAB8BDB-EB45-41BF-A8C5-FCB1F3B144CC}" xr6:coauthVersionLast="28" xr6:coauthVersionMax="28" xr10:uidLastSave="{00000000-0000-0000-0000-000000000000}"/>
  <bookViews>
    <workbookView xWindow="0" yWindow="0" windowWidth="21570" windowHeight="7965" tabRatio="633" activeTab="7" xr2:uid="{00000000-000D-0000-FFFF-FFFF00000000}"/>
  </bookViews>
  <sheets>
    <sheet name="Career Comparison" sheetId="1" r:id="rId1"/>
    <sheet name="Government Figures" sheetId="6" r:id="rId2"/>
    <sheet name="Cost of Living" sheetId="9" r:id="rId3"/>
    <sheet name="College Schedule" sheetId="7" r:id="rId4"/>
    <sheet name="Career Schedule" sheetId="3" r:id="rId5"/>
    <sheet name="T1 Default Settings" sheetId="10" r:id="rId6"/>
    <sheet name="T2 Examples" sheetId="12" r:id="rId7"/>
    <sheet name="InsertedValues" sheetId="14" r:id="rId8"/>
  </sheets>
  <externalReferences>
    <externalReference r:id="rId9"/>
  </externalReferences>
  <definedNames>
    <definedName name="_xlnm.Print_Area" localSheetId="0">'Career Comparison'!$A$2:$H$35</definedName>
    <definedName name="_xlnm.Print_Area" localSheetId="4">'Career Schedule'!$A$1:$Q$495</definedName>
    <definedName name="_xlnm.Print_Area" localSheetId="3">'College Schedule'!$A$1:$S$40</definedName>
    <definedName name="_xlnm.Print_Area" localSheetId="2">'Cost of Living'!$A$1:$G$17</definedName>
    <definedName name="_xlnm.Print_Area" localSheetId="1">'Government Figures'!$A$1:$J$34</definedName>
  </definedNames>
  <calcPr calcId="171027"/>
</workbook>
</file>

<file path=xl/calcChain.xml><?xml version="1.0" encoding="utf-8"?>
<calcChain xmlns="http://schemas.openxmlformats.org/spreadsheetml/2006/main">
  <c r="B13" i="14" l="1"/>
  <c r="F20" i="1"/>
  <c r="E20" i="1"/>
  <c r="D20" i="1"/>
  <c r="C20" i="1"/>
  <c r="F15" i="1"/>
  <c r="C15" i="1"/>
  <c r="C13" i="1"/>
  <c r="D9" i="1"/>
  <c r="B9" i="1"/>
  <c r="D13" i="10" l="1"/>
  <c r="D11" i="10"/>
  <c r="I24" i="6"/>
  <c r="I25" i="6" s="1"/>
  <c r="H24" i="6"/>
  <c r="H27" i="6" s="1"/>
  <c r="E28" i="12"/>
  <c r="E23" i="12"/>
  <c r="E38" i="12"/>
  <c r="G38" i="12"/>
  <c r="F38" i="12"/>
  <c r="F16" i="7"/>
  <c r="G9" i="3"/>
  <c r="G23" i="12"/>
  <c r="F23" i="12"/>
  <c r="E13" i="12"/>
  <c r="E18" i="12"/>
  <c r="D13" i="9"/>
  <c r="H16" i="7"/>
  <c r="X8" i="7"/>
  <c r="X9" i="7"/>
  <c r="X10" i="7"/>
  <c r="X11" i="7"/>
  <c r="X7" i="7"/>
  <c r="E8" i="7"/>
  <c r="C15" i="7"/>
  <c r="AA15" i="7" s="1"/>
  <c r="Y15" i="7"/>
  <c r="G28" i="12"/>
  <c r="F28" i="12"/>
  <c r="G18" i="12"/>
  <c r="F18" i="12"/>
  <c r="B16" i="7"/>
  <c r="C16" i="7"/>
  <c r="J16" i="7" s="1"/>
  <c r="I16" i="7"/>
  <c r="B17" i="7"/>
  <c r="B18" i="7" s="1"/>
  <c r="B16" i="3"/>
  <c r="B17" i="3" s="1"/>
  <c r="B18" i="3" s="1"/>
  <c r="B19" i="3" s="1"/>
  <c r="B20" i="3" s="1"/>
  <c r="B21" i="3" s="1"/>
  <c r="B22" i="3" s="1"/>
  <c r="B23" i="3" s="1"/>
  <c r="B24" i="3" s="1"/>
  <c r="B25" i="3" s="1"/>
  <c r="B26" i="3" s="1"/>
  <c r="B27" i="3" s="1"/>
  <c r="B28" i="3" s="1"/>
  <c r="B29" i="3" s="1"/>
  <c r="B30" i="3" s="1"/>
  <c r="Z15" i="7"/>
  <c r="Z16" i="7"/>
  <c r="Y16" i="7"/>
  <c r="X16" i="7"/>
  <c r="I26" i="6"/>
  <c r="AA16" i="7"/>
  <c r="B31" i="3"/>
  <c r="B32" i="3" s="1"/>
  <c r="B33" i="3" s="1"/>
  <c r="B34" i="3" s="1"/>
  <c r="B35" i="3" s="1"/>
  <c r="B36" i="3" s="1"/>
  <c r="B37" i="3" s="1"/>
  <c r="B38" i="3" s="1"/>
  <c r="B39" i="3" s="1"/>
  <c r="B40" i="3" s="1"/>
  <c r="B41" i="3" s="1"/>
  <c r="B42" i="3" s="1"/>
  <c r="B43" i="3" s="1"/>
  <c r="B44" i="3" s="1"/>
  <c r="B45" i="3" s="1"/>
  <c r="B46" i="3" s="1"/>
  <c r="B47" i="3"/>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142" i="3" s="1"/>
  <c r="B143" i="3" s="1"/>
  <c r="B144" i="3" s="1"/>
  <c r="B145" i="3" s="1"/>
  <c r="B146" i="3" s="1"/>
  <c r="B147" i="3" s="1"/>
  <c r="B148" i="3" s="1"/>
  <c r="B149" i="3" s="1"/>
  <c r="B150" i="3" s="1"/>
  <c r="B151" i="3" s="1"/>
  <c r="B152" i="3" s="1"/>
  <c r="B153" i="3" s="1"/>
  <c r="B154" i="3" s="1"/>
  <c r="B155" i="3" s="1"/>
  <c r="B156" i="3" s="1"/>
  <c r="B157" i="3" s="1"/>
  <c r="B158" i="3" s="1"/>
  <c r="B159" i="3" s="1"/>
  <c r="B160" i="3" s="1"/>
  <c r="B161" i="3" s="1"/>
  <c r="B162" i="3" s="1"/>
  <c r="B163" i="3" s="1"/>
  <c r="B164" i="3" s="1"/>
  <c r="B165" i="3" s="1"/>
  <c r="B166" i="3" s="1"/>
  <c r="B167" i="3" s="1"/>
  <c r="B168" i="3" s="1"/>
  <c r="B169" i="3" s="1"/>
  <c r="B170" i="3" s="1"/>
  <c r="B171" i="3" s="1"/>
  <c r="B172" i="3" s="1"/>
  <c r="B173" i="3" s="1"/>
  <c r="B174" i="3" s="1"/>
  <c r="B175" i="3" s="1"/>
  <c r="B176" i="3" s="1"/>
  <c r="B177" i="3" s="1"/>
  <c r="B178" i="3" s="1"/>
  <c r="B179" i="3" s="1"/>
  <c r="B180" i="3" s="1"/>
  <c r="B181" i="3" s="1"/>
  <c r="B182" i="3" s="1"/>
  <c r="B183" i="3" s="1"/>
  <c r="B184" i="3" s="1"/>
  <c r="B185" i="3" s="1"/>
  <c r="B186" i="3" s="1"/>
  <c r="B187" i="3" s="1"/>
  <c r="B188" i="3" s="1"/>
  <c r="B189" i="3" s="1"/>
  <c r="B190" i="3" s="1"/>
  <c r="B191" i="3" s="1"/>
  <c r="B192" i="3" s="1"/>
  <c r="B193" i="3" s="1"/>
  <c r="B194" i="3" s="1"/>
  <c r="B195" i="3" s="1"/>
  <c r="B196" i="3" s="1"/>
  <c r="B197" i="3" s="1"/>
  <c r="B198" i="3" s="1"/>
  <c r="B199" i="3" s="1"/>
  <c r="B200" i="3" s="1"/>
  <c r="B201" i="3" s="1"/>
  <c r="B202" i="3" s="1"/>
  <c r="B203" i="3" s="1"/>
  <c r="B204" i="3" s="1"/>
  <c r="B205" i="3" s="1"/>
  <c r="B206" i="3" s="1"/>
  <c r="B207" i="3" s="1"/>
  <c r="B208" i="3" s="1"/>
  <c r="B209" i="3" s="1"/>
  <c r="B210" i="3" s="1"/>
  <c r="B211" i="3" s="1"/>
  <c r="B212" i="3" s="1"/>
  <c r="B213" i="3" s="1"/>
  <c r="B214" i="3" s="1"/>
  <c r="B215" i="3" s="1"/>
  <c r="B216" i="3" s="1"/>
  <c r="B217" i="3" s="1"/>
  <c r="B218" i="3" s="1"/>
  <c r="B219" i="3" s="1"/>
  <c r="B220" i="3" s="1"/>
  <c r="B221" i="3" s="1"/>
  <c r="B222" i="3" s="1"/>
  <c r="B223" i="3" s="1"/>
  <c r="B224" i="3" s="1"/>
  <c r="B225" i="3" s="1"/>
  <c r="B226" i="3" s="1"/>
  <c r="B227" i="3" s="1"/>
  <c r="B228" i="3" s="1"/>
  <c r="B229" i="3" s="1"/>
  <c r="B230" i="3" s="1"/>
  <c r="B231" i="3" s="1"/>
  <c r="B232" i="3" s="1"/>
  <c r="B233" i="3" s="1"/>
  <c r="B234" i="3" s="1"/>
  <c r="B235" i="3" s="1"/>
  <c r="B236" i="3" s="1"/>
  <c r="B237" i="3" s="1"/>
  <c r="B238" i="3" s="1"/>
  <c r="B239" i="3" s="1"/>
  <c r="B240" i="3" s="1"/>
  <c r="B241" i="3" s="1"/>
  <c r="B242" i="3" s="1"/>
  <c r="B243" i="3" s="1"/>
  <c r="B244" i="3" s="1"/>
  <c r="B245" i="3" s="1"/>
  <c r="B246" i="3" s="1"/>
  <c r="B247" i="3" s="1"/>
  <c r="B248" i="3" s="1"/>
  <c r="B249" i="3" s="1"/>
  <c r="B250" i="3" s="1"/>
  <c r="B251" i="3" s="1"/>
  <c r="B252" i="3" s="1"/>
  <c r="B253" i="3" s="1"/>
  <c r="B254" i="3" s="1"/>
  <c r="B255" i="3" s="1"/>
  <c r="B256" i="3" s="1"/>
  <c r="B257" i="3" s="1"/>
  <c r="B258" i="3" s="1"/>
  <c r="B259" i="3" s="1"/>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1" i="3" s="1"/>
  <c r="B292" i="3" s="1"/>
  <c r="B293" i="3" s="1"/>
  <c r="B294" i="3" s="1"/>
  <c r="B295" i="3" s="1"/>
  <c r="B296" i="3" s="1"/>
  <c r="B297" i="3" s="1"/>
  <c r="B298" i="3" s="1"/>
  <c r="B299" i="3" s="1"/>
  <c r="B300" i="3" s="1"/>
  <c r="B301" i="3" s="1"/>
  <c r="B302" i="3" s="1"/>
  <c r="B303" i="3" s="1"/>
  <c r="B304" i="3" s="1"/>
  <c r="B305" i="3" s="1"/>
  <c r="B306" i="3" s="1"/>
  <c r="B307" i="3" s="1"/>
  <c r="B308" i="3" s="1"/>
  <c r="B309" i="3" s="1"/>
  <c r="B310" i="3" s="1"/>
  <c r="B311" i="3" s="1"/>
  <c r="B312" i="3" s="1"/>
  <c r="B313" i="3" s="1"/>
  <c r="B314" i="3" s="1"/>
  <c r="B315" i="3" s="1"/>
  <c r="B316" i="3" s="1"/>
  <c r="B317"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54" i="3" s="1"/>
  <c r="B355" i="3" s="1"/>
  <c r="B356" i="3" s="1"/>
  <c r="B357" i="3" s="1"/>
  <c r="B358" i="3" s="1"/>
  <c r="B359" i="3" s="1"/>
  <c r="B360" i="3" s="1"/>
  <c r="B361" i="3" s="1"/>
  <c r="B362" i="3" s="1"/>
  <c r="B363" i="3" s="1"/>
  <c r="B364" i="3" s="1"/>
  <c r="B365" i="3" s="1"/>
  <c r="B366" i="3" s="1"/>
  <c r="B367" i="3" s="1"/>
  <c r="B368" i="3" s="1"/>
  <c r="B369" i="3" s="1"/>
  <c r="B370" i="3" s="1"/>
  <c r="B371" i="3" s="1"/>
  <c r="B372" i="3" s="1"/>
  <c r="B373" i="3" s="1"/>
  <c r="B374" i="3" s="1"/>
  <c r="B375" i="3" s="1"/>
  <c r="B376" i="3" s="1"/>
  <c r="B377" i="3" s="1"/>
  <c r="B378" i="3" s="1"/>
  <c r="B379" i="3" s="1"/>
  <c r="B380" i="3" s="1"/>
  <c r="B381" i="3" s="1"/>
  <c r="B382" i="3" s="1"/>
  <c r="B383" i="3" s="1"/>
  <c r="B384" i="3" s="1"/>
  <c r="B385" i="3" s="1"/>
  <c r="B386" i="3" s="1"/>
  <c r="B387" i="3" s="1"/>
  <c r="B388" i="3" s="1"/>
  <c r="B389" i="3" s="1"/>
  <c r="B390" i="3" s="1"/>
  <c r="B391" i="3" s="1"/>
  <c r="B392" i="3" s="1"/>
  <c r="B393" i="3" s="1"/>
  <c r="B394" i="3" s="1"/>
  <c r="B395" i="3" s="1"/>
  <c r="B396" i="3" s="1"/>
  <c r="B397" i="3" s="1"/>
  <c r="B398" i="3" s="1"/>
  <c r="B399" i="3" s="1"/>
  <c r="B400" i="3" s="1"/>
  <c r="B401" i="3" s="1"/>
  <c r="B402" i="3" s="1"/>
  <c r="B403" i="3" s="1"/>
  <c r="B404" i="3" s="1"/>
  <c r="B405" i="3" s="1"/>
  <c r="B406" i="3" s="1"/>
  <c r="B407" i="3" s="1"/>
  <c r="B408" i="3" s="1"/>
  <c r="B409" i="3" s="1"/>
  <c r="B410" i="3" s="1"/>
  <c r="B411" i="3" s="1"/>
  <c r="B412" i="3" s="1"/>
  <c r="B413" i="3" s="1"/>
  <c r="B414" i="3" s="1"/>
  <c r="B415" i="3" s="1"/>
  <c r="B416" i="3" s="1"/>
  <c r="B417" i="3" s="1"/>
  <c r="B418" i="3" s="1"/>
  <c r="B419" i="3" s="1"/>
  <c r="B420" i="3" s="1"/>
  <c r="B421" i="3" s="1"/>
  <c r="B422" i="3" s="1"/>
  <c r="B423" i="3" s="1"/>
  <c r="B424" i="3" s="1"/>
  <c r="B425" i="3" s="1"/>
  <c r="B426" i="3" s="1"/>
  <c r="B427" i="3" s="1"/>
  <c r="B428" i="3" s="1"/>
  <c r="B429" i="3" s="1"/>
  <c r="B430" i="3" s="1"/>
  <c r="B431" i="3" s="1"/>
  <c r="B432" i="3" s="1"/>
  <c r="B433" i="3" s="1"/>
  <c r="B434" i="3" s="1"/>
  <c r="B435" i="3" s="1"/>
  <c r="B436" i="3" s="1"/>
  <c r="B437" i="3" s="1"/>
  <c r="B438" i="3" s="1"/>
  <c r="B439" i="3" s="1"/>
  <c r="B440" i="3" s="1"/>
  <c r="B441" i="3" s="1"/>
  <c r="B442" i="3" s="1"/>
  <c r="B443" i="3" s="1"/>
  <c r="B444" i="3" s="1"/>
  <c r="B445" i="3" s="1"/>
  <c r="B446" i="3" s="1"/>
  <c r="B447" i="3" s="1"/>
  <c r="B448" i="3" s="1"/>
  <c r="B449" i="3" s="1"/>
  <c r="B450" i="3" s="1"/>
  <c r="B451" i="3" s="1"/>
  <c r="B452" i="3" s="1"/>
  <c r="B453" i="3" s="1"/>
  <c r="B454" i="3" s="1"/>
  <c r="B455" i="3" s="1"/>
  <c r="B456" i="3" s="1"/>
  <c r="B457" i="3" s="1"/>
  <c r="B458" i="3" s="1"/>
  <c r="B459" i="3" s="1"/>
  <c r="B460" i="3" s="1"/>
  <c r="B461" i="3" s="1"/>
  <c r="B462" i="3" s="1"/>
  <c r="B463" i="3" s="1"/>
  <c r="B464" i="3" s="1"/>
  <c r="B465" i="3" s="1"/>
  <c r="B466" i="3" s="1"/>
  <c r="B467" i="3" s="1"/>
  <c r="B468" i="3" s="1"/>
  <c r="B469" i="3" s="1"/>
  <c r="B470" i="3" s="1"/>
  <c r="B471" i="3" s="1"/>
  <c r="B472" i="3" s="1"/>
  <c r="B473" i="3" s="1"/>
  <c r="B474" i="3" s="1"/>
  <c r="B475" i="3" s="1"/>
  <c r="B476" i="3" s="1"/>
  <c r="B477" i="3" s="1"/>
  <c r="B478" i="3" s="1"/>
  <c r="B479" i="3" s="1"/>
  <c r="B480" i="3" s="1"/>
  <c r="B481" i="3" s="1"/>
  <c r="B482" i="3" s="1"/>
  <c r="B483" i="3" s="1"/>
  <c r="B484" i="3" s="1"/>
  <c r="B485" i="3" s="1"/>
  <c r="B486" i="3" s="1"/>
  <c r="B487" i="3" s="1"/>
  <c r="B488" i="3" s="1"/>
  <c r="B489" i="3" s="1"/>
  <c r="B490" i="3" s="1"/>
  <c r="B491" i="3" s="1"/>
  <c r="B492" i="3" s="1"/>
  <c r="B493" i="3" s="1"/>
  <c r="B494" i="3" s="1"/>
  <c r="B495" i="3" s="1"/>
  <c r="B496" i="3"/>
  <c r="B497" i="3" s="1"/>
  <c r="B498" i="3" s="1"/>
  <c r="B499" i="3" s="1"/>
  <c r="B500" i="3" s="1"/>
  <c r="B501" i="3" s="1"/>
  <c r="B502" i="3" s="1"/>
  <c r="B503" i="3" s="1"/>
  <c r="B504" i="3" s="1"/>
  <c r="B505" i="3" s="1"/>
  <c r="B506" i="3" s="1"/>
  <c r="B507" i="3" s="1"/>
  <c r="B508" i="3"/>
  <c r="B509" i="3" s="1"/>
  <c r="B510" i="3" s="1"/>
  <c r="B511" i="3" s="1"/>
  <c r="B512" i="3" s="1"/>
  <c r="B513" i="3" s="1"/>
  <c r="B514" i="3" s="1"/>
  <c r="B515" i="3" s="1"/>
  <c r="B516" i="3" s="1"/>
  <c r="B517" i="3" s="1"/>
  <c r="B518" i="3" s="1"/>
  <c r="B519" i="3" s="1"/>
  <c r="B520" i="3" s="1"/>
  <c r="B521" i="3" s="1"/>
  <c r="B522" i="3" s="1"/>
  <c r="B523" i="3" s="1"/>
  <c r="B524" i="3"/>
  <c r="B525" i="3" s="1"/>
  <c r="B526" i="3" s="1"/>
  <c r="B527" i="3" s="1"/>
  <c r="B528" i="3" s="1"/>
  <c r="B529" i="3" s="1"/>
  <c r="B530" i="3" s="1"/>
  <c r="B531" i="3" s="1"/>
  <c r="B532" i="3" s="1"/>
  <c r="B533" i="3" s="1"/>
  <c r="B534" i="3" s="1"/>
  <c r="B535" i="3" s="1"/>
  <c r="B536" i="3" s="1"/>
  <c r="B537" i="3" s="1"/>
  <c r="B538" i="3" s="1"/>
  <c r="B539" i="3" s="1"/>
  <c r="B540" i="3" s="1"/>
  <c r="B541" i="3" s="1"/>
  <c r="B542" i="3" s="1"/>
  <c r="B543" i="3" s="1"/>
  <c r="B544" i="3" s="1"/>
  <c r="B545" i="3" s="1"/>
  <c r="B546" i="3" s="1"/>
  <c r="B547" i="3" s="1"/>
  <c r="B548" i="3" s="1"/>
  <c r="B549" i="3" s="1"/>
  <c r="B550" i="3" s="1"/>
  <c r="B551" i="3" s="1"/>
  <c r="B552" i="3" s="1"/>
  <c r="B553" i="3" s="1"/>
  <c r="B554" i="3" s="1"/>
  <c r="B555" i="3" s="1"/>
  <c r="B556" i="3" s="1"/>
  <c r="B557" i="3" s="1"/>
  <c r="B558" i="3" s="1"/>
  <c r="B559" i="3" s="1"/>
  <c r="B560" i="3" s="1"/>
  <c r="B561" i="3" s="1"/>
  <c r="B562" i="3" s="1"/>
  <c r="B563" i="3" s="1"/>
  <c r="B564" i="3" s="1"/>
  <c r="B565" i="3" s="1"/>
  <c r="B566" i="3" s="1"/>
  <c r="B567" i="3" s="1"/>
  <c r="B568" i="3" s="1"/>
  <c r="B569" i="3" s="1"/>
  <c r="B570" i="3" s="1"/>
  <c r="B571" i="3" s="1"/>
  <c r="B572" i="3" s="1"/>
  <c r="B573" i="3" s="1"/>
  <c r="B574" i="3" s="1"/>
  <c r="B575" i="3" s="1"/>
  <c r="B576" i="3" s="1"/>
  <c r="B577" i="3" s="1"/>
  <c r="B578" i="3" s="1"/>
  <c r="B579" i="3" s="1"/>
  <c r="B580" i="3" s="1"/>
  <c r="B581" i="3" s="1"/>
  <c r="B582" i="3" s="1"/>
  <c r="B583" i="3" s="1"/>
  <c r="B584" i="3" s="1"/>
  <c r="B585" i="3" s="1"/>
  <c r="B586" i="3" s="1"/>
  <c r="B587" i="3" s="1"/>
  <c r="B588" i="3" s="1"/>
  <c r="B589" i="3" s="1"/>
  <c r="B590" i="3" s="1"/>
  <c r="B591" i="3" s="1"/>
  <c r="B592" i="3" s="1"/>
  <c r="B593" i="3" s="1"/>
  <c r="B594" i="3" s="1"/>
  <c r="B595" i="3" s="1"/>
  <c r="B596" i="3" s="1"/>
  <c r="B597" i="3" s="1"/>
  <c r="B598" i="3" s="1"/>
  <c r="B599" i="3" s="1"/>
  <c r="B600" i="3" s="1"/>
  <c r="B601" i="3" s="1"/>
  <c r="B602" i="3" s="1"/>
  <c r="B603" i="3" s="1"/>
  <c r="B604" i="3" s="1"/>
  <c r="B605" i="3" s="1"/>
  <c r="B606" i="3" s="1"/>
  <c r="B607" i="3" s="1"/>
  <c r="B608" i="3" s="1"/>
  <c r="B609" i="3" s="1"/>
  <c r="B610" i="3" s="1"/>
  <c r="B611" i="3" s="1"/>
  <c r="B612" i="3" s="1"/>
  <c r="B613" i="3" s="1"/>
  <c r="B614" i="3" s="1"/>
  <c r="B615" i="3" s="1"/>
  <c r="B616" i="3" s="1"/>
  <c r="B617" i="3" s="1"/>
  <c r="B618" i="3" s="1"/>
  <c r="B619" i="3" s="1"/>
  <c r="B620" i="3" s="1"/>
  <c r="B621" i="3" s="1"/>
  <c r="B622" i="3" s="1"/>
  <c r="B623" i="3" s="1"/>
  <c r="B624" i="3" s="1"/>
  <c r="B625" i="3" s="1"/>
  <c r="B626" i="3" s="1"/>
  <c r="B627" i="3" s="1"/>
  <c r="B628" i="3" s="1"/>
  <c r="B629" i="3" s="1"/>
  <c r="B630" i="3" s="1"/>
  <c r="B631" i="3" s="1"/>
  <c r="B632" i="3" s="1"/>
  <c r="B633" i="3" s="1"/>
  <c r="B634" i="3" s="1"/>
  <c r="B635" i="3" s="1"/>
  <c r="B636" i="3" s="1"/>
  <c r="B637" i="3" s="1"/>
  <c r="B638" i="3" s="1"/>
  <c r="B639" i="3" s="1"/>
  <c r="B640" i="3" s="1"/>
  <c r="B641" i="3" s="1"/>
  <c r="B642" i="3" s="1"/>
  <c r="B643" i="3" s="1"/>
  <c r="B644" i="3" s="1"/>
  <c r="B645" i="3" s="1"/>
  <c r="B646" i="3" s="1"/>
  <c r="B647" i="3" s="1"/>
  <c r="B648" i="3" s="1"/>
  <c r="B649" i="3" s="1"/>
  <c r="B650" i="3" s="1"/>
  <c r="B651" i="3" s="1"/>
  <c r="B652" i="3" s="1"/>
  <c r="B653" i="3" s="1"/>
  <c r="B654" i="3" s="1"/>
  <c r="B655" i="3" s="1"/>
  <c r="B656" i="3" s="1"/>
  <c r="B657" i="3" s="1"/>
  <c r="B658" i="3" s="1"/>
  <c r="B659" i="3" s="1"/>
  <c r="B660" i="3" s="1"/>
  <c r="B661" i="3" s="1"/>
  <c r="B662" i="3" s="1"/>
  <c r="B663" i="3" s="1"/>
  <c r="B664" i="3" s="1"/>
  <c r="B665" i="3" s="1"/>
  <c r="B666" i="3" s="1"/>
  <c r="B667" i="3" s="1"/>
  <c r="B668" i="3" s="1"/>
  <c r="B669" i="3" s="1"/>
  <c r="B670" i="3" s="1"/>
  <c r="B671" i="3" s="1"/>
  <c r="B672" i="3" s="1"/>
  <c r="B673" i="3" s="1"/>
  <c r="B674" i="3" s="1"/>
  <c r="B675" i="3" s="1"/>
  <c r="B676" i="3" s="1"/>
  <c r="B677" i="3" s="1"/>
  <c r="B678" i="3" s="1"/>
  <c r="B679" i="3" s="1"/>
  <c r="B680" i="3" s="1"/>
  <c r="B681" i="3" s="1"/>
  <c r="B682" i="3" s="1"/>
  <c r="B683" i="3" s="1"/>
  <c r="B684" i="3" s="1"/>
  <c r="B685" i="3" s="1"/>
  <c r="B686" i="3" s="1"/>
  <c r="B687" i="3" s="1"/>
  <c r="B688" i="3" s="1"/>
  <c r="B689" i="3" s="1"/>
  <c r="B690" i="3" s="1"/>
  <c r="B691" i="3" s="1"/>
  <c r="B692" i="3" s="1"/>
  <c r="B693" i="3" s="1"/>
  <c r="B694" i="3" s="1"/>
  <c r="B695" i="3" s="1"/>
  <c r="B696" i="3" s="1"/>
  <c r="B697" i="3" s="1"/>
  <c r="B698" i="3" s="1"/>
  <c r="B699" i="3" s="1"/>
  <c r="B700" i="3" s="1"/>
  <c r="B701" i="3" s="1"/>
  <c r="B702" i="3" s="1"/>
  <c r="B703" i="3" s="1"/>
  <c r="B704" i="3" s="1"/>
  <c r="B705" i="3" s="1"/>
  <c r="B706" i="3" s="1"/>
  <c r="B707" i="3" s="1"/>
  <c r="B708" i="3" s="1"/>
  <c r="B709" i="3" s="1"/>
  <c r="B710" i="3" s="1"/>
  <c r="B711" i="3" s="1"/>
  <c r="B712" i="3" s="1"/>
  <c r="B713" i="3" s="1"/>
  <c r="B714" i="3" s="1"/>
  <c r="B715" i="3" s="1"/>
  <c r="B716" i="3" s="1"/>
  <c r="B717" i="3" s="1"/>
  <c r="B718" i="3" s="1"/>
  <c r="B719" i="3" s="1"/>
  <c r="B720" i="3" s="1"/>
  <c r="B721" i="3" s="1"/>
  <c r="B722" i="3" s="1"/>
  <c r="B723" i="3" s="1"/>
  <c r="B724" i="3" s="1"/>
  <c r="B725" i="3" s="1"/>
  <c r="B726" i="3" s="1"/>
  <c r="B727" i="3" s="1"/>
  <c r="B728" i="3" s="1"/>
  <c r="B729" i="3" s="1"/>
  <c r="B730" i="3" s="1"/>
  <c r="B731" i="3" s="1"/>
  <c r="B732" i="3" s="1"/>
  <c r="B733" i="3" s="1"/>
  <c r="B734" i="3" s="1"/>
  <c r="B735" i="3" s="1"/>
  <c r="D8" i="3"/>
  <c r="D17" i="10"/>
  <c r="D39" i="10"/>
  <c r="D45" i="10"/>
  <c r="D16" i="10"/>
  <c r="D15" i="10"/>
  <c r="D14" i="10"/>
  <c r="D42" i="10"/>
  <c r="G58" i="12"/>
  <c r="F58" i="12"/>
  <c r="E58" i="12"/>
  <c r="G53" i="12"/>
  <c r="F53" i="12"/>
  <c r="E53" i="12"/>
  <c r="G48" i="12"/>
  <c r="F48" i="12"/>
  <c r="E48" i="12"/>
  <c r="G33" i="12"/>
  <c r="F33" i="12"/>
  <c r="E33" i="12"/>
  <c r="G13" i="12"/>
  <c r="F13" i="12"/>
  <c r="B41" i="10"/>
  <c r="B37" i="10"/>
  <c r="C79" i="7"/>
  <c r="C41" i="7"/>
  <c r="C46" i="7"/>
  <c r="C62" i="7"/>
  <c r="D41" i="7"/>
  <c r="F15" i="6"/>
  <c r="C16" i="9"/>
  <c r="D14" i="9"/>
  <c r="D9" i="9"/>
  <c r="D10" i="9"/>
  <c r="D11" i="9"/>
  <c r="D12" i="9"/>
  <c r="D8" i="9"/>
  <c r="D76" i="7"/>
  <c r="D75" i="7"/>
  <c r="D74" i="7"/>
  <c r="D73" i="7"/>
  <c r="D72" i="7"/>
  <c r="D71" i="7"/>
  <c r="D70" i="7"/>
  <c r="D69" i="7"/>
  <c r="D68" i="7"/>
  <c r="D67" i="7"/>
  <c r="D66" i="7"/>
  <c r="D65" i="7"/>
  <c r="D64" i="7"/>
  <c r="D63" i="7"/>
  <c r="D62" i="7"/>
  <c r="D61" i="7"/>
  <c r="D60" i="7"/>
  <c r="D59" i="7"/>
  <c r="D58" i="7"/>
  <c r="D57" i="7"/>
  <c r="D56" i="7"/>
  <c r="D55" i="7"/>
  <c r="D54" i="7"/>
  <c r="D53" i="7"/>
  <c r="D52" i="7"/>
  <c r="D51" i="7"/>
  <c r="D50" i="7"/>
  <c r="D49" i="7"/>
  <c r="D48" i="7"/>
  <c r="D47" i="7"/>
  <c r="D46" i="7"/>
  <c r="D45" i="7"/>
  <c r="D38" i="7"/>
  <c r="D37" i="7"/>
  <c r="D36" i="7"/>
  <c r="D35" i="7"/>
  <c r="D34" i="7"/>
  <c r="D33" i="7"/>
  <c r="D32" i="7"/>
  <c r="D31" i="7"/>
  <c r="D30" i="7"/>
  <c r="D29" i="7"/>
  <c r="D28" i="7"/>
  <c r="D27" i="7"/>
  <c r="D26" i="7"/>
  <c r="D25" i="7"/>
  <c r="D24" i="7"/>
  <c r="D23" i="7"/>
  <c r="D22" i="7"/>
  <c r="D21" i="7"/>
  <c r="D20" i="7"/>
  <c r="D19" i="7"/>
  <c r="D18" i="7"/>
  <c r="D17" i="7"/>
  <c r="D16" i="7"/>
  <c r="D15" i="7"/>
  <c r="C22" i="6"/>
  <c r="C17" i="6"/>
  <c r="G18" i="6"/>
  <c r="C18" i="6"/>
  <c r="C19" i="6"/>
  <c r="C20" i="6"/>
  <c r="G21" i="6"/>
  <c r="C21" i="6"/>
  <c r="G22" i="6" s="1"/>
  <c r="C16" i="6"/>
  <c r="G16" i="6"/>
  <c r="B46" i="7"/>
  <c r="B47" i="7" s="1"/>
  <c r="B48" i="7" s="1"/>
  <c r="B49" i="7" s="1"/>
  <c r="B50" i="7" s="1"/>
  <c r="B51" i="7" s="1"/>
  <c r="B52" i="7" s="1"/>
  <c r="B53" i="7" s="1"/>
  <c r="B54" i="7" s="1"/>
  <c r="B55" i="7" s="1"/>
  <c r="B56" i="7" s="1"/>
  <c r="B57" i="7" s="1"/>
  <c r="B58" i="7" s="1"/>
  <c r="B59" i="7" s="1"/>
  <c r="B60" i="7" s="1"/>
  <c r="B61" i="7" s="1"/>
  <c r="B62" i="7" s="1"/>
  <c r="B63" i="7" s="1"/>
  <c r="B64" i="7" s="1"/>
  <c r="B65" i="7" s="1"/>
  <c r="B66" i="7" s="1"/>
  <c r="B67" i="7" s="1"/>
  <c r="B68" i="7" s="1"/>
  <c r="B69" i="7" s="1"/>
  <c r="B70" i="7" s="1"/>
  <c r="B71" i="7" s="1"/>
  <c r="B72" i="7" s="1"/>
  <c r="B73" i="7" s="1"/>
  <c r="B74" i="7" s="1"/>
  <c r="B75" i="7" s="1"/>
  <c r="B76" i="7" s="1"/>
  <c r="D79" i="7"/>
  <c r="W47" i="7"/>
  <c r="W46" i="7"/>
  <c r="W45" i="7"/>
  <c r="W16" i="7"/>
  <c r="W15" i="7"/>
  <c r="G13" i="3"/>
  <c r="G20" i="6"/>
  <c r="I14" i="6"/>
  <c r="H14" i="6"/>
  <c r="L13" i="3"/>
  <c r="B32" i="1"/>
  <c r="B31" i="1"/>
  <c r="F22" i="6"/>
  <c r="C65" i="7"/>
  <c r="C55" i="7"/>
  <c r="J55" i="7" s="1"/>
  <c r="J46" i="7"/>
  <c r="C73" i="7"/>
  <c r="C54" i="7"/>
  <c r="AA55" i="7"/>
  <c r="C68" i="7"/>
  <c r="J68" i="7"/>
  <c r="C67" i="7"/>
  <c r="J67" i="7"/>
  <c r="H55" i="7"/>
  <c r="J62" i="7"/>
  <c r="C60" i="7"/>
  <c r="J60" i="7"/>
  <c r="C57" i="7"/>
  <c r="C47" i="7"/>
  <c r="J47" i="7"/>
  <c r="C51" i="7"/>
  <c r="J51" i="7"/>
  <c r="C74" i="7"/>
  <c r="J74" i="7"/>
  <c r="C69" i="7"/>
  <c r="C63" i="7"/>
  <c r="C58" i="7"/>
  <c r="J58" i="7" s="1"/>
  <c r="C45" i="7"/>
  <c r="AA45" i="7" s="1"/>
  <c r="I46" i="7"/>
  <c r="C49" i="7"/>
  <c r="Y49" i="7" s="1"/>
  <c r="C59" i="7"/>
  <c r="Z59" i="7" s="1"/>
  <c r="C50" i="7"/>
  <c r="J50" i="7" s="1"/>
  <c r="C61" i="7"/>
  <c r="Y61" i="7" s="1"/>
  <c r="C72" i="7"/>
  <c r="J72" i="7" s="1"/>
  <c r="C56" i="7"/>
  <c r="Y56" i="7" s="1"/>
  <c r="C70" i="7"/>
  <c r="J70" i="7" s="1"/>
  <c r="C64" i="7"/>
  <c r="J64" i="7" s="1"/>
  <c r="C53" i="7"/>
  <c r="X53" i="7" s="1"/>
  <c r="I51" i="7"/>
  <c r="C75" i="7"/>
  <c r="J75" i="7"/>
  <c r="F65" i="7"/>
  <c r="C52" i="7"/>
  <c r="J52" i="7" s="1"/>
  <c r="C71" i="7"/>
  <c r="Y71" i="7" s="1"/>
  <c r="H57" i="7"/>
  <c r="C66" i="7"/>
  <c r="J66" i="7"/>
  <c r="C48" i="7"/>
  <c r="C76" i="7"/>
  <c r="J76" i="7" s="1"/>
  <c r="F19" i="6"/>
  <c r="F20" i="6"/>
  <c r="F21" i="6"/>
  <c r="F17" i="6"/>
  <c r="G17" i="6"/>
  <c r="F16" i="6"/>
  <c r="F18" i="6"/>
  <c r="G19" i="6"/>
  <c r="F51" i="7"/>
  <c r="F57" i="7"/>
  <c r="H58" i="7"/>
  <c r="I56" i="7"/>
  <c r="F45" i="7"/>
  <c r="H48" i="7"/>
  <c r="J48" i="7"/>
  <c r="I64" i="7"/>
  <c r="J63" i="7"/>
  <c r="H54" i="7"/>
  <c r="J54" i="7"/>
  <c r="H63" i="7"/>
  <c r="H49" i="7"/>
  <c r="I54" i="7"/>
  <c r="F56" i="7"/>
  <c r="F55" i="7"/>
  <c r="H75" i="7"/>
  <c r="I58" i="7"/>
  <c r="I59" i="7"/>
  <c r="AA54" i="7"/>
  <c r="X46" i="7"/>
  <c r="Z55" i="7"/>
  <c r="Z54" i="7"/>
  <c r="Z65" i="7"/>
  <c r="Y54" i="7"/>
  <c r="I74" i="7"/>
  <c r="F73" i="7"/>
  <c r="H59" i="7"/>
  <c r="H65" i="7"/>
  <c r="H56" i="7"/>
  <c r="I76" i="7"/>
  <c r="I55" i="7"/>
  <c r="F75" i="7"/>
  <c r="F54" i="7"/>
  <c r="I62" i="7"/>
  <c r="I66" i="7"/>
  <c r="X65" i="7"/>
  <c r="AA65" i="7"/>
  <c r="X55" i="7"/>
  <c r="Y55" i="7"/>
  <c r="Y65" i="7"/>
  <c r="F64" i="7"/>
  <c r="H64" i="7"/>
  <c r="H53" i="7"/>
  <c r="F74" i="7"/>
  <c r="F53" i="7"/>
  <c r="H45" i="7"/>
  <c r="I47" i="7"/>
  <c r="Z46" i="7"/>
  <c r="Y46" i="7"/>
  <c r="H72" i="7"/>
  <c r="H73" i="7"/>
  <c r="I50" i="7"/>
  <c r="H46" i="7"/>
  <c r="F46" i="7"/>
  <c r="F72" i="7"/>
  <c r="X54" i="7"/>
  <c r="Z73" i="7"/>
  <c r="X73" i="7"/>
  <c r="AA73" i="7"/>
  <c r="Y73" i="7"/>
  <c r="AA46" i="7"/>
  <c r="X71" i="7"/>
  <c r="F71" i="7"/>
  <c r="I72" i="7"/>
  <c r="AA71" i="7"/>
  <c r="Z52" i="7"/>
  <c r="AA52" i="7"/>
  <c r="F52" i="7"/>
  <c r="Y70" i="7"/>
  <c r="AA70" i="7"/>
  <c r="I71" i="7"/>
  <c r="Y50" i="7"/>
  <c r="F50" i="7"/>
  <c r="X69" i="7"/>
  <c r="Y69" i="7"/>
  <c r="AA69" i="7"/>
  <c r="Z69" i="7"/>
  <c r="I70" i="7"/>
  <c r="X47" i="7"/>
  <c r="Y47" i="7"/>
  <c r="AA47" i="7"/>
  <c r="Z47" i="7"/>
  <c r="Y60" i="7"/>
  <c r="X60" i="7"/>
  <c r="AA60" i="7"/>
  <c r="Z60" i="7"/>
  <c r="F60" i="7"/>
  <c r="AA76" i="7"/>
  <c r="Y76" i="7"/>
  <c r="AA66" i="7"/>
  <c r="Z66" i="7"/>
  <c r="X66" i="7"/>
  <c r="Y66" i="7"/>
  <c r="H60" i="7"/>
  <c r="H47" i="7"/>
  <c r="H52" i="7"/>
  <c r="AA59" i="7"/>
  <c r="X59" i="7"/>
  <c r="I60" i="7"/>
  <c r="H71" i="7"/>
  <c r="X45" i="7"/>
  <c r="Y45" i="7"/>
  <c r="AA74" i="7"/>
  <c r="Z74" i="7"/>
  <c r="X74" i="7"/>
  <c r="Y74" i="7"/>
  <c r="F70" i="7"/>
  <c r="X67" i="7"/>
  <c r="Y67" i="7"/>
  <c r="Z67" i="7"/>
  <c r="H67" i="7"/>
  <c r="I68" i="7"/>
  <c r="AA67" i="7"/>
  <c r="Y48" i="7"/>
  <c r="X48" i="7"/>
  <c r="AA48" i="7"/>
  <c r="Z48" i="7"/>
  <c r="F48" i="7"/>
  <c r="H74" i="7"/>
  <c r="H76" i="7"/>
  <c r="AA75" i="7"/>
  <c r="Y75" i="7"/>
  <c r="X75" i="7"/>
  <c r="Z75" i="7"/>
  <c r="Y53" i="7"/>
  <c r="Z53" i="7"/>
  <c r="F67" i="7"/>
  <c r="Z56" i="7"/>
  <c r="AA56" i="7"/>
  <c r="H50" i="7"/>
  <c r="H61" i="7"/>
  <c r="Z61" i="7"/>
  <c r="F61" i="7"/>
  <c r="F47" i="7"/>
  <c r="F69" i="7"/>
  <c r="AA49" i="7"/>
  <c r="F49" i="7"/>
  <c r="Z49" i="7"/>
  <c r="H66" i="7"/>
  <c r="I75" i="7"/>
  <c r="I48" i="7"/>
  <c r="Z58" i="7"/>
  <c r="Y58" i="7"/>
  <c r="F58" i="7"/>
  <c r="Y51" i="7"/>
  <c r="Z51" i="7"/>
  <c r="AA51" i="7"/>
  <c r="X51" i="7"/>
  <c r="H51" i="7"/>
  <c r="AA62" i="7"/>
  <c r="Y62" i="7"/>
  <c r="X62" i="7"/>
  <c r="F62" i="7"/>
  <c r="Z62" i="7"/>
  <c r="AA68" i="7"/>
  <c r="Y68" i="7"/>
  <c r="X68" i="7"/>
  <c r="Z68" i="7"/>
  <c r="F68" i="7"/>
  <c r="H68" i="7"/>
  <c r="F76" i="7"/>
  <c r="H70" i="7"/>
  <c r="F59" i="7"/>
  <c r="I52" i="7"/>
  <c r="F66" i="7"/>
  <c r="Z64" i="7"/>
  <c r="X64" i="7"/>
  <c r="Y64" i="7"/>
  <c r="AA64" i="7"/>
  <c r="X72" i="7"/>
  <c r="Y72" i="7"/>
  <c r="Z72" i="7"/>
  <c r="AA72" i="7"/>
  <c r="I67" i="7"/>
  <c r="H62" i="7"/>
  <c r="H69" i="7"/>
  <c r="I63" i="7"/>
  <c r="Z63" i="7"/>
  <c r="Y63" i="7"/>
  <c r="X63" i="7"/>
  <c r="AA63" i="7"/>
  <c r="F63" i="7"/>
  <c r="X57" i="7"/>
  <c r="Z57" i="7"/>
  <c r="AA57" i="7"/>
  <c r="Y57" i="7"/>
  <c r="Q66" i="7"/>
  <c r="R66" i="7"/>
  <c r="Q55" i="7"/>
  <c r="R55" i="7" s="1"/>
  <c r="Q62" i="7"/>
  <c r="R62" i="7" s="1"/>
  <c r="Q68" i="7"/>
  <c r="R68" i="7" s="1"/>
  <c r="Q56" i="7"/>
  <c r="R56" i="7" s="1"/>
  <c r="Q67" i="7"/>
  <c r="R67" i="7" s="1"/>
  <c r="Q58" i="7"/>
  <c r="R58" i="7" s="1"/>
  <c r="Q74" i="7"/>
  <c r="R74" i="7" s="1"/>
  <c r="Q54" i="7"/>
  <c r="R54" i="7" s="1"/>
  <c r="X61" i="7"/>
  <c r="Q60" i="7"/>
  <c r="R60" i="7" s="1"/>
  <c r="Q73" i="7"/>
  <c r="R73" i="7" s="1"/>
  <c r="Q59" i="7"/>
  <c r="R59" i="7" s="1"/>
  <c r="Q76" i="7"/>
  <c r="R76" i="7" s="1"/>
  <c r="Q47" i="7"/>
  <c r="R47" i="7" s="1"/>
  <c r="Q71" i="7"/>
  <c r="R71" i="7" s="1"/>
  <c r="Q70" i="7"/>
  <c r="R70" i="7" s="1"/>
  <c r="Q46" i="7"/>
  <c r="R46" i="7" s="1"/>
  <c r="Q72" i="7"/>
  <c r="R72" i="7" s="1"/>
  <c r="Q69" i="7"/>
  <c r="R69" i="7" s="1"/>
  <c r="Q64" i="7"/>
  <c r="R64" i="7" s="1"/>
  <c r="Q63" i="7"/>
  <c r="R63" i="7" s="1"/>
  <c r="Q51" i="7"/>
  <c r="R51" i="7" s="1"/>
  <c r="Q48" i="7"/>
  <c r="R48" i="7" s="1"/>
  <c r="Q75" i="7"/>
  <c r="R75" i="7" s="1"/>
  <c r="Q65" i="7"/>
  <c r="R65" i="7" s="1"/>
  <c r="Q57" i="7"/>
  <c r="R57" i="7" s="1"/>
  <c r="Q52" i="7"/>
  <c r="R52" i="7" s="1"/>
  <c r="Q53" i="7"/>
  <c r="R53" i="7" s="1"/>
  <c r="Q50" i="7"/>
  <c r="R50" i="7" s="1"/>
  <c r="Q49" i="7"/>
  <c r="R49" i="7" s="1"/>
  <c r="Q61" i="7"/>
  <c r="R61" i="7" s="1"/>
  <c r="AA61" i="7"/>
  <c r="Q45" i="7"/>
  <c r="R45" i="7" s="1"/>
  <c r="R79" i="7"/>
  <c r="I79" i="7"/>
  <c r="F79" i="7"/>
  <c r="J79" i="7"/>
  <c r="Q79" i="7"/>
  <c r="H79" i="7"/>
  <c r="H26" i="6" l="1"/>
  <c r="H25" i="6"/>
  <c r="I27" i="6"/>
  <c r="X58" i="7"/>
  <c r="X49" i="7"/>
  <c r="X56" i="7"/>
  <c r="AA53" i="7"/>
  <c r="Z45" i="7"/>
  <c r="Y59" i="7"/>
  <c r="Z76" i="7"/>
  <c r="Z50" i="7"/>
  <c r="X50" i="7"/>
  <c r="Z70" i="7"/>
  <c r="Y52" i="7"/>
  <c r="Y79" i="7" s="1"/>
  <c r="Z71" i="7"/>
  <c r="J71" i="7"/>
  <c r="J56" i="7"/>
  <c r="J59" i="7"/>
  <c r="D16" i="9"/>
  <c r="AA58" i="7"/>
  <c r="X76" i="7"/>
  <c r="AA50" i="7"/>
  <c r="X70" i="7"/>
  <c r="X52" i="7"/>
  <c r="B19" i="7"/>
  <c r="C18" i="7"/>
  <c r="I29" i="6"/>
  <c r="X15" i="7"/>
  <c r="F15" i="7"/>
  <c r="J18" i="12"/>
  <c r="J33" i="12"/>
  <c r="J23" i="12"/>
  <c r="C17" i="7"/>
  <c r="H15" i="7"/>
  <c r="Z79" i="7" l="1"/>
  <c r="AA79" i="7"/>
  <c r="J17" i="7"/>
  <c r="Z17" i="7"/>
  <c r="F17" i="7"/>
  <c r="I17" i="7"/>
  <c r="X17" i="7"/>
  <c r="AA17" i="7"/>
  <c r="Y17" i="7"/>
  <c r="B20" i="7"/>
  <c r="C19" i="7"/>
  <c r="H17" i="7"/>
  <c r="E15" i="7"/>
  <c r="E17" i="7"/>
  <c r="E19" i="7"/>
  <c r="B17" i="9"/>
  <c r="E18" i="7"/>
  <c r="E16" i="7"/>
  <c r="E65" i="7"/>
  <c r="K65" i="7" s="1"/>
  <c r="E49" i="7"/>
  <c r="K49" i="7" s="1"/>
  <c r="E53" i="7"/>
  <c r="K53" i="7" s="1"/>
  <c r="E50" i="7"/>
  <c r="K50" i="7" s="1"/>
  <c r="L50" i="7" s="1"/>
  <c r="E75" i="7"/>
  <c r="K75" i="7" s="1"/>
  <c r="L75" i="7" s="1"/>
  <c r="E74" i="7"/>
  <c r="K74" i="7" s="1"/>
  <c r="L74" i="7" s="1"/>
  <c r="E71" i="7"/>
  <c r="K71" i="7" s="1"/>
  <c r="L71" i="7" s="1"/>
  <c r="E51" i="7"/>
  <c r="K51" i="7" s="1"/>
  <c r="L51" i="7" s="1"/>
  <c r="E70" i="7"/>
  <c r="K70" i="7" s="1"/>
  <c r="L70" i="7" s="1"/>
  <c r="E60" i="7"/>
  <c r="K60" i="7" s="1"/>
  <c r="L60" i="7" s="1"/>
  <c r="E73" i="7"/>
  <c r="K73" i="7" s="1"/>
  <c r="E57" i="7"/>
  <c r="K57" i="7" s="1"/>
  <c r="E69" i="7"/>
  <c r="K69" i="7" s="1"/>
  <c r="E76" i="7"/>
  <c r="K76" i="7" s="1"/>
  <c r="L76" i="7" s="1"/>
  <c r="E47" i="7"/>
  <c r="K47" i="7" s="1"/>
  <c r="L47" i="7" s="1"/>
  <c r="E72" i="7"/>
  <c r="K72" i="7" s="1"/>
  <c r="L72" i="7" s="1"/>
  <c r="E62" i="7"/>
  <c r="K62" i="7" s="1"/>
  <c r="L62" i="7" s="1"/>
  <c r="E67" i="7"/>
  <c r="K67" i="7" s="1"/>
  <c r="L67" i="7" s="1"/>
  <c r="E54" i="7"/>
  <c r="K54" i="7" s="1"/>
  <c r="L54" i="7" s="1"/>
  <c r="E61" i="7"/>
  <c r="K61" i="7" s="1"/>
  <c r="E66" i="7"/>
  <c r="K66" i="7" s="1"/>
  <c r="L66" i="7" s="1"/>
  <c r="E68" i="7"/>
  <c r="K68" i="7" s="1"/>
  <c r="L68" i="7" s="1"/>
  <c r="E55" i="7"/>
  <c r="K55" i="7" s="1"/>
  <c r="L55" i="7" s="1"/>
  <c r="E46" i="7"/>
  <c r="K46" i="7" s="1"/>
  <c r="L46" i="7" s="1"/>
  <c r="E45" i="7"/>
  <c r="E56" i="7"/>
  <c r="K56" i="7" s="1"/>
  <c r="L56" i="7" s="1"/>
  <c r="E48" i="7"/>
  <c r="K48" i="7" s="1"/>
  <c r="L48" i="7" s="1"/>
  <c r="E59" i="7"/>
  <c r="K59" i="7" s="1"/>
  <c r="L59" i="7" s="1"/>
  <c r="E58" i="7"/>
  <c r="K58" i="7" s="1"/>
  <c r="L58" i="7" s="1"/>
  <c r="E52" i="7"/>
  <c r="K52" i="7" s="1"/>
  <c r="L52" i="7" s="1"/>
  <c r="E63" i="7"/>
  <c r="K63" i="7" s="1"/>
  <c r="L63" i="7" s="1"/>
  <c r="E64" i="7"/>
  <c r="K64" i="7" s="1"/>
  <c r="L64" i="7" s="1"/>
  <c r="I16" i="6"/>
  <c r="I20" i="6"/>
  <c r="I31" i="6"/>
  <c r="I21" i="6"/>
  <c r="I17" i="6"/>
  <c r="I22" i="6"/>
  <c r="I18" i="6"/>
  <c r="I32" i="6"/>
  <c r="I19" i="6"/>
  <c r="X18" i="7"/>
  <c r="H18" i="7"/>
  <c r="Z18" i="7"/>
  <c r="F18" i="7"/>
  <c r="AA18" i="7"/>
  <c r="Y18" i="7"/>
  <c r="E79" i="7"/>
  <c r="I30" i="6" l="1"/>
  <c r="I34" i="6" s="1"/>
  <c r="K45" i="7"/>
  <c r="L53" i="7"/>
  <c r="T56" i="7"/>
  <c r="V56" i="7" s="1"/>
  <c r="K17" i="7"/>
  <c r="L17" i="7" s="1"/>
  <c r="B21" i="7"/>
  <c r="C20" i="7"/>
  <c r="L61" i="7"/>
  <c r="T64" i="7"/>
  <c r="V64" i="7" s="1"/>
  <c r="L69" i="7"/>
  <c r="T72" i="7"/>
  <c r="V72" i="7" s="1"/>
  <c r="L49" i="7"/>
  <c r="T52" i="7"/>
  <c r="V52" i="7" s="1"/>
  <c r="K18" i="7"/>
  <c r="K15" i="7"/>
  <c r="L57" i="7"/>
  <c r="T60" i="7"/>
  <c r="V60" i="7" s="1"/>
  <c r="L65" i="7"/>
  <c r="T68" i="7"/>
  <c r="V68" i="7" s="1"/>
  <c r="K16" i="7"/>
  <c r="L16" i="7" s="1"/>
  <c r="T76" i="7"/>
  <c r="V76" i="7" s="1"/>
  <c r="L73" i="7"/>
  <c r="Y19" i="7"/>
  <c r="AA19" i="7"/>
  <c r="J19" i="7"/>
  <c r="I19" i="7"/>
  <c r="Z19" i="7"/>
  <c r="F19" i="7"/>
  <c r="X19" i="7"/>
  <c r="H19" i="7"/>
  <c r="K79" i="7"/>
  <c r="K19" i="7" l="1"/>
  <c r="L19" i="7" s="1"/>
  <c r="T79" i="7"/>
  <c r="V79" i="7" s="1"/>
  <c r="X79" i="7" s="1"/>
  <c r="F20" i="7"/>
  <c r="Y20" i="7"/>
  <c r="J20" i="7"/>
  <c r="H20" i="7"/>
  <c r="I20" i="7"/>
  <c r="Z20" i="7"/>
  <c r="AA20" i="7"/>
  <c r="X20" i="7"/>
  <c r="E20" i="7"/>
  <c r="L18" i="7"/>
  <c r="B22" i="7"/>
  <c r="C21" i="7"/>
  <c r="L45" i="7"/>
  <c r="T48" i="7"/>
  <c r="V48" i="7" s="1"/>
  <c r="L15" i="7"/>
  <c r="T17" i="7"/>
  <c r="V17" i="7" s="1"/>
  <c r="I37" i="6"/>
  <c r="I35" i="6"/>
  <c r="L79" i="7"/>
  <c r="W64" i="7" l="1"/>
  <c r="W51" i="7"/>
  <c r="W57" i="7"/>
  <c r="W60" i="7"/>
  <c r="W53" i="7"/>
  <c r="W61" i="7"/>
  <c r="W58" i="7"/>
  <c r="W66" i="7"/>
  <c r="W65" i="7"/>
  <c r="W68" i="7"/>
  <c r="W73" i="7"/>
  <c r="W55" i="7"/>
  <c r="W50" i="7"/>
  <c r="W76" i="7"/>
  <c r="W48" i="7"/>
  <c r="W69" i="7"/>
  <c r="W75" i="7"/>
  <c r="W63" i="7"/>
  <c r="W62" i="7"/>
  <c r="W72" i="7"/>
  <c r="W67" i="7"/>
  <c r="W71" i="7"/>
  <c r="W52" i="7"/>
  <c r="W49" i="7"/>
  <c r="W74" i="7"/>
  <c r="W70" i="7"/>
  <c r="W59" i="7"/>
  <c r="W54" i="7"/>
  <c r="W56" i="7"/>
  <c r="O15" i="7"/>
  <c r="P15" i="7" s="1"/>
  <c r="O16" i="7"/>
  <c r="P16" i="7" s="1"/>
  <c r="Q16" i="7" s="1"/>
  <c r="R16" i="7" s="1"/>
  <c r="O17" i="7"/>
  <c r="P17" i="7" s="1"/>
  <c r="Q17" i="7" s="1"/>
  <c r="R17" i="7" s="1"/>
  <c r="O18" i="7"/>
  <c r="P18" i="7" s="1"/>
  <c r="Q18" i="7" s="1"/>
  <c r="R18" i="7" s="1"/>
  <c r="O19" i="7"/>
  <c r="P19" i="7" s="1"/>
  <c r="Q19" i="7" s="1"/>
  <c r="R19" i="7" s="1"/>
  <c r="O20" i="7"/>
  <c r="P20" i="7" s="1"/>
  <c r="O21" i="7"/>
  <c r="P21" i="7" s="1"/>
  <c r="O22" i="7"/>
  <c r="O23" i="7"/>
  <c r="O24" i="7"/>
  <c r="O25" i="7"/>
  <c r="O26" i="7"/>
  <c r="O27" i="7"/>
  <c r="O28" i="7"/>
  <c r="M16" i="3"/>
  <c r="M17" i="3" s="1"/>
  <c r="M18" i="3" s="1"/>
  <c r="M19" i="3" s="1"/>
  <c r="M20" i="3" s="1"/>
  <c r="M21" i="3" s="1"/>
  <c r="M22" i="3" s="1"/>
  <c r="M23" i="3" s="1"/>
  <c r="M24" i="3" s="1"/>
  <c r="M25" i="3" s="1"/>
  <c r="M26" i="3" s="1"/>
  <c r="M27" i="3" s="1"/>
  <c r="M28" i="3" s="1"/>
  <c r="M29" i="3" s="1"/>
  <c r="M30" i="3" s="1"/>
  <c r="M31" i="3" s="1"/>
  <c r="M32" i="3" s="1"/>
  <c r="M33" i="3" s="1"/>
  <c r="M34" i="3" s="1"/>
  <c r="M35" i="3" s="1"/>
  <c r="M36" i="3" s="1"/>
  <c r="M37" i="3" s="1"/>
  <c r="M38" i="3" s="1"/>
  <c r="M39" i="3" s="1"/>
  <c r="M40" i="3" s="1"/>
  <c r="M41" i="3" s="1"/>
  <c r="M42" i="3" s="1"/>
  <c r="M43" i="3" s="1"/>
  <c r="M44" i="3" s="1"/>
  <c r="M45" i="3" s="1"/>
  <c r="M46" i="3" s="1"/>
  <c r="M47" i="3" s="1"/>
  <c r="M48" i="3" s="1"/>
  <c r="M49" i="3" s="1"/>
  <c r="M50" i="3" s="1"/>
  <c r="M51" i="3" s="1"/>
  <c r="M52" i="3" s="1"/>
  <c r="M53" i="3" s="1"/>
  <c r="M54" i="3" s="1"/>
  <c r="M55" i="3" s="1"/>
  <c r="M56" i="3" s="1"/>
  <c r="M57" i="3" s="1"/>
  <c r="M58" i="3" s="1"/>
  <c r="M59" i="3" s="1"/>
  <c r="M60" i="3" s="1"/>
  <c r="M61" i="3" s="1"/>
  <c r="M62" i="3" s="1"/>
  <c r="M63" i="3" s="1"/>
  <c r="M64" i="3" s="1"/>
  <c r="M65" i="3" s="1"/>
  <c r="M66" i="3" s="1"/>
  <c r="M67" i="3" s="1"/>
  <c r="M68" i="3" s="1"/>
  <c r="M69" i="3" s="1"/>
  <c r="M70" i="3" s="1"/>
  <c r="M71" i="3" s="1"/>
  <c r="M72" i="3" s="1"/>
  <c r="M73" i="3" s="1"/>
  <c r="M74" i="3" s="1"/>
  <c r="M75" i="3" s="1"/>
  <c r="M76" i="3" s="1"/>
  <c r="M77" i="3" s="1"/>
  <c r="M78" i="3" s="1"/>
  <c r="M79" i="3" s="1"/>
  <c r="M80" i="3" s="1"/>
  <c r="M81" i="3" s="1"/>
  <c r="M82" i="3" s="1"/>
  <c r="M83" i="3" s="1"/>
  <c r="M84" i="3" s="1"/>
  <c r="M85" i="3" s="1"/>
  <c r="M86" i="3" s="1"/>
  <c r="M87" i="3" s="1"/>
  <c r="M88" i="3" s="1"/>
  <c r="M89" i="3" s="1"/>
  <c r="M90" i="3" s="1"/>
  <c r="M91" i="3" s="1"/>
  <c r="M92" i="3" s="1"/>
  <c r="M93" i="3" s="1"/>
  <c r="M94" i="3" s="1"/>
  <c r="M95" i="3" s="1"/>
  <c r="M96" i="3" s="1"/>
  <c r="M97" i="3" s="1"/>
  <c r="M98" i="3" s="1"/>
  <c r="M99" i="3" s="1"/>
  <c r="M100" i="3" s="1"/>
  <c r="M101" i="3" s="1"/>
  <c r="M102" i="3" s="1"/>
  <c r="M103" i="3" s="1"/>
  <c r="M104" i="3" s="1"/>
  <c r="M105" i="3" s="1"/>
  <c r="M106" i="3" s="1"/>
  <c r="M107" i="3" s="1"/>
  <c r="M108" i="3" s="1"/>
  <c r="M109" i="3" s="1"/>
  <c r="M110" i="3" s="1"/>
  <c r="M111" i="3" s="1"/>
  <c r="M112" i="3" s="1"/>
  <c r="M113" i="3" s="1"/>
  <c r="M114" i="3" s="1"/>
  <c r="M115" i="3" s="1"/>
  <c r="M116" i="3" s="1"/>
  <c r="M117" i="3" s="1"/>
  <c r="M118" i="3" s="1"/>
  <c r="M119" i="3" s="1"/>
  <c r="M120" i="3" s="1"/>
  <c r="M121" i="3" s="1"/>
  <c r="M122" i="3" s="1"/>
  <c r="M123" i="3" s="1"/>
  <c r="M124" i="3" s="1"/>
  <c r="M125" i="3" s="1"/>
  <c r="M126" i="3" s="1"/>
  <c r="M127" i="3" s="1"/>
  <c r="M128" i="3" s="1"/>
  <c r="M129" i="3" s="1"/>
  <c r="M130" i="3" s="1"/>
  <c r="M131" i="3" s="1"/>
  <c r="M132" i="3" s="1"/>
  <c r="M133" i="3" s="1"/>
  <c r="M134" i="3" s="1"/>
  <c r="M135" i="3" s="1"/>
  <c r="M136" i="3" s="1"/>
  <c r="M137" i="3" s="1"/>
  <c r="M138" i="3" s="1"/>
  <c r="M139" i="3" s="1"/>
  <c r="M140" i="3" s="1"/>
  <c r="M141" i="3" s="1"/>
  <c r="M142" i="3" s="1"/>
  <c r="M143" i="3" s="1"/>
  <c r="M144" i="3" s="1"/>
  <c r="M145" i="3" s="1"/>
  <c r="M146" i="3" s="1"/>
  <c r="M147" i="3" s="1"/>
  <c r="M148" i="3" s="1"/>
  <c r="M149" i="3" s="1"/>
  <c r="M150" i="3" s="1"/>
  <c r="M151" i="3" s="1"/>
  <c r="M152" i="3" s="1"/>
  <c r="M153" i="3" s="1"/>
  <c r="M154" i="3" s="1"/>
  <c r="M155" i="3" s="1"/>
  <c r="M156" i="3" s="1"/>
  <c r="M157" i="3" s="1"/>
  <c r="M158" i="3" s="1"/>
  <c r="M159" i="3" s="1"/>
  <c r="M160" i="3" s="1"/>
  <c r="M161" i="3" s="1"/>
  <c r="M162" i="3" s="1"/>
  <c r="M163" i="3" s="1"/>
  <c r="M164" i="3" s="1"/>
  <c r="M165" i="3" s="1"/>
  <c r="M166" i="3" s="1"/>
  <c r="M167" i="3" s="1"/>
  <c r="M168" i="3" s="1"/>
  <c r="M169" i="3" s="1"/>
  <c r="M170" i="3" s="1"/>
  <c r="M171" i="3" s="1"/>
  <c r="M172" i="3" s="1"/>
  <c r="M173" i="3" s="1"/>
  <c r="M174" i="3" s="1"/>
  <c r="M175" i="3" s="1"/>
  <c r="M176" i="3" s="1"/>
  <c r="M177" i="3" s="1"/>
  <c r="M178" i="3" s="1"/>
  <c r="M179" i="3" s="1"/>
  <c r="M180" i="3" s="1"/>
  <c r="M181" i="3" s="1"/>
  <c r="M182" i="3" s="1"/>
  <c r="M183" i="3" s="1"/>
  <c r="M184" i="3" s="1"/>
  <c r="M185" i="3" s="1"/>
  <c r="M186" i="3" s="1"/>
  <c r="M187" i="3" s="1"/>
  <c r="M188" i="3" s="1"/>
  <c r="M189" i="3" s="1"/>
  <c r="M190" i="3" s="1"/>
  <c r="M191" i="3" s="1"/>
  <c r="M192" i="3" s="1"/>
  <c r="M193" i="3" s="1"/>
  <c r="M194" i="3" s="1"/>
  <c r="M195" i="3" s="1"/>
  <c r="M196" i="3" s="1"/>
  <c r="M197" i="3" s="1"/>
  <c r="M198" i="3" s="1"/>
  <c r="M199" i="3" s="1"/>
  <c r="M200" i="3" s="1"/>
  <c r="M201" i="3" s="1"/>
  <c r="M202" i="3" s="1"/>
  <c r="M203" i="3" s="1"/>
  <c r="M204" i="3" s="1"/>
  <c r="M205" i="3" s="1"/>
  <c r="M206" i="3" s="1"/>
  <c r="M207" i="3" s="1"/>
  <c r="M208" i="3" s="1"/>
  <c r="M209" i="3" s="1"/>
  <c r="M210" i="3" s="1"/>
  <c r="M211" i="3" s="1"/>
  <c r="M212" i="3" s="1"/>
  <c r="M213" i="3" s="1"/>
  <c r="M214" i="3" s="1"/>
  <c r="M215" i="3" s="1"/>
  <c r="M216" i="3" s="1"/>
  <c r="M217" i="3" s="1"/>
  <c r="M218" i="3" s="1"/>
  <c r="M219" i="3" s="1"/>
  <c r="M220" i="3" s="1"/>
  <c r="M221" i="3" s="1"/>
  <c r="M222" i="3" s="1"/>
  <c r="M223" i="3" s="1"/>
  <c r="M224" i="3" s="1"/>
  <c r="M225" i="3" s="1"/>
  <c r="M226" i="3" s="1"/>
  <c r="M227" i="3" s="1"/>
  <c r="M228" i="3" s="1"/>
  <c r="M229" i="3" s="1"/>
  <c r="M230" i="3" s="1"/>
  <c r="M231" i="3" s="1"/>
  <c r="M232" i="3" s="1"/>
  <c r="M233" i="3" s="1"/>
  <c r="M234" i="3" s="1"/>
  <c r="M235" i="3" s="1"/>
  <c r="M236" i="3" s="1"/>
  <c r="M237" i="3" s="1"/>
  <c r="M238" i="3" s="1"/>
  <c r="M239" i="3" s="1"/>
  <c r="M240" i="3" s="1"/>
  <c r="M241" i="3" s="1"/>
  <c r="M242" i="3" s="1"/>
  <c r="M243" i="3" s="1"/>
  <c r="M244" i="3" s="1"/>
  <c r="M245" i="3" s="1"/>
  <c r="M246" i="3" s="1"/>
  <c r="M247" i="3" s="1"/>
  <c r="M248" i="3" s="1"/>
  <c r="M249" i="3" s="1"/>
  <c r="M250" i="3" s="1"/>
  <c r="M251" i="3" s="1"/>
  <c r="M252" i="3" s="1"/>
  <c r="M253" i="3" s="1"/>
  <c r="M254" i="3" s="1"/>
  <c r="M255" i="3" s="1"/>
  <c r="M256" i="3" s="1"/>
  <c r="M257" i="3" s="1"/>
  <c r="M258" i="3" s="1"/>
  <c r="M259" i="3" s="1"/>
  <c r="M260" i="3" s="1"/>
  <c r="M261" i="3" s="1"/>
  <c r="M262" i="3" s="1"/>
  <c r="M263" i="3" s="1"/>
  <c r="M264" i="3" s="1"/>
  <c r="M265" i="3" s="1"/>
  <c r="M266" i="3" s="1"/>
  <c r="M267" i="3" s="1"/>
  <c r="M268" i="3" s="1"/>
  <c r="M269" i="3" s="1"/>
  <c r="M270" i="3" s="1"/>
  <c r="M271" i="3" s="1"/>
  <c r="M272" i="3" s="1"/>
  <c r="M273" i="3" s="1"/>
  <c r="M274" i="3" s="1"/>
  <c r="M275" i="3" s="1"/>
  <c r="M276" i="3" s="1"/>
  <c r="M277" i="3" s="1"/>
  <c r="M278" i="3" s="1"/>
  <c r="M279" i="3" s="1"/>
  <c r="M280" i="3" s="1"/>
  <c r="M281" i="3" s="1"/>
  <c r="M282" i="3" s="1"/>
  <c r="M283" i="3" s="1"/>
  <c r="M284" i="3" s="1"/>
  <c r="M285" i="3" s="1"/>
  <c r="M286" i="3" s="1"/>
  <c r="M287" i="3" s="1"/>
  <c r="M288" i="3" s="1"/>
  <c r="M289" i="3" s="1"/>
  <c r="M290" i="3" s="1"/>
  <c r="M291" i="3" s="1"/>
  <c r="M292" i="3" s="1"/>
  <c r="M293" i="3" s="1"/>
  <c r="M294" i="3" s="1"/>
  <c r="M295" i="3" s="1"/>
  <c r="M296" i="3" s="1"/>
  <c r="M297" i="3" s="1"/>
  <c r="M298" i="3" s="1"/>
  <c r="M299" i="3" s="1"/>
  <c r="M300" i="3" s="1"/>
  <c r="M301" i="3" s="1"/>
  <c r="M302" i="3" s="1"/>
  <c r="M303" i="3" s="1"/>
  <c r="M304" i="3" s="1"/>
  <c r="M305" i="3" s="1"/>
  <c r="M306" i="3" s="1"/>
  <c r="M307" i="3" s="1"/>
  <c r="M308" i="3" s="1"/>
  <c r="M309" i="3" s="1"/>
  <c r="M310" i="3" s="1"/>
  <c r="M311" i="3" s="1"/>
  <c r="M312" i="3" s="1"/>
  <c r="M313" i="3" s="1"/>
  <c r="M314" i="3" s="1"/>
  <c r="M315" i="3" s="1"/>
  <c r="M316" i="3" s="1"/>
  <c r="M317" i="3" s="1"/>
  <c r="M318" i="3" s="1"/>
  <c r="M319" i="3" s="1"/>
  <c r="M320" i="3" s="1"/>
  <c r="M321" i="3" s="1"/>
  <c r="M322" i="3" s="1"/>
  <c r="M323" i="3" s="1"/>
  <c r="M324" i="3" s="1"/>
  <c r="M325" i="3" s="1"/>
  <c r="M326" i="3" s="1"/>
  <c r="M327" i="3" s="1"/>
  <c r="M328" i="3" s="1"/>
  <c r="M329" i="3" s="1"/>
  <c r="M330" i="3" s="1"/>
  <c r="M331" i="3" s="1"/>
  <c r="M332" i="3" s="1"/>
  <c r="M333" i="3" s="1"/>
  <c r="M334" i="3" s="1"/>
  <c r="M335" i="3" s="1"/>
  <c r="M336" i="3" s="1"/>
  <c r="M337" i="3" s="1"/>
  <c r="M338" i="3" s="1"/>
  <c r="M339" i="3" s="1"/>
  <c r="M340" i="3" s="1"/>
  <c r="M341" i="3" s="1"/>
  <c r="M342" i="3" s="1"/>
  <c r="M343" i="3" s="1"/>
  <c r="M344" i="3" s="1"/>
  <c r="M345" i="3" s="1"/>
  <c r="M346" i="3" s="1"/>
  <c r="M347" i="3" s="1"/>
  <c r="M348" i="3" s="1"/>
  <c r="M349" i="3" s="1"/>
  <c r="M350" i="3" s="1"/>
  <c r="M351" i="3" s="1"/>
  <c r="M352" i="3" s="1"/>
  <c r="M353" i="3" s="1"/>
  <c r="M354" i="3" s="1"/>
  <c r="M355" i="3" s="1"/>
  <c r="M356" i="3" s="1"/>
  <c r="M357" i="3" s="1"/>
  <c r="M358" i="3" s="1"/>
  <c r="M359" i="3" s="1"/>
  <c r="M360" i="3" s="1"/>
  <c r="M361" i="3" s="1"/>
  <c r="M362" i="3" s="1"/>
  <c r="M363" i="3" s="1"/>
  <c r="M364" i="3" s="1"/>
  <c r="M365" i="3" s="1"/>
  <c r="M366" i="3" s="1"/>
  <c r="M367" i="3" s="1"/>
  <c r="M368" i="3" s="1"/>
  <c r="M369" i="3" s="1"/>
  <c r="M370" i="3" s="1"/>
  <c r="M371" i="3" s="1"/>
  <c r="M372" i="3" s="1"/>
  <c r="M373" i="3" s="1"/>
  <c r="M374" i="3" s="1"/>
  <c r="M375" i="3" s="1"/>
  <c r="M376" i="3" s="1"/>
  <c r="M377" i="3" s="1"/>
  <c r="M378" i="3" s="1"/>
  <c r="M379" i="3" s="1"/>
  <c r="M380" i="3" s="1"/>
  <c r="M381" i="3" s="1"/>
  <c r="M382" i="3" s="1"/>
  <c r="M383" i="3" s="1"/>
  <c r="M384" i="3" s="1"/>
  <c r="M385" i="3" s="1"/>
  <c r="M386" i="3" s="1"/>
  <c r="M387" i="3" s="1"/>
  <c r="M388" i="3" s="1"/>
  <c r="M389" i="3" s="1"/>
  <c r="M390" i="3" s="1"/>
  <c r="M391" i="3" s="1"/>
  <c r="M392" i="3" s="1"/>
  <c r="M393" i="3" s="1"/>
  <c r="M394" i="3" s="1"/>
  <c r="M395" i="3" s="1"/>
  <c r="M396" i="3" s="1"/>
  <c r="M397" i="3" s="1"/>
  <c r="M398" i="3" s="1"/>
  <c r="M399" i="3" s="1"/>
  <c r="M400" i="3" s="1"/>
  <c r="M401" i="3" s="1"/>
  <c r="M402" i="3" s="1"/>
  <c r="M403" i="3" s="1"/>
  <c r="M404" i="3" s="1"/>
  <c r="M405" i="3" s="1"/>
  <c r="M406" i="3" s="1"/>
  <c r="M407" i="3" s="1"/>
  <c r="M408" i="3" s="1"/>
  <c r="M409" i="3" s="1"/>
  <c r="M410" i="3" s="1"/>
  <c r="M411" i="3" s="1"/>
  <c r="M412" i="3" s="1"/>
  <c r="M413" i="3" s="1"/>
  <c r="M414" i="3" s="1"/>
  <c r="M415" i="3" s="1"/>
  <c r="M416" i="3" s="1"/>
  <c r="M417" i="3" s="1"/>
  <c r="M418" i="3" s="1"/>
  <c r="M419" i="3" s="1"/>
  <c r="M420" i="3" s="1"/>
  <c r="M421" i="3" s="1"/>
  <c r="M422" i="3" s="1"/>
  <c r="M423" i="3" s="1"/>
  <c r="M424" i="3" s="1"/>
  <c r="M425" i="3" s="1"/>
  <c r="M426" i="3" s="1"/>
  <c r="M427" i="3" s="1"/>
  <c r="M428" i="3" s="1"/>
  <c r="M429" i="3" s="1"/>
  <c r="M430" i="3" s="1"/>
  <c r="M431" i="3" s="1"/>
  <c r="M432" i="3" s="1"/>
  <c r="M433" i="3" s="1"/>
  <c r="M434" i="3" s="1"/>
  <c r="M435" i="3" s="1"/>
  <c r="M436" i="3" s="1"/>
  <c r="M437" i="3" s="1"/>
  <c r="M438" i="3" s="1"/>
  <c r="M439" i="3" s="1"/>
  <c r="M440" i="3" s="1"/>
  <c r="M441" i="3" s="1"/>
  <c r="M442" i="3" s="1"/>
  <c r="M443" i="3" s="1"/>
  <c r="M444" i="3" s="1"/>
  <c r="M445" i="3" s="1"/>
  <c r="M446" i="3" s="1"/>
  <c r="M447" i="3" s="1"/>
  <c r="M448" i="3" s="1"/>
  <c r="M449" i="3" s="1"/>
  <c r="M450" i="3" s="1"/>
  <c r="M451" i="3" s="1"/>
  <c r="M452" i="3" s="1"/>
  <c r="M453" i="3" s="1"/>
  <c r="M454" i="3" s="1"/>
  <c r="M455" i="3" s="1"/>
  <c r="M456" i="3" s="1"/>
  <c r="M457" i="3" s="1"/>
  <c r="M458" i="3" s="1"/>
  <c r="M459" i="3" s="1"/>
  <c r="M460" i="3" s="1"/>
  <c r="M461" i="3" s="1"/>
  <c r="M462" i="3" s="1"/>
  <c r="M463" i="3" s="1"/>
  <c r="M464" i="3" s="1"/>
  <c r="M465" i="3" s="1"/>
  <c r="M466" i="3" s="1"/>
  <c r="M467" i="3" s="1"/>
  <c r="M468" i="3" s="1"/>
  <c r="M469" i="3" s="1"/>
  <c r="M470" i="3" s="1"/>
  <c r="M471" i="3" s="1"/>
  <c r="M472" i="3" s="1"/>
  <c r="M473" i="3" s="1"/>
  <c r="M474" i="3" s="1"/>
  <c r="M475" i="3" s="1"/>
  <c r="M476" i="3" s="1"/>
  <c r="M477" i="3" s="1"/>
  <c r="M478" i="3" s="1"/>
  <c r="M479" i="3" s="1"/>
  <c r="M480" i="3" s="1"/>
  <c r="M481" i="3" s="1"/>
  <c r="M482" i="3" s="1"/>
  <c r="M483" i="3" s="1"/>
  <c r="M484" i="3" s="1"/>
  <c r="M485" i="3" s="1"/>
  <c r="M486" i="3" s="1"/>
  <c r="M487" i="3" s="1"/>
  <c r="M488" i="3" s="1"/>
  <c r="M489" i="3" s="1"/>
  <c r="M490" i="3" s="1"/>
  <c r="M491" i="3" s="1"/>
  <c r="M492" i="3" s="1"/>
  <c r="M493" i="3" s="1"/>
  <c r="M494" i="3" s="1"/>
  <c r="M495" i="3" s="1"/>
  <c r="M496" i="3" s="1"/>
  <c r="M497" i="3" s="1"/>
  <c r="M498" i="3" s="1"/>
  <c r="M499" i="3" s="1"/>
  <c r="M500" i="3" s="1"/>
  <c r="M501" i="3" s="1"/>
  <c r="M502" i="3" s="1"/>
  <c r="M503" i="3" s="1"/>
  <c r="M504" i="3" s="1"/>
  <c r="M505" i="3" s="1"/>
  <c r="M506" i="3" s="1"/>
  <c r="M507" i="3" s="1"/>
  <c r="M508" i="3" s="1"/>
  <c r="M509" i="3" s="1"/>
  <c r="M510" i="3" s="1"/>
  <c r="M511" i="3" s="1"/>
  <c r="M512" i="3" s="1"/>
  <c r="M513" i="3" s="1"/>
  <c r="M514" i="3" s="1"/>
  <c r="M515" i="3" s="1"/>
  <c r="M516" i="3" s="1"/>
  <c r="M517" i="3" s="1"/>
  <c r="M518" i="3" s="1"/>
  <c r="M519" i="3" s="1"/>
  <c r="M520" i="3" s="1"/>
  <c r="M521" i="3" s="1"/>
  <c r="M522" i="3" s="1"/>
  <c r="M523" i="3" s="1"/>
  <c r="M524" i="3" s="1"/>
  <c r="M525" i="3" s="1"/>
  <c r="M526" i="3" s="1"/>
  <c r="M527" i="3" s="1"/>
  <c r="M528" i="3" s="1"/>
  <c r="M529" i="3" s="1"/>
  <c r="M530" i="3" s="1"/>
  <c r="M531" i="3" s="1"/>
  <c r="M532" i="3" s="1"/>
  <c r="M533" i="3" s="1"/>
  <c r="M534" i="3" s="1"/>
  <c r="M535" i="3" s="1"/>
  <c r="M536" i="3" s="1"/>
  <c r="M537" i="3" s="1"/>
  <c r="M538" i="3" s="1"/>
  <c r="M539" i="3" s="1"/>
  <c r="M540" i="3" s="1"/>
  <c r="M541" i="3" s="1"/>
  <c r="M542" i="3" s="1"/>
  <c r="M543" i="3" s="1"/>
  <c r="M544" i="3" s="1"/>
  <c r="M545" i="3" s="1"/>
  <c r="M546" i="3" s="1"/>
  <c r="M547" i="3" s="1"/>
  <c r="M548" i="3" s="1"/>
  <c r="M549" i="3" s="1"/>
  <c r="M550" i="3" s="1"/>
  <c r="M551" i="3" s="1"/>
  <c r="M552" i="3" s="1"/>
  <c r="M553" i="3" s="1"/>
  <c r="M554" i="3" s="1"/>
  <c r="M555" i="3" s="1"/>
  <c r="M556" i="3" s="1"/>
  <c r="M557" i="3" s="1"/>
  <c r="M558" i="3" s="1"/>
  <c r="M559" i="3" s="1"/>
  <c r="M560" i="3" s="1"/>
  <c r="M561" i="3" s="1"/>
  <c r="M562" i="3" s="1"/>
  <c r="M563" i="3" s="1"/>
  <c r="M564" i="3" s="1"/>
  <c r="M565" i="3" s="1"/>
  <c r="M566" i="3" s="1"/>
  <c r="M567" i="3" s="1"/>
  <c r="M568" i="3" s="1"/>
  <c r="M569" i="3" s="1"/>
  <c r="M570" i="3" s="1"/>
  <c r="M571" i="3" s="1"/>
  <c r="M572" i="3" s="1"/>
  <c r="M573" i="3" s="1"/>
  <c r="M574" i="3" s="1"/>
  <c r="M575" i="3" s="1"/>
  <c r="M576" i="3" s="1"/>
  <c r="M577" i="3" s="1"/>
  <c r="M578" i="3" s="1"/>
  <c r="M579" i="3" s="1"/>
  <c r="M580" i="3" s="1"/>
  <c r="M581" i="3" s="1"/>
  <c r="M582" i="3" s="1"/>
  <c r="M583" i="3" s="1"/>
  <c r="M584" i="3" s="1"/>
  <c r="M585" i="3" s="1"/>
  <c r="M586" i="3" s="1"/>
  <c r="M587" i="3" s="1"/>
  <c r="M588" i="3" s="1"/>
  <c r="M589" i="3" s="1"/>
  <c r="M590" i="3" s="1"/>
  <c r="M591" i="3" s="1"/>
  <c r="M592" i="3" s="1"/>
  <c r="M593" i="3" s="1"/>
  <c r="M594" i="3" s="1"/>
  <c r="M595" i="3" s="1"/>
  <c r="M596" i="3" s="1"/>
  <c r="M597" i="3" s="1"/>
  <c r="M598" i="3" s="1"/>
  <c r="M599" i="3" s="1"/>
  <c r="M600" i="3" s="1"/>
  <c r="M601" i="3" s="1"/>
  <c r="M602" i="3" s="1"/>
  <c r="M603" i="3" s="1"/>
  <c r="M604" i="3" s="1"/>
  <c r="M605" i="3" s="1"/>
  <c r="M606" i="3" s="1"/>
  <c r="M607" i="3" s="1"/>
  <c r="M608" i="3" s="1"/>
  <c r="M609" i="3" s="1"/>
  <c r="M610" i="3" s="1"/>
  <c r="M611" i="3" s="1"/>
  <c r="M612" i="3" s="1"/>
  <c r="M613" i="3" s="1"/>
  <c r="M614" i="3" s="1"/>
  <c r="M615" i="3" s="1"/>
  <c r="M616" i="3" s="1"/>
  <c r="M617" i="3" s="1"/>
  <c r="M618" i="3" s="1"/>
  <c r="M619" i="3" s="1"/>
  <c r="M620" i="3" s="1"/>
  <c r="M621" i="3" s="1"/>
  <c r="M622" i="3" s="1"/>
  <c r="M623" i="3" s="1"/>
  <c r="M624" i="3" s="1"/>
  <c r="M625" i="3" s="1"/>
  <c r="M626" i="3" s="1"/>
  <c r="M627" i="3" s="1"/>
  <c r="M628" i="3" s="1"/>
  <c r="M629" i="3" s="1"/>
  <c r="M630" i="3" s="1"/>
  <c r="M631" i="3" s="1"/>
  <c r="M632" i="3" s="1"/>
  <c r="M633" i="3" s="1"/>
  <c r="M634" i="3" s="1"/>
  <c r="M635" i="3" s="1"/>
  <c r="M636" i="3" s="1"/>
  <c r="M637" i="3" s="1"/>
  <c r="M638" i="3" s="1"/>
  <c r="M639" i="3" s="1"/>
  <c r="M640" i="3" s="1"/>
  <c r="M641" i="3" s="1"/>
  <c r="M642" i="3" s="1"/>
  <c r="M643" i="3" s="1"/>
  <c r="M644" i="3" s="1"/>
  <c r="M645" i="3" s="1"/>
  <c r="M646" i="3" s="1"/>
  <c r="M647" i="3" s="1"/>
  <c r="M648" i="3" s="1"/>
  <c r="M649" i="3" s="1"/>
  <c r="M650" i="3" s="1"/>
  <c r="M651" i="3" s="1"/>
  <c r="M652" i="3" s="1"/>
  <c r="M653" i="3" s="1"/>
  <c r="M654" i="3" s="1"/>
  <c r="M655" i="3" s="1"/>
  <c r="M656" i="3" s="1"/>
  <c r="M657" i="3" s="1"/>
  <c r="M658" i="3" s="1"/>
  <c r="M659" i="3" s="1"/>
  <c r="M660" i="3" s="1"/>
  <c r="M661" i="3" s="1"/>
  <c r="M662" i="3" s="1"/>
  <c r="M663" i="3" s="1"/>
  <c r="M664" i="3" s="1"/>
  <c r="M665" i="3" s="1"/>
  <c r="M666" i="3" s="1"/>
  <c r="M667" i="3" s="1"/>
  <c r="M668" i="3" s="1"/>
  <c r="M669" i="3" s="1"/>
  <c r="M670" i="3" s="1"/>
  <c r="M671" i="3" s="1"/>
  <c r="M672" i="3" s="1"/>
  <c r="M673" i="3" s="1"/>
  <c r="M674" i="3" s="1"/>
  <c r="M675" i="3" s="1"/>
  <c r="M676" i="3" s="1"/>
  <c r="M677" i="3" s="1"/>
  <c r="M678" i="3" s="1"/>
  <c r="M679" i="3" s="1"/>
  <c r="M680" i="3" s="1"/>
  <c r="M681" i="3" s="1"/>
  <c r="M682" i="3" s="1"/>
  <c r="M683" i="3" s="1"/>
  <c r="M684" i="3" s="1"/>
  <c r="M685" i="3" s="1"/>
  <c r="M686" i="3" s="1"/>
  <c r="M687" i="3" s="1"/>
  <c r="M688" i="3" s="1"/>
  <c r="M689" i="3" s="1"/>
  <c r="M690" i="3" s="1"/>
  <c r="M691" i="3" s="1"/>
  <c r="M692" i="3" s="1"/>
  <c r="M693" i="3" s="1"/>
  <c r="M694" i="3" s="1"/>
  <c r="M695" i="3" s="1"/>
  <c r="M696" i="3" s="1"/>
  <c r="M697" i="3" s="1"/>
  <c r="M698" i="3" s="1"/>
  <c r="M699" i="3" s="1"/>
  <c r="M700" i="3" s="1"/>
  <c r="M701" i="3" s="1"/>
  <c r="M702" i="3" s="1"/>
  <c r="M703" i="3" s="1"/>
  <c r="M704" i="3" s="1"/>
  <c r="M705" i="3" s="1"/>
  <c r="M706" i="3" s="1"/>
  <c r="M707" i="3" s="1"/>
  <c r="M708" i="3" s="1"/>
  <c r="M709" i="3" s="1"/>
  <c r="M710" i="3" s="1"/>
  <c r="M711" i="3" s="1"/>
  <c r="M712" i="3" s="1"/>
  <c r="M713" i="3" s="1"/>
  <c r="M714" i="3" s="1"/>
  <c r="M715" i="3" s="1"/>
  <c r="M716" i="3" s="1"/>
  <c r="M717" i="3" s="1"/>
  <c r="M718" i="3" s="1"/>
  <c r="M719" i="3" s="1"/>
  <c r="M720" i="3" s="1"/>
  <c r="M721" i="3" s="1"/>
  <c r="M722" i="3" s="1"/>
  <c r="M723" i="3" s="1"/>
  <c r="M724" i="3" s="1"/>
  <c r="M725" i="3" s="1"/>
  <c r="M726" i="3" s="1"/>
  <c r="M727" i="3" s="1"/>
  <c r="M728" i="3" s="1"/>
  <c r="M729" i="3" s="1"/>
  <c r="M730" i="3" s="1"/>
  <c r="M731" i="3" s="1"/>
  <c r="M732" i="3" s="1"/>
  <c r="M733" i="3" s="1"/>
  <c r="M734" i="3" s="1"/>
  <c r="M735" i="3" s="1"/>
  <c r="O33" i="7"/>
  <c r="O72" i="7"/>
  <c r="P72" i="7" s="1"/>
  <c r="O63" i="7"/>
  <c r="P63" i="7" s="1"/>
  <c r="O48" i="7"/>
  <c r="P48" i="7" s="1"/>
  <c r="O75" i="7"/>
  <c r="P75" i="7" s="1"/>
  <c r="O36" i="7"/>
  <c r="O57" i="7"/>
  <c r="P57" i="7" s="1"/>
  <c r="O52" i="7"/>
  <c r="P52" i="7" s="1"/>
  <c r="O29" i="7"/>
  <c r="O34" i="7"/>
  <c r="O67" i="7"/>
  <c r="P67" i="7" s="1"/>
  <c r="O58" i="7"/>
  <c r="P58" i="7" s="1"/>
  <c r="O35" i="7"/>
  <c r="O45" i="7"/>
  <c r="P45" i="7" s="1"/>
  <c r="O69" i="7"/>
  <c r="P69" i="7" s="1"/>
  <c r="O64" i="7"/>
  <c r="P64" i="7" s="1"/>
  <c r="O51" i="7"/>
  <c r="P51" i="7" s="1"/>
  <c r="O65" i="7"/>
  <c r="P65" i="7" s="1"/>
  <c r="O53" i="7"/>
  <c r="P53" i="7" s="1"/>
  <c r="O50" i="7"/>
  <c r="P50" i="7" s="1"/>
  <c r="O49" i="7"/>
  <c r="P49" i="7" s="1"/>
  <c r="O37" i="7"/>
  <c r="O66" i="7"/>
  <c r="P66" i="7" s="1"/>
  <c r="O55" i="7"/>
  <c r="P55" i="7" s="1"/>
  <c r="O62" i="7"/>
  <c r="P62" i="7" s="1"/>
  <c r="O68" i="7"/>
  <c r="P68" i="7" s="1"/>
  <c r="O56" i="7"/>
  <c r="P56" i="7" s="1"/>
  <c r="O61" i="7"/>
  <c r="P61" i="7" s="1"/>
  <c r="O60" i="7"/>
  <c r="P60" i="7" s="1"/>
  <c r="O31" i="7"/>
  <c r="O73" i="7"/>
  <c r="P73" i="7" s="1"/>
  <c r="O59" i="7"/>
  <c r="P59" i="7" s="1"/>
  <c r="O76" i="7"/>
  <c r="P76" i="7" s="1"/>
  <c r="O38" i="7"/>
  <c r="O47" i="7"/>
  <c r="P47" i="7" s="1"/>
  <c r="O71" i="7"/>
  <c r="P71" i="7" s="1"/>
  <c r="O32" i="7"/>
  <c r="O70" i="7"/>
  <c r="P70" i="7" s="1"/>
  <c r="O46" i="7"/>
  <c r="P46" i="7" s="1"/>
  <c r="O74" i="7"/>
  <c r="P74" i="7" s="1"/>
  <c r="O54" i="7"/>
  <c r="P54" i="7" s="1"/>
  <c r="O30" i="7"/>
  <c r="W19" i="7"/>
  <c r="W18" i="7"/>
  <c r="W17" i="7"/>
  <c r="Z21" i="7"/>
  <c r="X21" i="7"/>
  <c r="Y21" i="7"/>
  <c r="F21" i="7"/>
  <c r="AA21" i="7"/>
  <c r="H21" i="7"/>
  <c r="E21" i="7"/>
  <c r="C22" i="7"/>
  <c r="B23" i="7"/>
  <c r="K20" i="7"/>
  <c r="Q20" i="7"/>
  <c r="R20" i="7" s="1"/>
  <c r="P79" i="7"/>
  <c r="X22" i="7" l="1"/>
  <c r="H22" i="7"/>
  <c r="J22" i="7"/>
  <c r="I22" i="7"/>
  <c r="AA22" i="7"/>
  <c r="Y22" i="7"/>
  <c r="Z22" i="7"/>
  <c r="F22" i="7"/>
  <c r="E22" i="7"/>
  <c r="K21" i="7"/>
  <c r="Q21" i="7"/>
  <c r="R21" i="7" s="1"/>
  <c r="L20" i="7"/>
  <c r="T20" i="7"/>
  <c r="V20" i="7" s="1"/>
  <c r="P23" i="7"/>
  <c r="Q15" i="7"/>
  <c r="B24" i="7"/>
  <c r="C23" i="7"/>
  <c r="P22" i="7"/>
  <c r="W21" i="7" l="1"/>
  <c r="W20" i="7"/>
  <c r="W22" i="7"/>
  <c r="R15" i="7"/>
  <c r="L21" i="7"/>
  <c r="Y23" i="7"/>
  <c r="AA23" i="7"/>
  <c r="I23" i="7"/>
  <c r="Z23" i="7"/>
  <c r="X23" i="7"/>
  <c r="J23" i="7"/>
  <c r="H23" i="7"/>
  <c r="F23" i="7"/>
  <c r="E23" i="7"/>
  <c r="B25" i="7"/>
  <c r="C24" i="7"/>
  <c r="Q22" i="7"/>
  <c r="K22" i="7"/>
  <c r="B26" i="7" l="1"/>
  <c r="C25" i="7"/>
  <c r="K23" i="7"/>
  <c r="Q23" i="7"/>
  <c r="L22" i="7"/>
  <c r="R22" i="7"/>
  <c r="H24" i="7"/>
  <c r="Z24" i="7"/>
  <c r="X24" i="7"/>
  <c r="AA24" i="7"/>
  <c r="Y24" i="7"/>
  <c r="F24" i="7"/>
  <c r="E24" i="7"/>
  <c r="P24" i="7"/>
  <c r="Z25" i="7" l="1"/>
  <c r="J25" i="7"/>
  <c r="I25" i="7"/>
  <c r="Y25" i="7"/>
  <c r="X25" i="7"/>
  <c r="AA25" i="7"/>
  <c r="H25" i="7"/>
  <c r="F25" i="7"/>
  <c r="E25" i="7"/>
  <c r="P25" i="7"/>
  <c r="L23" i="7"/>
  <c r="K24" i="7"/>
  <c r="Q24" i="7"/>
  <c r="B27" i="7"/>
  <c r="C26" i="7"/>
  <c r="R23" i="7"/>
  <c r="T23" i="7"/>
  <c r="V23" i="7" s="1"/>
  <c r="L24" i="7" l="1"/>
  <c r="X26" i="7"/>
  <c r="J26" i="7"/>
  <c r="H26" i="7"/>
  <c r="I26" i="7"/>
  <c r="Y26" i="7"/>
  <c r="Z26" i="7"/>
  <c r="AA26" i="7"/>
  <c r="F26" i="7"/>
  <c r="E26" i="7"/>
  <c r="P26" i="7"/>
  <c r="B28" i="7"/>
  <c r="C27" i="7"/>
  <c r="W25" i="7"/>
  <c r="W23" i="7"/>
  <c r="W24" i="7"/>
  <c r="R24" i="7"/>
  <c r="Q25" i="7"/>
  <c r="K25" i="7"/>
  <c r="R25" i="7" l="1"/>
  <c r="K26" i="7"/>
  <c r="T26" i="7" s="1"/>
  <c r="V26" i="7" s="1"/>
  <c r="Q26" i="7"/>
  <c r="Y27" i="7"/>
  <c r="AA27" i="7"/>
  <c r="X27" i="7"/>
  <c r="Z27" i="7"/>
  <c r="H27" i="7"/>
  <c r="F27" i="7"/>
  <c r="E27" i="7"/>
  <c r="P27" i="7"/>
  <c r="L25" i="7"/>
  <c r="B29" i="7"/>
  <c r="C28" i="7"/>
  <c r="R26" i="7" l="1"/>
  <c r="W26" i="7"/>
  <c r="W27" i="7"/>
  <c r="W28" i="7"/>
  <c r="J28" i="7"/>
  <c r="F28" i="7"/>
  <c r="Z28" i="7"/>
  <c r="X28" i="7"/>
  <c r="H28" i="7"/>
  <c r="I28" i="7"/>
  <c r="E28" i="7"/>
  <c r="P28" i="7"/>
  <c r="K27" i="7"/>
  <c r="Q27" i="7"/>
  <c r="L26" i="7"/>
  <c r="C29" i="7"/>
  <c r="B30" i="7"/>
  <c r="I41" i="7"/>
  <c r="H41" i="7"/>
  <c r="F41" i="7"/>
  <c r="J41" i="7"/>
  <c r="E41" i="7"/>
  <c r="P41" i="7"/>
  <c r="K28" i="7" l="1"/>
  <c r="Q28" i="7"/>
  <c r="X29" i="7"/>
  <c r="Z29" i="7"/>
  <c r="AA29" i="7"/>
  <c r="Y29" i="7"/>
  <c r="H29" i="7"/>
  <c r="J29" i="7"/>
  <c r="F29" i="7"/>
  <c r="I29" i="7"/>
  <c r="E29" i="7"/>
  <c r="P29" i="7"/>
  <c r="R27" i="7"/>
  <c r="Y28" i="7"/>
  <c r="B31" i="7"/>
  <c r="C30" i="7"/>
  <c r="L27" i="7"/>
  <c r="AA28" i="7"/>
  <c r="K41" i="7"/>
  <c r="Q41" i="7"/>
  <c r="T41" i="7" l="1"/>
  <c r="V41" i="7" s="1"/>
  <c r="C31" i="7"/>
  <c r="B32" i="7"/>
  <c r="K29" i="7"/>
  <c r="Q29" i="7"/>
  <c r="R29" i="7" s="1"/>
  <c r="R28" i="7"/>
  <c r="Z30" i="7"/>
  <c r="Y30" i="7"/>
  <c r="X30" i="7"/>
  <c r="AA30" i="7"/>
  <c r="H30" i="7"/>
  <c r="F30" i="7"/>
  <c r="E30" i="7"/>
  <c r="P30" i="7"/>
  <c r="L28" i="7"/>
  <c r="R41" i="7"/>
  <c r="L41" i="7"/>
  <c r="I8" i="7" l="1"/>
  <c r="I9" i="7"/>
  <c r="K30" i="7"/>
  <c r="Q30" i="7"/>
  <c r="R30" i="7" s="1"/>
  <c r="L29" i="7"/>
  <c r="T29" i="7"/>
  <c r="V29" i="7" s="1"/>
  <c r="B33" i="7"/>
  <c r="C32" i="7"/>
  <c r="Z31" i="7"/>
  <c r="Y31" i="7"/>
  <c r="AA31" i="7"/>
  <c r="X31" i="7"/>
  <c r="J31" i="7"/>
  <c r="H31" i="7"/>
  <c r="I31" i="7"/>
  <c r="F31" i="7"/>
  <c r="E31" i="7"/>
  <c r="P31" i="7"/>
  <c r="B34" i="7" l="1"/>
  <c r="C33" i="7"/>
  <c r="L30" i="7"/>
  <c r="Z32" i="7"/>
  <c r="Y32" i="7"/>
  <c r="X32" i="7"/>
  <c r="AA32" i="7"/>
  <c r="I32" i="7"/>
  <c r="J32" i="7"/>
  <c r="H32" i="7"/>
  <c r="F32" i="7"/>
  <c r="E32" i="7"/>
  <c r="P32" i="7"/>
  <c r="W31" i="7"/>
  <c r="W30" i="7"/>
  <c r="W29" i="7"/>
  <c r="O15" i="3"/>
  <c r="F24" i="1"/>
  <c r="Q31" i="7"/>
  <c r="R31" i="7" s="1"/>
  <c r="K31" i="7"/>
  <c r="L31" i="7" s="1"/>
  <c r="C24" i="1"/>
  <c r="B10" i="14" s="1"/>
  <c r="AA8" i="7"/>
  <c r="AA9" i="7"/>
  <c r="AA10" i="7"/>
  <c r="AA7" i="7"/>
  <c r="E15" i="3"/>
  <c r="AA11" i="7"/>
  <c r="AA6" i="7"/>
  <c r="G23" i="1" l="1"/>
  <c r="B11" i="14"/>
  <c r="X33" i="7"/>
  <c r="AA33" i="7"/>
  <c r="Y33" i="7"/>
  <c r="Z33" i="7"/>
  <c r="F33" i="7"/>
  <c r="H33" i="7"/>
  <c r="E33" i="7"/>
  <c r="P33" i="7"/>
  <c r="J15" i="3"/>
  <c r="K15" i="3" s="1"/>
  <c r="C15" i="3"/>
  <c r="P15" i="3"/>
  <c r="K32" i="7"/>
  <c r="Q32" i="7"/>
  <c r="R32" i="7" s="1"/>
  <c r="B35" i="7"/>
  <c r="C34" i="7"/>
  <c r="G7" i="3"/>
  <c r="K33" i="7" l="1"/>
  <c r="Q33" i="7"/>
  <c r="R33" i="7" s="1"/>
  <c r="E380" i="3"/>
  <c r="E408" i="3"/>
  <c r="E430" i="3"/>
  <c r="E454" i="3"/>
  <c r="E484" i="3"/>
  <c r="E393" i="3"/>
  <c r="E497" i="3"/>
  <c r="E521" i="3"/>
  <c r="E547" i="3"/>
  <c r="D548" i="3" s="1"/>
  <c r="E395" i="3"/>
  <c r="E734" i="3"/>
  <c r="E580" i="3"/>
  <c r="D581" i="3" s="1"/>
  <c r="E600" i="3"/>
  <c r="E616" i="3"/>
  <c r="E636" i="3"/>
  <c r="D637" i="3" s="1"/>
  <c r="E455" i="3"/>
  <c r="E605" i="3"/>
  <c r="D606" i="3" s="1"/>
  <c r="E653" i="3"/>
  <c r="E670" i="3"/>
  <c r="E693" i="3"/>
  <c r="E710" i="3"/>
  <c r="E502" i="3"/>
  <c r="E453" i="3"/>
  <c r="E603" i="3"/>
  <c r="E536" i="3"/>
  <c r="E728" i="3"/>
  <c r="E633" i="3"/>
  <c r="E659" i="3"/>
  <c r="E671" i="3"/>
  <c r="E687" i="3"/>
  <c r="E700" i="3"/>
  <c r="E715" i="3"/>
  <c r="E514" i="3"/>
  <c r="E381" i="3"/>
  <c r="E727" i="3"/>
  <c r="E615" i="3"/>
  <c r="E508" i="3"/>
  <c r="D509" i="3" s="1"/>
  <c r="E388" i="3"/>
  <c r="E412" i="3"/>
  <c r="E438" i="3"/>
  <c r="E464" i="3"/>
  <c r="E486" i="3"/>
  <c r="E441" i="3"/>
  <c r="D442" i="3" s="1"/>
  <c r="E505" i="3"/>
  <c r="E527" i="3"/>
  <c r="E553" i="3"/>
  <c r="E427" i="3"/>
  <c r="E568" i="3"/>
  <c r="E584" i="3"/>
  <c r="E602" i="3"/>
  <c r="E624" i="3"/>
  <c r="D625" i="3" s="1"/>
  <c r="E642" i="3"/>
  <c r="E726" i="3"/>
  <c r="E613" i="3"/>
  <c r="E657" i="3"/>
  <c r="D658" i="3" s="1"/>
  <c r="E678" i="3"/>
  <c r="E694" i="3"/>
  <c r="E713" i="3"/>
  <c r="E534" i="3"/>
  <c r="D535" i="3" s="1"/>
  <c r="E469" i="3"/>
  <c r="E627" i="3"/>
  <c r="E544" i="3"/>
  <c r="D545" i="3" s="1"/>
  <c r="E399" i="3"/>
  <c r="E577" i="3"/>
  <c r="E641" i="3"/>
  <c r="E660" i="3"/>
  <c r="D661" i="3" s="1"/>
  <c r="E676" i="3"/>
  <c r="D677" i="3" s="1"/>
  <c r="E691" i="3"/>
  <c r="E703" i="3"/>
  <c r="D704" i="3" s="1"/>
  <c r="E719" i="3"/>
  <c r="E522" i="3"/>
  <c r="D523" i="3" s="1"/>
  <c r="E429" i="3"/>
  <c r="E567" i="3"/>
  <c r="E623" i="3"/>
  <c r="E532" i="3"/>
  <c r="E396" i="3"/>
  <c r="D397" i="3" s="1"/>
  <c r="E416" i="3"/>
  <c r="D417" i="3" s="1"/>
  <c r="E444" i="3"/>
  <c r="E470" i="3"/>
  <c r="E377" i="3"/>
  <c r="E457" i="3"/>
  <c r="D458" i="3" s="1"/>
  <c r="E507" i="3"/>
  <c r="E537" i="3"/>
  <c r="E459" i="3"/>
  <c r="E570" i="3"/>
  <c r="E588" i="3"/>
  <c r="D589" i="3" s="1"/>
  <c r="E610" i="3"/>
  <c r="E626" i="3"/>
  <c r="E644" i="3"/>
  <c r="E391" i="3"/>
  <c r="E735" i="3"/>
  <c r="E621" i="3"/>
  <c r="D622" i="3" s="1"/>
  <c r="E662" i="3"/>
  <c r="D663" i="3" s="1"/>
  <c r="E681" i="3"/>
  <c r="E701" i="3"/>
  <c r="E721" i="3"/>
  <c r="D722" i="3" s="1"/>
  <c r="E542" i="3"/>
  <c r="E571" i="3"/>
  <c r="E496" i="3"/>
  <c r="E431" i="3"/>
  <c r="D432" i="3" s="1"/>
  <c r="E593" i="3"/>
  <c r="E651" i="3"/>
  <c r="E667" i="3"/>
  <c r="E679" i="3"/>
  <c r="E692" i="3"/>
  <c r="E708" i="3"/>
  <c r="D709" i="3" s="1"/>
  <c r="E723" i="3"/>
  <c r="E530" i="3"/>
  <c r="E445" i="3"/>
  <c r="E583" i="3"/>
  <c r="E647" i="3"/>
  <c r="E540" i="3"/>
  <c r="E398" i="3"/>
  <c r="E428" i="3"/>
  <c r="E452" i="3"/>
  <c r="E472" i="3"/>
  <c r="E385" i="3"/>
  <c r="E481" i="3"/>
  <c r="D482" i="3" s="1"/>
  <c r="E519" i="3"/>
  <c r="E539" i="3"/>
  <c r="E387" i="3"/>
  <c r="E483" i="3"/>
  <c r="E572" i="3"/>
  <c r="E594" i="3"/>
  <c r="E612" i="3"/>
  <c r="E632" i="3"/>
  <c r="E407" i="3"/>
  <c r="E573" i="3"/>
  <c r="E649" i="3"/>
  <c r="E669" i="3"/>
  <c r="E685" i="3"/>
  <c r="E705" i="3"/>
  <c r="D706" i="3" s="1"/>
  <c r="E725" i="3"/>
  <c r="E437" i="3"/>
  <c r="E587" i="3"/>
  <c r="E504" i="3"/>
  <c r="E479" i="3"/>
  <c r="E601" i="3"/>
  <c r="E655" i="3"/>
  <c r="E668" i="3"/>
  <c r="E683" i="3"/>
  <c r="E699" i="3"/>
  <c r="E711" i="3"/>
  <c r="E724" i="3"/>
  <c r="E554" i="3"/>
  <c r="E461" i="3"/>
  <c r="E599" i="3"/>
  <c r="E500" i="3"/>
  <c r="E556" i="3"/>
  <c r="D557" i="3" s="1"/>
  <c r="E404" i="3"/>
  <c r="E446" i="3"/>
  <c r="E488" i="3"/>
  <c r="E409" i="3"/>
  <c r="E513" i="3"/>
  <c r="E555" i="3"/>
  <c r="E411" i="3"/>
  <c r="E574" i="3"/>
  <c r="E606" i="3"/>
  <c r="E638" i="3"/>
  <c r="E423" i="3"/>
  <c r="E629" i="3"/>
  <c r="E674" i="3"/>
  <c r="D675" i="3" s="1"/>
  <c r="E706" i="3"/>
  <c r="E550" i="3"/>
  <c r="D551" i="3" s="1"/>
  <c r="E485" i="3"/>
  <c r="E520" i="3"/>
  <c r="E447" i="3"/>
  <c r="E495" i="3"/>
  <c r="E376" i="3"/>
  <c r="E432" i="3"/>
  <c r="E492" i="3"/>
  <c r="E473" i="3"/>
  <c r="E543" i="3"/>
  <c r="E419" i="3"/>
  <c r="E586" i="3"/>
  <c r="E628" i="3"/>
  <c r="E439" i="3"/>
  <c r="E654" i="3"/>
  <c r="E697" i="3"/>
  <c r="E558" i="3"/>
  <c r="E595" i="3"/>
  <c r="E648" i="3"/>
  <c r="E680" i="3"/>
  <c r="E712" i="3"/>
  <c r="E575" i="3"/>
  <c r="E548" i="3"/>
  <c r="E493" i="3"/>
  <c r="E498" i="3"/>
  <c r="E684" i="3"/>
  <c r="E625" i="3"/>
  <c r="E512" i="3"/>
  <c r="E689" i="3"/>
  <c r="E581" i="3"/>
  <c r="E634" i="3"/>
  <c r="E578" i="3"/>
  <c r="E733" i="3"/>
  <c r="E480" i="3"/>
  <c r="E400" i="3"/>
  <c r="E730" i="3"/>
  <c r="E557" i="3"/>
  <c r="E525" i="3"/>
  <c r="E729" i="3"/>
  <c r="E490" i="3"/>
  <c r="E458" i="3"/>
  <c r="E426" i="3"/>
  <c r="E394" i="3"/>
  <c r="E523" i="3"/>
  <c r="E451" i="3"/>
  <c r="E614" i="3"/>
  <c r="E646" i="3"/>
  <c r="E487" i="3"/>
  <c r="E682" i="3"/>
  <c r="E714" i="3"/>
  <c r="E552" i="3"/>
  <c r="E732" i="3"/>
  <c r="E499" i="3"/>
  <c r="E559" i="3"/>
  <c r="E596" i="3"/>
  <c r="E731" i="3"/>
  <c r="E709" i="3"/>
  <c r="E635" i="3"/>
  <c r="E656" i="3"/>
  <c r="E688" i="3"/>
  <c r="E524" i="3"/>
  <c r="E675" i="3"/>
  <c r="E560" i="3"/>
  <c r="E619" i="3"/>
  <c r="E526" i="3"/>
  <c r="E471" i="3"/>
  <c r="E620" i="3"/>
  <c r="E562" i="3"/>
  <c r="E425" i="3"/>
  <c r="E460" i="3"/>
  <c r="E384" i="3"/>
  <c r="E467" i="3"/>
  <c r="E549" i="3"/>
  <c r="E517" i="3"/>
  <c r="E450" i="3"/>
  <c r="E418" i="3"/>
  <c r="E414" i="3"/>
  <c r="E456" i="3"/>
  <c r="E449" i="3"/>
  <c r="E582" i="3"/>
  <c r="E650" i="3"/>
  <c r="E579" i="3"/>
  <c r="E390" i="3"/>
  <c r="E448" i="3"/>
  <c r="E475" i="3"/>
  <c r="E640" i="3"/>
  <c r="E665" i="3"/>
  <c r="E463" i="3"/>
  <c r="E720" i="3"/>
  <c r="E607" i="3"/>
  <c r="E397" i="3"/>
  <c r="E716" i="3"/>
  <c r="E673" i="3"/>
  <c r="E551" i="3"/>
  <c r="E465" i="3"/>
  <c r="E482" i="3"/>
  <c r="E386" i="3"/>
  <c r="E382" i="3"/>
  <c r="E424" i="3"/>
  <c r="E468" i="3"/>
  <c r="E489" i="3"/>
  <c r="E535" i="3"/>
  <c r="E491" i="3"/>
  <c r="E590" i="3"/>
  <c r="E622" i="3"/>
  <c r="E565" i="3"/>
  <c r="E658" i="3"/>
  <c r="E690" i="3"/>
  <c r="E722" i="3"/>
  <c r="E611" i="3"/>
  <c r="E585" i="3"/>
  <c r="E406" i="3"/>
  <c r="E462" i="3"/>
  <c r="E515" i="3"/>
  <c r="E564" i="3"/>
  <c r="E608" i="3"/>
  <c r="E589" i="3"/>
  <c r="E677" i="3"/>
  <c r="E718" i="3"/>
  <c r="E405" i="3"/>
  <c r="E528" i="3"/>
  <c r="E569" i="3"/>
  <c r="E664" i="3"/>
  <c r="E696" i="3"/>
  <c r="E506" i="3"/>
  <c r="E413" i="3"/>
  <c r="E639" i="3"/>
  <c r="E631" i="3"/>
  <c r="E707" i="3"/>
  <c r="E663" i="3"/>
  <c r="E415" i="3"/>
  <c r="E563" i="3"/>
  <c r="E717" i="3"/>
  <c r="E661" i="3"/>
  <c r="E604" i="3"/>
  <c r="E443" i="3"/>
  <c r="E531" i="3"/>
  <c r="E440" i="3"/>
  <c r="E435" i="3"/>
  <c r="E541" i="3"/>
  <c r="E509" i="3"/>
  <c r="E433" i="3"/>
  <c r="E474" i="3"/>
  <c r="E442" i="3"/>
  <c r="E410" i="3"/>
  <c r="E378" i="3"/>
  <c r="E591" i="3"/>
  <c r="E403" i="3"/>
  <c r="E501" i="3"/>
  <c r="E401" i="3"/>
  <c r="E434" i="3"/>
  <c r="E402" i="3"/>
  <c r="E392" i="3"/>
  <c r="E436" i="3"/>
  <c r="E478" i="3"/>
  <c r="E503" i="3"/>
  <c r="E545" i="3"/>
  <c r="E566" i="3"/>
  <c r="E598" i="3"/>
  <c r="E630" i="3"/>
  <c r="E597" i="3"/>
  <c r="E666" i="3"/>
  <c r="E698" i="3"/>
  <c r="E518" i="3"/>
  <c r="E421" i="3"/>
  <c r="E643" i="3"/>
  <c r="E383" i="3"/>
  <c r="E617" i="3"/>
  <c r="E420" i="3"/>
  <c r="E476" i="3"/>
  <c r="E417" i="3"/>
  <c r="E529" i="3"/>
  <c r="E576" i="3"/>
  <c r="E618" i="3"/>
  <c r="E637" i="3"/>
  <c r="E686" i="3"/>
  <c r="E510" i="3"/>
  <c r="E561" i="3"/>
  <c r="E609" i="3"/>
  <c r="E672" i="3"/>
  <c r="E704" i="3"/>
  <c r="E538" i="3"/>
  <c r="E477" i="3"/>
  <c r="E516" i="3"/>
  <c r="E546" i="3"/>
  <c r="E695" i="3"/>
  <c r="E652" i="3"/>
  <c r="E389" i="3"/>
  <c r="E702" i="3"/>
  <c r="E645" i="3"/>
  <c r="E494" i="3"/>
  <c r="E592" i="3"/>
  <c r="E379" i="3"/>
  <c r="E511" i="3"/>
  <c r="E422" i="3"/>
  <c r="E16" i="3"/>
  <c r="C16" i="3" s="1"/>
  <c r="D16" i="3" s="1"/>
  <c r="E533" i="3"/>
  <c r="E466" i="3"/>
  <c r="L32" i="7"/>
  <c r="T32" i="7"/>
  <c r="V32" i="7" s="1"/>
  <c r="B36" i="7"/>
  <c r="C35" i="7"/>
  <c r="X34" i="7"/>
  <c r="Z34" i="7"/>
  <c r="AA34" i="7"/>
  <c r="Y34" i="7"/>
  <c r="F34" i="7"/>
  <c r="J34" i="7"/>
  <c r="I34" i="7"/>
  <c r="H34" i="7"/>
  <c r="E34" i="7"/>
  <c r="P34" i="7"/>
  <c r="E17" i="3" l="1"/>
  <c r="C17" i="3" s="1"/>
  <c r="D17" i="3" s="1"/>
  <c r="D423" i="3"/>
  <c r="C423" i="3"/>
  <c r="D517" i="3"/>
  <c r="C517" i="3"/>
  <c r="C417" i="3"/>
  <c r="D418" i="3"/>
  <c r="C418" i="3"/>
  <c r="D567" i="3"/>
  <c r="C567" i="3"/>
  <c r="D435" i="3"/>
  <c r="C435" i="3"/>
  <c r="C379" i="3"/>
  <c r="D379" i="3"/>
  <c r="C444" i="3"/>
  <c r="D444" i="3"/>
  <c r="C570" i="3"/>
  <c r="D570" i="3"/>
  <c r="C565" i="3"/>
  <c r="D565" i="3"/>
  <c r="D586" i="3"/>
  <c r="C586" i="3"/>
  <c r="D387" i="3"/>
  <c r="C387" i="3"/>
  <c r="C607" i="3"/>
  <c r="D608" i="3"/>
  <c r="C608" i="3"/>
  <c r="D451" i="3"/>
  <c r="C451" i="3"/>
  <c r="C675" i="3"/>
  <c r="D676" i="3"/>
  <c r="C676" i="3"/>
  <c r="C491" i="3"/>
  <c r="D491" i="3"/>
  <c r="D576" i="3"/>
  <c r="C576" i="3"/>
  <c r="D602" i="3"/>
  <c r="C602" i="3"/>
  <c r="D574" i="3"/>
  <c r="C574" i="3"/>
  <c r="D648" i="3"/>
  <c r="C648" i="3"/>
  <c r="D378" i="3"/>
  <c r="C378" i="3"/>
  <c r="D720" i="3"/>
  <c r="C720" i="3"/>
  <c r="D569" i="3"/>
  <c r="C569" i="3"/>
  <c r="D487" i="3"/>
  <c r="C487" i="3"/>
  <c r="D389" i="3"/>
  <c r="C389" i="3"/>
  <c r="D688" i="3"/>
  <c r="C688" i="3"/>
  <c r="D456" i="3"/>
  <c r="C456" i="3"/>
  <c r="K34" i="7"/>
  <c r="L34" i="7" s="1"/>
  <c r="Q34" i="7"/>
  <c r="R34" i="7" s="1"/>
  <c r="W33" i="7"/>
  <c r="W32" i="7"/>
  <c r="W34" i="7"/>
  <c r="D534" i="3"/>
  <c r="C534" i="3"/>
  <c r="D512" i="3"/>
  <c r="C512" i="3"/>
  <c r="D646" i="3"/>
  <c r="C646" i="3"/>
  <c r="D653" i="3"/>
  <c r="C653" i="3"/>
  <c r="D478" i="3"/>
  <c r="C478" i="3"/>
  <c r="C610" i="3"/>
  <c r="D610" i="3"/>
  <c r="C687" i="3"/>
  <c r="D687" i="3"/>
  <c r="D577" i="3"/>
  <c r="C577" i="3"/>
  <c r="D477" i="3"/>
  <c r="C477" i="3"/>
  <c r="D618" i="3"/>
  <c r="C618" i="3"/>
  <c r="D519" i="3"/>
  <c r="C519" i="3"/>
  <c r="D479" i="3"/>
  <c r="C479" i="3"/>
  <c r="D404" i="3"/>
  <c r="C404" i="3"/>
  <c r="D411" i="3"/>
  <c r="C411" i="3"/>
  <c r="D434" i="3"/>
  <c r="C434" i="3"/>
  <c r="D436" i="3"/>
  <c r="C436" i="3"/>
  <c r="D441" i="3"/>
  <c r="C441" i="3"/>
  <c r="C605" i="3"/>
  <c r="D605" i="3"/>
  <c r="C564" i="3"/>
  <c r="D564" i="3"/>
  <c r="C507" i="3"/>
  <c r="D507" i="3"/>
  <c r="D529" i="3"/>
  <c r="C529" i="3"/>
  <c r="C589" i="3"/>
  <c r="D590" i="3"/>
  <c r="C590" i="3"/>
  <c r="C407" i="3"/>
  <c r="D407" i="3"/>
  <c r="C691" i="3"/>
  <c r="D691" i="3"/>
  <c r="C622" i="3"/>
  <c r="D623" i="3"/>
  <c r="C623" i="3"/>
  <c r="C535" i="3"/>
  <c r="D536" i="3"/>
  <c r="C536" i="3"/>
  <c r="D425" i="3"/>
  <c r="C425" i="3"/>
  <c r="C482" i="3"/>
  <c r="C483" i="3"/>
  <c r="D483" i="3"/>
  <c r="C674" i="3"/>
  <c r="D674" i="3"/>
  <c r="C721" i="3"/>
  <c r="D721" i="3"/>
  <c r="D476" i="3"/>
  <c r="C476" i="3"/>
  <c r="D580" i="3"/>
  <c r="C580" i="3"/>
  <c r="D450" i="3"/>
  <c r="C450" i="3"/>
  <c r="D468" i="3"/>
  <c r="C468" i="3"/>
  <c r="D426" i="3"/>
  <c r="C426" i="3"/>
  <c r="D527" i="3"/>
  <c r="C527" i="3"/>
  <c r="D525" i="3"/>
  <c r="C525" i="3"/>
  <c r="D636" i="3"/>
  <c r="C636" i="3"/>
  <c r="C597" i="3"/>
  <c r="D597" i="3"/>
  <c r="D715" i="3"/>
  <c r="C715" i="3"/>
  <c r="C615" i="3"/>
  <c r="D615" i="3"/>
  <c r="D395" i="3"/>
  <c r="C395" i="3"/>
  <c r="D401" i="3"/>
  <c r="C401" i="3"/>
  <c r="D579" i="3"/>
  <c r="C579" i="3"/>
  <c r="D499" i="3"/>
  <c r="C499" i="3"/>
  <c r="C655" i="3"/>
  <c r="D655" i="3"/>
  <c r="D420" i="3"/>
  <c r="C420" i="3"/>
  <c r="C432" i="3"/>
  <c r="D433" i="3"/>
  <c r="C433" i="3"/>
  <c r="D448" i="3"/>
  <c r="C448" i="3"/>
  <c r="C706" i="3"/>
  <c r="D707" i="3"/>
  <c r="C707" i="3"/>
  <c r="D639" i="3"/>
  <c r="C639" i="3"/>
  <c r="C556" i="3"/>
  <c r="D556" i="3"/>
  <c r="D447" i="3"/>
  <c r="C447" i="3"/>
  <c r="D501" i="3"/>
  <c r="C501" i="3"/>
  <c r="D555" i="3"/>
  <c r="C555" i="3"/>
  <c r="D684" i="3"/>
  <c r="C684" i="3"/>
  <c r="C480" i="3"/>
  <c r="D480" i="3"/>
  <c r="C438" i="3"/>
  <c r="D438" i="3"/>
  <c r="D686" i="3"/>
  <c r="C686" i="3"/>
  <c r="D408" i="3"/>
  <c r="C408" i="3"/>
  <c r="D595" i="3"/>
  <c r="C595" i="3"/>
  <c r="D386" i="3"/>
  <c r="C386" i="3"/>
  <c r="D429" i="3"/>
  <c r="C429" i="3"/>
  <c r="C584" i="3"/>
  <c r="D584" i="3"/>
  <c r="C724" i="3"/>
  <c r="D724" i="3"/>
  <c r="D668" i="3"/>
  <c r="C668" i="3"/>
  <c r="D543" i="3"/>
  <c r="C543" i="3"/>
  <c r="D645" i="3"/>
  <c r="C645" i="3"/>
  <c r="D571" i="3"/>
  <c r="C571" i="3"/>
  <c r="D538" i="3"/>
  <c r="C538" i="3"/>
  <c r="D430" i="3"/>
  <c r="C430" i="3"/>
  <c r="C642" i="3"/>
  <c r="D642" i="3"/>
  <c r="C628" i="3"/>
  <c r="D628" i="3"/>
  <c r="D714" i="3"/>
  <c r="C714" i="3"/>
  <c r="D614" i="3"/>
  <c r="C614" i="3"/>
  <c r="C428" i="3"/>
  <c r="D428" i="3"/>
  <c r="D506" i="3"/>
  <c r="C506" i="3"/>
  <c r="D465" i="3"/>
  <c r="C465" i="3"/>
  <c r="C616" i="3"/>
  <c r="D616" i="3"/>
  <c r="D515" i="3"/>
  <c r="C515" i="3"/>
  <c r="D672" i="3"/>
  <c r="C672" i="3"/>
  <c r="D671" i="3"/>
  <c r="C671" i="3"/>
  <c r="C409" i="3"/>
  <c r="D409" i="3"/>
  <c r="B37" i="7"/>
  <c r="C36" i="7"/>
  <c r="D467" i="3"/>
  <c r="C467" i="3"/>
  <c r="D673" i="3"/>
  <c r="C673" i="3"/>
  <c r="C619" i="3"/>
  <c r="D619" i="3"/>
  <c r="D422" i="3"/>
  <c r="C422" i="3"/>
  <c r="D592" i="3"/>
  <c r="C592" i="3"/>
  <c r="D718" i="3"/>
  <c r="C718" i="3"/>
  <c r="D414" i="3"/>
  <c r="C414" i="3"/>
  <c r="D463" i="3"/>
  <c r="C463" i="3"/>
  <c r="C641" i="3"/>
  <c r="D641" i="3"/>
  <c r="C461" i="3"/>
  <c r="D461" i="3"/>
  <c r="C732" i="3"/>
  <c r="D732" i="3"/>
  <c r="D647" i="3"/>
  <c r="C647" i="3"/>
  <c r="C557" i="3"/>
  <c r="C558" i="3"/>
  <c r="D558" i="3"/>
  <c r="D690" i="3"/>
  <c r="C690" i="3"/>
  <c r="C685" i="3"/>
  <c r="D685" i="3"/>
  <c r="D698" i="3"/>
  <c r="C698" i="3"/>
  <c r="D493" i="3"/>
  <c r="C493" i="3"/>
  <c r="D412" i="3"/>
  <c r="C412" i="3"/>
  <c r="D700" i="3"/>
  <c r="C700" i="3"/>
  <c r="C588" i="3"/>
  <c r="D588" i="3"/>
  <c r="D613" i="3"/>
  <c r="C613" i="3"/>
  <c r="D453" i="3"/>
  <c r="C453" i="3"/>
  <c r="D531" i="3"/>
  <c r="C531" i="3"/>
  <c r="D392" i="3"/>
  <c r="C392" i="3"/>
  <c r="D528" i="3"/>
  <c r="C528" i="3"/>
  <c r="C454" i="3"/>
  <c r="D454" i="3"/>
  <c r="D601" i="3"/>
  <c r="C601" i="3"/>
  <c r="C431" i="3"/>
  <c r="D431" i="3"/>
  <c r="C380" i="3"/>
  <c r="D380" i="3"/>
  <c r="C703" i="3"/>
  <c r="D703" i="3"/>
  <c r="D696" i="3"/>
  <c r="C696" i="3"/>
  <c r="D539" i="3"/>
  <c r="C539" i="3"/>
  <c r="C637" i="3"/>
  <c r="D638" i="3"/>
  <c r="C638" i="3"/>
  <c r="D421" i="3"/>
  <c r="C421" i="3"/>
  <c r="C384" i="3"/>
  <c r="D384" i="3"/>
  <c r="D699" i="3"/>
  <c r="C699" i="3"/>
  <c r="C631" i="3"/>
  <c r="D631" i="3"/>
  <c r="C545" i="3"/>
  <c r="D546" i="3"/>
  <c r="C546" i="3"/>
  <c r="D437" i="3"/>
  <c r="C437" i="3"/>
  <c r="D402" i="3"/>
  <c r="C402" i="3"/>
  <c r="C442" i="3"/>
  <c r="D443" i="3"/>
  <c r="C443" i="3"/>
  <c r="C509" i="3"/>
  <c r="C510" i="3"/>
  <c r="D510" i="3"/>
  <c r="C416" i="3"/>
  <c r="D416" i="3"/>
  <c r="C632" i="3"/>
  <c r="D632" i="3"/>
  <c r="D697" i="3"/>
  <c r="C697" i="3"/>
  <c r="C406" i="3"/>
  <c r="D406" i="3"/>
  <c r="D516" i="3"/>
  <c r="C516" i="3"/>
  <c r="C612" i="3"/>
  <c r="D612" i="3"/>
  <c r="C658" i="3"/>
  <c r="D659" i="3"/>
  <c r="C659" i="3"/>
  <c r="D591" i="3"/>
  <c r="C591" i="3"/>
  <c r="D490" i="3"/>
  <c r="C490" i="3"/>
  <c r="C383" i="3"/>
  <c r="D383" i="3"/>
  <c r="D466" i="3"/>
  <c r="C466" i="3"/>
  <c r="D717" i="3"/>
  <c r="C717" i="3"/>
  <c r="C464" i="3"/>
  <c r="D464" i="3"/>
  <c r="C449" i="3"/>
  <c r="D449" i="3"/>
  <c r="C651" i="3"/>
  <c r="D651" i="3"/>
  <c r="D457" i="3"/>
  <c r="C457" i="3"/>
  <c r="D518" i="3"/>
  <c r="C518" i="3"/>
  <c r="D563" i="3"/>
  <c r="C563" i="3"/>
  <c r="D620" i="3"/>
  <c r="C620" i="3"/>
  <c r="D560" i="3"/>
  <c r="C560" i="3"/>
  <c r="D733" i="3"/>
  <c r="C733" i="3"/>
  <c r="D683" i="3"/>
  <c r="C683" i="3"/>
  <c r="C452" i="3"/>
  <c r="D452" i="3"/>
  <c r="C427" i="3"/>
  <c r="D427" i="3"/>
  <c r="C730" i="3"/>
  <c r="D730" i="3"/>
  <c r="D731" i="3"/>
  <c r="C731" i="3"/>
  <c r="D481" i="3"/>
  <c r="C481" i="3"/>
  <c r="D635" i="3"/>
  <c r="C635" i="3"/>
  <c r="C513" i="3"/>
  <c r="D513" i="3"/>
  <c r="D494" i="3"/>
  <c r="C494" i="3"/>
  <c r="C713" i="3"/>
  <c r="D713" i="3"/>
  <c r="D596" i="3"/>
  <c r="C596" i="3"/>
  <c r="D440" i="3"/>
  <c r="C440" i="3"/>
  <c r="D544" i="3"/>
  <c r="C544" i="3"/>
  <c r="C377" i="3"/>
  <c r="D377" i="3"/>
  <c r="C521" i="3"/>
  <c r="D521" i="3"/>
  <c r="C606" i="3"/>
  <c r="D607" i="3"/>
  <c r="C514" i="3"/>
  <c r="D514" i="3"/>
  <c r="D405" i="3"/>
  <c r="C405" i="3"/>
  <c r="D600" i="3"/>
  <c r="C600" i="3"/>
  <c r="C725" i="3"/>
  <c r="D725" i="3"/>
  <c r="C669" i="3"/>
  <c r="D669" i="3"/>
  <c r="C670" i="3"/>
  <c r="D670" i="3"/>
  <c r="D573" i="3"/>
  <c r="C573" i="3"/>
  <c r="D540" i="3"/>
  <c r="C540" i="3"/>
  <c r="C399" i="3"/>
  <c r="D399" i="3"/>
  <c r="C446" i="3"/>
  <c r="D446" i="3"/>
  <c r="D652" i="3"/>
  <c r="C652" i="3"/>
  <c r="C497" i="3"/>
  <c r="D497" i="3"/>
  <c r="D627" i="3"/>
  <c r="C627" i="3"/>
  <c r="D460" i="3"/>
  <c r="C460" i="3"/>
  <c r="C508" i="3"/>
  <c r="D508" i="3"/>
  <c r="D471" i="3"/>
  <c r="C471" i="3"/>
  <c r="D533" i="3"/>
  <c r="C533" i="3"/>
  <c r="D692" i="3"/>
  <c r="C692" i="3"/>
  <c r="D578" i="3"/>
  <c r="C578" i="3"/>
  <c r="D470" i="3"/>
  <c r="C470" i="3"/>
  <c r="D695" i="3"/>
  <c r="C695" i="3"/>
  <c r="D727" i="3"/>
  <c r="C727" i="3"/>
  <c r="C603" i="3"/>
  <c r="D603" i="3"/>
  <c r="C439" i="3"/>
  <c r="D439" i="3"/>
  <c r="C728" i="3"/>
  <c r="D728" i="3"/>
  <c r="D716" i="3"/>
  <c r="C716" i="3"/>
  <c r="D660" i="3"/>
  <c r="C660" i="3"/>
  <c r="D537" i="3"/>
  <c r="C537" i="3"/>
  <c r="D503" i="3"/>
  <c r="C503" i="3"/>
  <c r="C654" i="3"/>
  <c r="D654" i="3"/>
  <c r="C735" i="3"/>
  <c r="D735" i="3"/>
  <c r="C522" i="3"/>
  <c r="D522" i="3"/>
  <c r="D485" i="3"/>
  <c r="C485" i="3"/>
  <c r="D381" i="3"/>
  <c r="C381" i="3"/>
  <c r="D495" i="3"/>
  <c r="C495" i="3"/>
  <c r="D511" i="3"/>
  <c r="C511" i="3"/>
  <c r="D598" i="3"/>
  <c r="C598" i="3"/>
  <c r="D708" i="3"/>
  <c r="C708" i="3"/>
  <c r="C677" i="3"/>
  <c r="D678" i="3"/>
  <c r="C678" i="3"/>
  <c r="C722" i="3"/>
  <c r="C723" i="3"/>
  <c r="D723" i="3"/>
  <c r="D469" i="3"/>
  <c r="C469" i="3"/>
  <c r="C551" i="3"/>
  <c r="D552" i="3"/>
  <c r="C552" i="3"/>
  <c r="C472" i="3"/>
  <c r="D472" i="3"/>
  <c r="C657" i="3"/>
  <c r="D657" i="3"/>
  <c r="C649" i="3"/>
  <c r="D649" i="3"/>
  <c r="D587" i="3"/>
  <c r="C587" i="3"/>
  <c r="D496" i="3"/>
  <c r="C496" i="3"/>
  <c r="D424" i="3"/>
  <c r="C424" i="3"/>
  <c r="D489" i="3"/>
  <c r="C489" i="3"/>
  <c r="D388" i="3"/>
  <c r="C388" i="3"/>
  <c r="C680" i="3"/>
  <c r="D680" i="3"/>
  <c r="D682" i="3"/>
  <c r="C682" i="3"/>
  <c r="D568" i="3"/>
  <c r="C568" i="3"/>
  <c r="D643" i="3"/>
  <c r="C643" i="3"/>
  <c r="C729" i="3"/>
  <c r="D729" i="3"/>
  <c r="C694" i="3"/>
  <c r="D694" i="3"/>
  <c r="C394" i="3"/>
  <c r="D394" i="3"/>
  <c r="Z35" i="7"/>
  <c r="Y35" i="7"/>
  <c r="AA35" i="7"/>
  <c r="X35" i="7"/>
  <c r="H35" i="7"/>
  <c r="I35" i="7"/>
  <c r="F35" i="7"/>
  <c r="J35" i="7"/>
  <c r="E35" i="7"/>
  <c r="P35" i="7"/>
  <c r="C593" i="3"/>
  <c r="D593" i="3"/>
  <c r="D390" i="3"/>
  <c r="C390" i="3"/>
  <c r="D547" i="3"/>
  <c r="C547" i="3"/>
  <c r="C704" i="3"/>
  <c r="C705" i="3"/>
  <c r="D705" i="3"/>
  <c r="C562" i="3"/>
  <c r="D562" i="3"/>
  <c r="C530" i="3"/>
  <c r="D530" i="3"/>
  <c r="C644" i="3"/>
  <c r="D644" i="3"/>
  <c r="D667" i="3"/>
  <c r="C667" i="3"/>
  <c r="D599" i="3"/>
  <c r="C599" i="3"/>
  <c r="C504" i="3"/>
  <c r="D504" i="3"/>
  <c r="C393" i="3"/>
  <c r="D393" i="3"/>
  <c r="D403" i="3"/>
  <c r="C403" i="3"/>
  <c r="D502" i="3"/>
  <c r="C502" i="3"/>
  <c r="C475" i="3"/>
  <c r="D475" i="3"/>
  <c r="D542" i="3"/>
  <c r="C542" i="3"/>
  <c r="D532" i="3"/>
  <c r="C532" i="3"/>
  <c r="C661" i="3"/>
  <c r="C662" i="3"/>
  <c r="D662" i="3"/>
  <c r="C663" i="3"/>
  <c r="D664" i="3"/>
  <c r="C664" i="3"/>
  <c r="D640" i="3"/>
  <c r="C640" i="3"/>
  <c r="C665" i="3"/>
  <c r="D665" i="3"/>
  <c r="C719" i="3"/>
  <c r="D719" i="3"/>
  <c r="D609" i="3"/>
  <c r="C609" i="3"/>
  <c r="C566" i="3"/>
  <c r="D566" i="3"/>
  <c r="D492" i="3"/>
  <c r="C492" i="3"/>
  <c r="C397" i="3"/>
  <c r="D398" i="3"/>
  <c r="C398" i="3"/>
  <c r="C666" i="3"/>
  <c r="D666" i="3"/>
  <c r="C391" i="3"/>
  <c r="D391" i="3"/>
  <c r="D583" i="3"/>
  <c r="C583" i="3"/>
  <c r="D415" i="3"/>
  <c r="C415" i="3"/>
  <c r="D419" i="3"/>
  <c r="C419" i="3"/>
  <c r="C549" i="3"/>
  <c r="C550" i="3"/>
  <c r="D550" i="3"/>
  <c r="C385" i="3"/>
  <c r="D385" i="3"/>
  <c r="C621" i="3"/>
  <c r="D621" i="3"/>
  <c r="D561" i="3"/>
  <c r="C561" i="3"/>
  <c r="D689" i="3"/>
  <c r="C689" i="3"/>
  <c r="C709" i="3"/>
  <c r="C710" i="3"/>
  <c r="D710" i="3"/>
  <c r="C500" i="3"/>
  <c r="D500" i="3"/>
  <c r="D553" i="3"/>
  <c r="C553" i="3"/>
  <c r="D488" i="3"/>
  <c r="C488" i="3"/>
  <c r="C523" i="3"/>
  <c r="D524" i="3"/>
  <c r="C524" i="3"/>
  <c r="C458" i="3"/>
  <c r="C459" i="3"/>
  <c r="D459" i="3"/>
  <c r="D526" i="3"/>
  <c r="C526" i="3"/>
  <c r="C734" i="3"/>
  <c r="D734" i="3"/>
  <c r="C581" i="3"/>
  <c r="C582" i="3"/>
  <c r="D582" i="3"/>
  <c r="C625" i="3"/>
  <c r="D626" i="3"/>
  <c r="C626" i="3"/>
  <c r="C548" i="3"/>
  <c r="D549" i="3"/>
  <c r="C681" i="3"/>
  <c r="D681" i="3"/>
  <c r="D559" i="3"/>
  <c r="C559" i="3"/>
  <c r="C629" i="3"/>
  <c r="D629" i="3"/>
  <c r="D474" i="3"/>
  <c r="C474" i="3"/>
  <c r="D486" i="3"/>
  <c r="C486" i="3"/>
  <c r="D630" i="3"/>
  <c r="C630" i="3"/>
  <c r="D575" i="3"/>
  <c r="C575" i="3"/>
  <c r="D410" i="3"/>
  <c r="C410" i="3"/>
  <c r="D462" i="3"/>
  <c r="C462" i="3"/>
  <c r="C712" i="3"/>
  <c r="D712" i="3"/>
  <c r="D656" i="3"/>
  <c r="C656" i="3"/>
  <c r="D505" i="3"/>
  <c r="C505" i="3"/>
  <c r="D726" i="3"/>
  <c r="C726" i="3"/>
  <c r="D650" i="3"/>
  <c r="C650" i="3"/>
  <c r="C633" i="3"/>
  <c r="D633" i="3"/>
  <c r="D484" i="3"/>
  <c r="C484" i="3"/>
  <c r="D520" i="3"/>
  <c r="C520" i="3"/>
  <c r="D473" i="3"/>
  <c r="C473" i="3"/>
  <c r="D541" i="3"/>
  <c r="C541" i="3"/>
  <c r="D693" i="3"/>
  <c r="C693" i="3"/>
  <c r="C594" i="3"/>
  <c r="D594" i="3"/>
  <c r="D572" i="3"/>
  <c r="C572" i="3"/>
  <c r="D702" i="3"/>
  <c r="C702" i="3"/>
  <c r="D611" i="3"/>
  <c r="C611" i="3"/>
  <c r="D445" i="3"/>
  <c r="C445" i="3"/>
  <c r="C624" i="3"/>
  <c r="D624" i="3"/>
  <c r="D400" i="3"/>
  <c r="C400" i="3"/>
  <c r="D679" i="3"/>
  <c r="C679" i="3"/>
  <c r="D585" i="3"/>
  <c r="C585" i="3"/>
  <c r="D554" i="3"/>
  <c r="C554" i="3"/>
  <c r="D413" i="3"/>
  <c r="C413" i="3"/>
  <c r="D382" i="3"/>
  <c r="C382" i="3"/>
  <c r="D701" i="3"/>
  <c r="C701" i="3"/>
  <c r="D634" i="3"/>
  <c r="C634" i="3"/>
  <c r="D604" i="3"/>
  <c r="C604" i="3"/>
  <c r="C711" i="3"/>
  <c r="D711" i="3"/>
  <c r="D617" i="3"/>
  <c r="C617" i="3"/>
  <c r="C396" i="3"/>
  <c r="D396" i="3"/>
  <c r="C498" i="3"/>
  <c r="D498" i="3"/>
  <c r="D455" i="3"/>
  <c r="C455" i="3"/>
  <c r="L33" i="7"/>
  <c r="E18" i="3" l="1"/>
  <c r="C18" i="3" s="1"/>
  <c r="D18" i="3" s="1"/>
  <c r="K35" i="7"/>
  <c r="L35" i="7" s="1"/>
  <c r="Q35" i="7"/>
  <c r="R35" i="7" s="1"/>
  <c r="B38" i="7"/>
  <c r="C38" i="7" s="1"/>
  <c r="C37" i="7"/>
  <c r="Y36" i="7"/>
  <c r="Z36" i="7"/>
  <c r="X36" i="7"/>
  <c r="AA36" i="7"/>
  <c r="H36" i="7"/>
  <c r="F36" i="7"/>
  <c r="E36" i="7"/>
  <c r="P36" i="7"/>
  <c r="T35" i="7" l="1"/>
  <c r="V35" i="7" s="1"/>
  <c r="W36" i="7" s="1"/>
  <c r="E19" i="3"/>
  <c r="C19" i="3" s="1"/>
  <c r="D19" i="3" s="1"/>
  <c r="AA38" i="7"/>
  <c r="Z38" i="7"/>
  <c r="Y38" i="7"/>
  <c r="X38" i="7"/>
  <c r="J38" i="7"/>
  <c r="H38" i="7"/>
  <c r="F38" i="7"/>
  <c r="I38" i="7"/>
  <c r="E38" i="7"/>
  <c r="P38" i="7"/>
  <c r="K36" i="7"/>
  <c r="Q36" i="7"/>
  <c r="R36" i="7" s="1"/>
  <c r="X37" i="7"/>
  <c r="Z37" i="7"/>
  <c r="Y37" i="7"/>
  <c r="AA37" i="7"/>
  <c r="F37" i="7"/>
  <c r="J37" i="7"/>
  <c r="H37" i="7"/>
  <c r="I37" i="7"/>
  <c r="E37" i="7"/>
  <c r="P37" i="7"/>
  <c r="W37" i="7"/>
  <c r="W35" i="7"/>
  <c r="X41" i="7" l="1"/>
  <c r="I10" i="7" s="1"/>
  <c r="D23" i="1" s="1"/>
  <c r="E20" i="3"/>
  <c r="C20" i="3" s="1"/>
  <c r="D20" i="3" s="1"/>
  <c r="L36" i="7"/>
  <c r="Y41" i="7"/>
  <c r="L8" i="7" s="1"/>
  <c r="Z41" i="7"/>
  <c r="L9" i="7" s="1"/>
  <c r="Q37" i="7"/>
  <c r="R37" i="7" s="1"/>
  <c r="K37" i="7"/>
  <c r="L37" i="7" s="1"/>
  <c r="K38" i="7"/>
  <c r="L38" i="7" s="1"/>
  <c r="Q38" i="7"/>
  <c r="R38" i="7" s="1"/>
  <c r="AA41" i="7"/>
  <c r="L10" i="7" s="1"/>
  <c r="E21" i="3" l="1"/>
  <c r="C21" i="3" s="1"/>
  <c r="D21" i="3" s="1"/>
  <c r="F16" i="3"/>
  <c r="F18" i="3"/>
  <c r="F22" i="3"/>
  <c r="F26" i="3"/>
  <c r="F19" i="3"/>
  <c r="F23" i="3"/>
  <c r="F27" i="3"/>
  <c r="F29" i="3"/>
  <c r="F31" i="3"/>
  <c r="F33" i="3"/>
  <c r="F35" i="3"/>
  <c r="F37" i="3"/>
  <c r="F17" i="3"/>
  <c r="F25" i="3"/>
  <c r="F28" i="3"/>
  <c r="F32" i="3"/>
  <c r="F36" i="3"/>
  <c r="F40" i="3"/>
  <c r="F42" i="3"/>
  <c r="F44" i="3"/>
  <c r="F46" i="3"/>
  <c r="F48" i="3"/>
  <c r="F50" i="3"/>
  <c r="F52" i="3"/>
  <c r="F54" i="3"/>
  <c r="F56" i="3"/>
  <c r="F58" i="3"/>
  <c r="F60" i="3"/>
  <c r="F62" i="3"/>
  <c r="F64" i="3"/>
  <c r="F66" i="3"/>
  <c r="F68" i="3"/>
  <c r="F70" i="3"/>
  <c r="F72" i="3"/>
  <c r="F74" i="3"/>
  <c r="F76" i="3"/>
  <c r="F78" i="3"/>
  <c r="F24" i="3"/>
  <c r="F21" i="3"/>
  <c r="F30" i="3"/>
  <c r="F34" i="3"/>
  <c r="F38" i="3"/>
  <c r="F39" i="3"/>
  <c r="F41" i="3"/>
  <c r="F43" i="3"/>
  <c r="F45" i="3"/>
  <c r="F47" i="3"/>
  <c r="F49" i="3"/>
  <c r="F51" i="3"/>
  <c r="F53" i="3"/>
  <c r="F55" i="3"/>
  <c r="F57" i="3"/>
  <c r="F59" i="3"/>
  <c r="F61" i="3"/>
  <c r="F79" i="3"/>
  <c r="F81" i="3"/>
  <c r="F83" i="3"/>
  <c r="F85" i="3"/>
  <c r="F87" i="3"/>
  <c r="F89" i="3"/>
  <c r="F91" i="3"/>
  <c r="F93" i="3"/>
  <c r="F95" i="3"/>
  <c r="F97" i="3"/>
  <c r="F99" i="3"/>
  <c r="F101" i="3"/>
  <c r="F103" i="3"/>
  <c r="F105" i="3"/>
  <c r="F107" i="3"/>
  <c r="F109" i="3"/>
  <c r="F111" i="3"/>
  <c r="F113" i="3"/>
  <c r="F115" i="3"/>
  <c r="F117" i="3"/>
  <c r="F63" i="3"/>
  <c r="F67" i="3"/>
  <c r="F71" i="3"/>
  <c r="F75" i="3"/>
  <c r="F20" i="3"/>
  <c r="F80" i="3"/>
  <c r="F82" i="3"/>
  <c r="F84" i="3"/>
  <c r="F86" i="3"/>
  <c r="F88" i="3"/>
  <c r="F90" i="3"/>
  <c r="F92" i="3"/>
  <c r="F94" i="3"/>
  <c r="F96" i="3"/>
  <c r="F98" i="3"/>
  <c r="F100" i="3"/>
  <c r="F102" i="3"/>
  <c r="F104" i="3"/>
  <c r="F106" i="3"/>
  <c r="F108" i="3"/>
  <c r="F110" i="3"/>
  <c r="F112" i="3"/>
  <c r="F114" i="3"/>
  <c r="F116" i="3"/>
  <c r="F77" i="3"/>
  <c r="F73" i="3"/>
  <c r="F120" i="3"/>
  <c r="F122" i="3"/>
  <c r="F124" i="3"/>
  <c r="F126" i="3"/>
  <c r="F128" i="3"/>
  <c r="F130" i="3"/>
  <c r="F132" i="3"/>
  <c r="F134" i="3"/>
  <c r="F136" i="3"/>
  <c r="F138" i="3"/>
  <c r="F140" i="3"/>
  <c r="F142" i="3"/>
  <c r="F144" i="3"/>
  <c r="F146" i="3"/>
  <c r="F148" i="3"/>
  <c r="F150" i="3"/>
  <c r="F152" i="3"/>
  <c r="F154" i="3"/>
  <c r="F156" i="3"/>
  <c r="F158" i="3"/>
  <c r="F160" i="3"/>
  <c r="F162" i="3"/>
  <c r="F164" i="3"/>
  <c r="F166" i="3"/>
  <c r="F168" i="3"/>
  <c r="F170" i="3"/>
  <c r="F172" i="3"/>
  <c r="F174" i="3"/>
  <c r="F176" i="3"/>
  <c r="F178" i="3"/>
  <c r="F180" i="3"/>
  <c r="F182" i="3"/>
  <c r="F184" i="3"/>
  <c r="F186" i="3"/>
  <c r="F188" i="3"/>
  <c r="F190" i="3"/>
  <c r="F192" i="3"/>
  <c r="F194" i="3"/>
  <c r="F196" i="3"/>
  <c r="F198" i="3"/>
  <c r="F200" i="3"/>
  <c r="F202" i="3"/>
  <c r="F204" i="3"/>
  <c r="F206" i="3"/>
  <c r="F208" i="3"/>
  <c r="F210" i="3"/>
  <c r="F212" i="3"/>
  <c r="F214" i="3"/>
  <c r="F69" i="3"/>
  <c r="F118" i="3"/>
  <c r="F121" i="3"/>
  <c r="F129" i="3"/>
  <c r="F137" i="3"/>
  <c r="F145" i="3"/>
  <c r="F153" i="3"/>
  <c r="F161" i="3"/>
  <c r="F169" i="3"/>
  <c r="F177" i="3"/>
  <c r="F185" i="3"/>
  <c r="F193" i="3"/>
  <c r="F201" i="3"/>
  <c r="F209" i="3"/>
  <c r="F119" i="3"/>
  <c r="F127" i="3"/>
  <c r="F135" i="3"/>
  <c r="F143" i="3"/>
  <c r="F151" i="3"/>
  <c r="F159" i="3"/>
  <c r="F167" i="3"/>
  <c r="F175" i="3"/>
  <c r="F183" i="3"/>
  <c r="F191" i="3"/>
  <c r="F199" i="3"/>
  <c r="F207" i="3"/>
  <c r="F215" i="3"/>
  <c r="F217" i="3"/>
  <c r="F219" i="3"/>
  <c r="F221" i="3"/>
  <c r="F223" i="3"/>
  <c r="F225" i="3"/>
  <c r="F227" i="3"/>
  <c r="F229" i="3"/>
  <c r="F231" i="3"/>
  <c r="F233" i="3"/>
  <c r="F235" i="3"/>
  <c r="F237" i="3"/>
  <c r="F239" i="3"/>
  <c r="F241" i="3"/>
  <c r="F243" i="3"/>
  <c r="F245" i="3"/>
  <c r="F247" i="3"/>
  <c r="F249" i="3"/>
  <c r="F251" i="3"/>
  <c r="F253" i="3"/>
  <c r="F255" i="3"/>
  <c r="F257" i="3"/>
  <c r="F259" i="3"/>
  <c r="F261" i="3"/>
  <c r="F263" i="3"/>
  <c r="F265" i="3"/>
  <c r="F267" i="3"/>
  <c r="F269" i="3"/>
  <c r="F271" i="3"/>
  <c r="F273" i="3"/>
  <c r="F275" i="3"/>
  <c r="F277" i="3"/>
  <c r="F279" i="3"/>
  <c r="F281" i="3"/>
  <c r="F283" i="3"/>
  <c r="F285" i="3"/>
  <c r="F287" i="3"/>
  <c r="F289" i="3"/>
  <c r="F291" i="3"/>
  <c r="F293" i="3"/>
  <c r="F295" i="3"/>
  <c r="F297" i="3"/>
  <c r="F299" i="3"/>
  <c r="F301" i="3"/>
  <c r="F65" i="3"/>
  <c r="F125" i="3"/>
  <c r="F133" i="3"/>
  <c r="F141" i="3"/>
  <c r="F149" i="3"/>
  <c r="F157" i="3"/>
  <c r="F165" i="3"/>
  <c r="F173" i="3"/>
  <c r="F181" i="3"/>
  <c r="F189" i="3"/>
  <c r="F197" i="3"/>
  <c r="F205" i="3"/>
  <c r="F213" i="3"/>
  <c r="F139" i="3"/>
  <c r="F171" i="3"/>
  <c r="F203" i="3"/>
  <c r="F218" i="3"/>
  <c r="F226" i="3"/>
  <c r="F234" i="3"/>
  <c r="F242" i="3"/>
  <c r="F250" i="3"/>
  <c r="F258" i="3"/>
  <c r="F266" i="3"/>
  <c r="F274" i="3"/>
  <c r="F282" i="3"/>
  <c r="F290" i="3"/>
  <c r="F298" i="3"/>
  <c r="F131" i="3"/>
  <c r="F163" i="3"/>
  <c r="F195" i="3"/>
  <c r="F216" i="3"/>
  <c r="F224" i="3"/>
  <c r="F232" i="3"/>
  <c r="F240" i="3"/>
  <c r="F248" i="3"/>
  <c r="F256" i="3"/>
  <c r="F264" i="3"/>
  <c r="F272" i="3"/>
  <c r="F280" i="3"/>
  <c r="F288" i="3"/>
  <c r="F296" i="3"/>
  <c r="F303" i="3"/>
  <c r="F305" i="3"/>
  <c r="F307" i="3"/>
  <c r="F309" i="3"/>
  <c r="F311" i="3"/>
  <c r="F313" i="3"/>
  <c r="F315" i="3"/>
  <c r="F317" i="3"/>
  <c r="F319" i="3"/>
  <c r="F321" i="3"/>
  <c r="F323" i="3"/>
  <c r="F325" i="3"/>
  <c r="F327" i="3"/>
  <c r="F329" i="3"/>
  <c r="F331" i="3"/>
  <c r="F333" i="3"/>
  <c r="F335" i="3"/>
  <c r="F337" i="3"/>
  <c r="F339" i="3"/>
  <c r="F341" i="3"/>
  <c r="F343" i="3"/>
  <c r="F345" i="3"/>
  <c r="F347" i="3"/>
  <c r="F349" i="3"/>
  <c r="F351" i="3"/>
  <c r="F353" i="3"/>
  <c r="F355" i="3"/>
  <c r="F357" i="3"/>
  <c r="F359" i="3"/>
  <c r="F361" i="3"/>
  <c r="F363" i="3"/>
  <c r="F365" i="3"/>
  <c r="F367" i="3"/>
  <c r="F369" i="3"/>
  <c r="F371" i="3"/>
  <c r="F373" i="3"/>
  <c r="F375" i="3"/>
  <c r="F377" i="3"/>
  <c r="F379" i="3"/>
  <c r="F381" i="3"/>
  <c r="F383" i="3"/>
  <c r="F385" i="3"/>
  <c r="F123" i="3"/>
  <c r="F155" i="3"/>
  <c r="F187" i="3"/>
  <c r="F222" i="3"/>
  <c r="F230" i="3"/>
  <c r="F238" i="3"/>
  <c r="F246" i="3"/>
  <c r="F254" i="3"/>
  <c r="F262" i="3"/>
  <c r="F270" i="3"/>
  <c r="F278" i="3"/>
  <c r="F286" i="3"/>
  <c r="F294" i="3"/>
  <c r="F211" i="3"/>
  <c r="F236" i="3"/>
  <c r="F268" i="3"/>
  <c r="F300" i="3"/>
  <c r="F304" i="3"/>
  <c r="F312" i="3"/>
  <c r="F320" i="3"/>
  <c r="F328" i="3"/>
  <c r="F336" i="3"/>
  <c r="F344" i="3"/>
  <c r="F352" i="3"/>
  <c r="F360" i="3"/>
  <c r="F368" i="3"/>
  <c r="F376" i="3"/>
  <c r="F384" i="3"/>
  <c r="F179" i="3"/>
  <c r="F228" i="3"/>
  <c r="F260" i="3"/>
  <c r="F292" i="3"/>
  <c r="F302" i="3"/>
  <c r="F310" i="3"/>
  <c r="F318" i="3"/>
  <c r="F326" i="3"/>
  <c r="F334" i="3"/>
  <c r="F342" i="3"/>
  <c r="F350" i="3"/>
  <c r="F358" i="3"/>
  <c r="F366" i="3"/>
  <c r="F374" i="3"/>
  <c r="F382" i="3"/>
  <c r="F389" i="3"/>
  <c r="F391" i="3"/>
  <c r="F393" i="3"/>
  <c r="F395" i="3"/>
  <c r="F397" i="3"/>
  <c r="F399" i="3"/>
  <c r="F401" i="3"/>
  <c r="F403" i="3"/>
  <c r="F405" i="3"/>
  <c r="F407" i="3"/>
  <c r="F409" i="3"/>
  <c r="F411" i="3"/>
  <c r="F413" i="3"/>
  <c r="F415" i="3"/>
  <c r="F417" i="3"/>
  <c r="F419" i="3"/>
  <c r="F421" i="3"/>
  <c r="F423" i="3"/>
  <c r="F425" i="3"/>
  <c r="F427" i="3"/>
  <c r="F429" i="3"/>
  <c r="F431" i="3"/>
  <c r="F433" i="3"/>
  <c r="F435" i="3"/>
  <c r="F437" i="3"/>
  <c r="F439" i="3"/>
  <c r="F441" i="3"/>
  <c r="F443" i="3"/>
  <c r="F445" i="3"/>
  <c r="F447" i="3"/>
  <c r="F449" i="3"/>
  <c r="F451" i="3"/>
  <c r="F453" i="3"/>
  <c r="F455" i="3"/>
  <c r="F457" i="3"/>
  <c r="F459" i="3"/>
  <c r="F461" i="3"/>
  <c r="F463" i="3"/>
  <c r="F465" i="3"/>
  <c r="F467" i="3"/>
  <c r="F469" i="3"/>
  <c r="F471" i="3"/>
  <c r="F473" i="3"/>
  <c r="F475" i="3"/>
  <c r="F477" i="3"/>
  <c r="F479" i="3"/>
  <c r="F481" i="3"/>
  <c r="F483" i="3"/>
  <c r="F485" i="3"/>
  <c r="F487" i="3"/>
  <c r="F489" i="3"/>
  <c r="F491" i="3"/>
  <c r="F493" i="3"/>
  <c r="F495" i="3"/>
  <c r="F147" i="3"/>
  <c r="F220" i="3"/>
  <c r="F252" i="3"/>
  <c r="F284" i="3"/>
  <c r="F308" i="3"/>
  <c r="F316" i="3"/>
  <c r="F324" i="3"/>
  <c r="F332" i="3"/>
  <c r="F340" i="3"/>
  <c r="F348" i="3"/>
  <c r="F356" i="3"/>
  <c r="F364" i="3"/>
  <c r="F372" i="3"/>
  <c r="F380" i="3"/>
  <c r="F387" i="3"/>
  <c r="F244" i="3"/>
  <c r="F330" i="3"/>
  <c r="F362" i="3"/>
  <c r="F394" i="3"/>
  <c r="F402" i="3"/>
  <c r="F410" i="3"/>
  <c r="F418" i="3"/>
  <c r="F426" i="3"/>
  <c r="F434" i="3"/>
  <c r="F442" i="3"/>
  <c r="F450" i="3"/>
  <c r="F458" i="3"/>
  <c r="F466" i="3"/>
  <c r="F474" i="3"/>
  <c r="F482" i="3"/>
  <c r="F490" i="3"/>
  <c r="F727" i="3"/>
  <c r="F730" i="3"/>
  <c r="F734" i="3"/>
  <c r="F564" i="3"/>
  <c r="F568" i="3"/>
  <c r="F572" i="3"/>
  <c r="F576" i="3"/>
  <c r="F580" i="3"/>
  <c r="F584" i="3"/>
  <c r="F588" i="3"/>
  <c r="F592" i="3"/>
  <c r="F596" i="3"/>
  <c r="F600" i="3"/>
  <c r="F604" i="3"/>
  <c r="F608" i="3"/>
  <c r="F612" i="3"/>
  <c r="F616" i="3"/>
  <c r="F620" i="3"/>
  <c r="F624" i="3"/>
  <c r="F628" i="3"/>
  <c r="F632" i="3"/>
  <c r="F636" i="3"/>
  <c r="F640" i="3"/>
  <c r="F644" i="3"/>
  <c r="F648" i="3"/>
  <c r="F652" i="3"/>
  <c r="F656" i="3"/>
  <c r="F660" i="3"/>
  <c r="F664" i="3"/>
  <c r="F668" i="3"/>
  <c r="F672" i="3"/>
  <c r="F322" i="3"/>
  <c r="F354" i="3"/>
  <c r="F386" i="3"/>
  <c r="F392" i="3"/>
  <c r="F400" i="3"/>
  <c r="F408" i="3"/>
  <c r="F416" i="3"/>
  <c r="F424" i="3"/>
  <c r="F432" i="3"/>
  <c r="F440" i="3"/>
  <c r="F448" i="3"/>
  <c r="F456" i="3"/>
  <c r="F464" i="3"/>
  <c r="F472" i="3"/>
  <c r="F480" i="3"/>
  <c r="F488" i="3"/>
  <c r="F729" i="3"/>
  <c r="F733" i="3"/>
  <c r="F561" i="3"/>
  <c r="F565" i="3"/>
  <c r="F569" i="3"/>
  <c r="F573" i="3"/>
  <c r="F577" i="3"/>
  <c r="F581" i="3"/>
  <c r="F585" i="3"/>
  <c r="F589" i="3"/>
  <c r="F593" i="3"/>
  <c r="F597" i="3"/>
  <c r="F601" i="3"/>
  <c r="F605" i="3"/>
  <c r="F609" i="3"/>
  <c r="F613" i="3"/>
  <c r="F617" i="3"/>
  <c r="F621" i="3"/>
  <c r="F625" i="3"/>
  <c r="F629" i="3"/>
  <c r="F633" i="3"/>
  <c r="F637" i="3"/>
  <c r="F641" i="3"/>
  <c r="F645" i="3"/>
  <c r="F649" i="3"/>
  <c r="F653" i="3"/>
  <c r="F657" i="3"/>
  <c r="F661" i="3"/>
  <c r="F665" i="3"/>
  <c r="F669" i="3"/>
  <c r="F673" i="3"/>
  <c r="F314" i="3"/>
  <c r="F346" i="3"/>
  <c r="F378" i="3"/>
  <c r="F390" i="3"/>
  <c r="F398" i="3"/>
  <c r="F406" i="3"/>
  <c r="F414" i="3"/>
  <c r="F422" i="3"/>
  <c r="F430" i="3"/>
  <c r="F438" i="3"/>
  <c r="F446" i="3"/>
  <c r="F454" i="3"/>
  <c r="F462" i="3"/>
  <c r="F470" i="3"/>
  <c r="F478" i="3"/>
  <c r="F486" i="3"/>
  <c r="F494" i="3"/>
  <c r="F728" i="3"/>
  <c r="F732" i="3"/>
  <c r="F562" i="3"/>
  <c r="F566" i="3"/>
  <c r="F570" i="3"/>
  <c r="F574" i="3"/>
  <c r="F578" i="3"/>
  <c r="F582" i="3"/>
  <c r="F586" i="3"/>
  <c r="F590" i="3"/>
  <c r="F594" i="3"/>
  <c r="F598" i="3"/>
  <c r="F602" i="3"/>
  <c r="F606" i="3"/>
  <c r="F610" i="3"/>
  <c r="F614" i="3"/>
  <c r="F618" i="3"/>
  <c r="F622" i="3"/>
  <c r="F626" i="3"/>
  <c r="F630" i="3"/>
  <c r="F634" i="3"/>
  <c r="F638" i="3"/>
  <c r="F642" i="3"/>
  <c r="F646" i="3"/>
  <c r="F650" i="3"/>
  <c r="F654" i="3"/>
  <c r="F658" i="3"/>
  <c r="F662" i="3"/>
  <c r="F666" i="3"/>
  <c r="F670" i="3"/>
  <c r="F370" i="3"/>
  <c r="F404" i="3"/>
  <c r="F436" i="3"/>
  <c r="F468" i="3"/>
  <c r="F731" i="3"/>
  <c r="F567" i="3"/>
  <c r="F583" i="3"/>
  <c r="F599" i="3"/>
  <c r="F615" i="3"/>
  <c r="F631" i="3"/>
  <c r="F647" i="3"/>
  <c r="F663" i="3"/>
  <c r="F676" i="3"/>
  <c r="F680" i="3"/>
  <c r="F684" i="3"/>
  <c r="F688" i="3"/>
  <c r="F692" i="3"/>
  <c r="F696" i="3"/>
  <c r="F700" i="3"/>
  <c r="F704" i="3"/>
  <c r="F708" i="3"/>
  <c r="F712" i="3"/>
  <c r="F716" i="3"/>
  <c r="F720" i="3"/>
  <c r="F724" i="3"/>
  <c r="F497" i="3"/>
  <c r="F501" i="3"/>
  <c r="F505" i="3"/>
  <c r="F509" i="3"/>
  <c r="F513" i="3"/>
  <c r="F517" i="3"/>
  <c r="F521" i="3"/>
  <c r="F525" i="3"/>
  <c r="F529" i="3"/>
  <c r="F533" i="3"/>
  <c r="F537" i="3"/>
  <c r="F541" i="3"/>
  <c r="F545" i="3"/>
  <c r="F549" i="3"/>
  <c r="F553" i="3"/>
  <c r="F557" i="3"/>
  <c r="F276" i="3"/>
  <c r="F338" i="3"/>
  <c r="F396" i="3"/>
  <c r="F428" i="3"/>
  <c r="F460" i="3"/>
  <c r="F492" i="3"/>
  <c r="F571" i="3"/>
  <c r="F587" i="3"/>
  <c r="F603" i="3"/>
  <c r="F619" i="3"/>
  <c r="F635" i="3"/>
  <c r="F651" i="3"/>
  <c r="F667" i="3"/>
  <c r="F677" i="3"/>
  <c r="F681" i="3"/>
  <c r="F685" i="3"/>
  <c r="F689" i="3"/>
  <c r="F693" i="3"/>
  <c r="F697" i="3"/>
  <c r="F701" i="3"/>
  <c r="F705" i="3"/>
  <c r="F709" i="3"/>
  <c r="F713" i="3"/>
  <c r="F717" i="3"/>
  <c r="F721" i="3"/>
  <c r="F725" i="3"/>
  <c r="F498" i="3"/>
  <c r="F502" i="3"/>
  <c r="F506" i="3"/>
  <c r="F510" i="3"/>
  <c r="F514" i="3"/>
  <c r="F518" i="3"/>
  <c r="F522" i="3"/>
  <c r="F526" i="3"/>
  <c r="F530" i="3"/>
  <c r="F534" i="3"/>
  <c r="F538" i="3"/>
  <c r="F542" i="3"/>
  <c r="F546" i="3"/>
  <c r="F550" i="3"/>
  <c r="F554" i="3"/>
  <c r="F558" i="3"/>
  <c r="F306" i="3"/>
  <c r="F388" i="3"/>
  <c r="F420" i="3"/>
  <c r="F452" i="3"/>
  <c r="F484" i="3"/>
  <c r="F575" i="3"/>
  <c r="F591" i="3"/>
  <c r="F607" i="3"/>
  <c r="F623" i="3"/>
  <c r="F639" i="3"/>
  <c r="F655" i="3"/>
  <c r="F671" i="3"/>
  <c r="F674" i="3"/>
  <c r="F678" i="3"/>
  <c r="F682" i="3"/>
  <c r="F686" i="3"/>
  <c r="F690" i="3"/>
  <c r="F694" i="3"/>
  <c r="F698" i="3"/>
  <c r="F702" i="3"/>
  <c r="F706" i="3"/>
  <c r="F710" i="3"/>
  <c r="F714" i="3"/>
  <c r="F718" i="3"/>
  <c r="F722" i="3"/>
  <c r="F726" i="3"/>
  <c r="F499" i="3"/>
  <c r="F503" i="3"/>
  <c r="F507" i="3"/>
  <c r="F511" i="3"/>
  <c r="F515" i="3"/>
  <c r="F519" i="3"/>
  <c r="F523" i="3"/>
  <c r="F527" i="3"/>
  <c r="F531" i="3"/>
  <c r="F535" i="3"/>
  <c r="F539" i="3"/>
  <c r="F543" i="3"/>
  <c r="F547" i="3"/>
  <c r="F551" i="3"/>
  <c r="F555" i="3"/>
  <c r="F559" i="3"/>
  <c r="F412" i="3"/>
  <c r="F444" i="3"/>
  <c r="F476" i="3"/>
  <c r="F735" i="3"/>
  <c r="F563" i="3"/>
  <c r="F579" i="3"/>
  <c r="F595" i="3"/>
  <c r="F611" i="3"/>
  <c r="F627" i="3"/>
  <c r="F643" i="3"/>
  <c r="F659" i="3"/>
  <c r="F675" i="3"/>
  <c r="F679" i="3"/>
  <c r="F683" i="3"/>
  <c r="F687" i="3"/>
  <c r="F691" i="3"/>
  <c r="F695" i="3"/>
  <c r="F699" i="3"/>
  <c r="F703" i="3"/>
  <c r="F707" i="3"/>
  <c r="F711" i="3"/>
  <c r="F715" i="3"/>
  <c r="F719" i="3"/>
  <c r="F723" i="3"/>
  <c r="F496" i="3"/>
  <c r="F500" i="3"/>
  <c r="F504" i="3"/>
  <c r="F508" i="3"/>
  <c r="F512" i="3"/>
  <c r="F528" i="3"/>
  <c r="F544" i="3"/>
  <c r="F560" i="3"/>
  <c r="F516" i="3"/>
  <c r="F532" i="3"/>
  <c r="F548" i="3"/>
  <c r="F520" i="3"/>
  <c r="F536" i="3"/>
  <c r="F552" i="3"/>
  <c r="F524" i="3"/>
  <c r="F540" i="3"/>
  <c r="F556" i="3"/>
  <c r="E22" i="3"/>
  <c r="N20" i="3"/>
  <c r="O20" i="3" s="1"/>
  <c r="P20" i="3" s="1"/>
  <c r="N24" i="3"/>
  <c r="O24" i="3" s="1"/>
  <c r="P24" i="3" s="1"/>
  <c r="N17" i="3"/>
  <c r="O17" i="3" s="1"/>
  <c r="P17" i="3" s="1"/>
  <c r="N21" i="3"/>
  <c r="O21" i="3" s="1"/>
  <c r="P21" i="3" s="1"/>
  <c r="N25" i="3"/>
  <c r="O25" i="3" s="1"/>
  <c r="P25" i="3" s="1"/>
  <c r="N28" i="3"/>
  <c r="O28" i="3" s="1"/>
  <c r="P28" i="3" s="1"/>
  <c r="N30" i="3"/>
  <c r="N32" i="3"/>
  <c r="N34" i="3"/>
  <c r="O34" i="3" s="1"/>
  <c r="P34" i="3" s="1"/>
  <c r="N36" i="3"/>
  <c r="O36" i="3" s="1"/>
  <c r="P36" i="3" s="1"/>
  <c r="N38" i="3"/>
  <c r="O38" i="3" s="1"/>
  <c r="P38" i="3" s="1"/>
  <c r="N19" i="3"/>
  <c r="O19" i="3" s="1"/>
  <c r="P19" i="3" s="1"/>
  <c r="N27" i="3"/>
  <c r="O27" i="3" s="1"/>
  <c r="P27" i="3" s="1"/>
  <c r="N31" i="3"/>
  <c r="O31" i="3" s="1"/>
  <c r="P31" i="3" s="1"/>
  <c r="N35" i="3"/>
  <c r="O35" i="3" s="1"/>
  <c r="P35" i="3" s="1"/>
  <c r="N41" i="3"/>
  <c r="N43" i="3"/>
  <c r="O43" i="3" s="1"/>
  <c r="P43" i="3" s="1"/>
  <c r="N45" i="3"/>
  <c r="O45" i="3" s="1"/>
  <c r="P45" i="3" s="1"/>
  <c r="N47" i="3"/>
  <c r="O47" i="3" s="1"/>
  <c r="P47" i="3" s="1"/>
  <c r="N49" i="3"/>
  <c r="N51" i="3"/>
  <c r="O51" i="3" s="1"/>
  <c r="P51" i="3" s="1"/>
  <c r="N53" i="3"/>
  <c r="O53" i="3" s="1"/>
  <c r="P53" i="3" s="1"/>
  <c r="N55" i="3"/>
  <c r="O55" i="3" s="1"/>
  <c r="P55" i="3" s="1"/>
  <c r="N57" i="3"/>
  <c r="N59" i="3"/>
  <c r="O59" i="3" s="1"/>
  <c r="P59" i="3" s="1"/>
  <c r="N61" i="3"/>
  <c r="O61" i="3" s="1"/>
  <c r="P61" i="3" s="1"/>
  <c r="N63" i="3"/>
  <c r="O63" i="3" s="1"/>
  <c r="P63" i="3" s="1"/>
  <c r="N65" i="3"/>
  <c r="O65" i="3" s="1"/>
  <c r="P65" i="3" s="1"/>
  <c r="N67" i="3"/>
  <c r="N69" i="3"/>
  <c r="O69" i="3" s="1"/>
  <c r="P69" i="3" s="1"/>
  <c r="N71" i="3"/>
  <c r="O71" i="3" s="1"/>
  <c r="P71" i="3" s="1"/>
  <c r="N73" i="3"/>
  <c r="N75" i="3"/>
  <c r="O75" i="3" s="1"/>
  <c r="P75" i="3" s="1"/>
  <c r="N77" i="3"/>
  <c r="O77" i="3" s="1"/>
  <c r="P77" i="3" s="1"/>
  <c r="N16" i="3"/>
  <c r="N18" i="3"/>
  <c r="O18" i="3" s="1"/>
  <c r="P18" i="3" s="1"/>
  <c r="N26" i="3"/>
  <c r="N39" i="3"/>
  <c r="O39" i="3" s="1"/>
  <c r="P39" i="3" s="1"/>
  <c r="N23" i="3"/>
  <c r="O23" i="3" s="1"/>
  <c r="P23" i="3" s="1"/>
  <c r="N29" i="3"/>
  <c r="N33" i="3"/>
  <c r="O33" i="3" s="1"/>
  <c r="P33" i="3" s="1"/>
  <c r="N37" i="3"/>
  <c r="O37" i="3" s="1"/>
  <c r="P37" i="3" s="1"/>
  <c r="N40" i="3"/>
  <c r="O40" i="3" s="1"/>
  <c r="P40" i="3" s="1"/>
  <c r="N42" i="3"/>
  <c r="O42" i="3" s="1"/>
  <c r="P42" i="3" s="1"/>
  <c r="N44" i="3"/>
  <c r="N46" i="3"/>
  <c r="O46" i="3" s="1"/>
  <c r="P46" i="3" s="1"/>
  <c r="N48" i="3"/>
  <c r="O48" i="3" s="1"/>
  <c r="P48" i="3" s="1"/>
  <c r="N50" i="3"/>
  <c r="O50" i="3" s="1"/>
  <c r="P50" i="3" s="1"/>
  <c r="N52" i="3"/>
  <c r="N54" i="3"/>
  <c r="O54" i="3" s="1"/>
  <c r="P54" i="3" s="1"/>
  <c r="N56" i="3"/>
  <c r="O56" i="3" s="1"/>
  <c r="P56" i="3" s="1"/>
  <c r="N58" i="3"/>
  <c r="O58" i="3" s="1"/>
  <c r="P58" i="3" s="1"/>
  <c r="N60" i="3"/>
  <c r="N62" i="3"/>
  <c r="O62" i="3" s="1"/>
  <c r="P62" i="3" s="1"/>
  <c r="N80" i="3"/>
  <c r="N82" i="3"/>
  <c r="O82" i="3" s="1"/>
  <c r="P82" i="3" s="1"/>
  <c r="N84" i="3"/>
  <c r="O84" i="3" s="1"/>
  <c r="P84" i="3" s="1"/>
  <c r="N86" i="3"/>
  <c r="O86" i="3" s="1"/>
  <c r="P86" i="3" s="1"/>
  <c r="N88" i="3"/>
  <c r="N90" i="3"/>
  <c r="O90" i="3" s="1"/>
  <c r="P90" i="3" s="1"/>
  <c r="N92" i="3"/>
  <c r="O92" i="3" s="1"/>
  <c r="P92" i="3" s="1"/>
  <c r="N94" i="3"/>
  <c r="O94" i="3" s="1"/>
  <c r="P94" i="3" s="1"/>
  <c r="N96" i="3"/>
  <c r="N98" i="3"/>
  <c r="O98" i="3" s="1"/>
  <c r="P98" i="3" s="1"/>
  <c r="N100" i="3"/>
  <c r="O100" i="3" s="1"/>
  <c r="P100" i="3" s="1"/>
  <c r="N102" i="3"/>
  <c r="O102" i="3" s="1"/>
  <c r="P102" i="3" s="1"/>
  <c r="N104" i="3"/>
  <c r="N106" i="3"/>
  <c r="O106" i="3" s="1"/>
  <c r="P106" i="3" s="1"/>
  <c r="N108" i="3"/>
  <c r="O108" i="3" s="1"/>
  <c r="P108" i="3" s="1"/>
  <c r="N110" i="3"/>
  <c r="O110" i="3" s="1"/>
  <c r="P110" i="3" s="1"/>
  <c r="N112" i="3"/>
  <c r="N114" i="3"/>
  <c r="O114" i="3" s="1"/>
  <c r="P114" i="3" s="1"/>
  <c r="N116" i="3"/>
  <c r="O116" i="3" s="1"/>
  <c r="P116" i="3" s="1"/>
  <c r="N118" i="3"/>
  <c r="O118" i="3" s="1"/>
  <c r="P118" i="3" s="1"/>
  <c r="N66" i="3"/>
  <c r="O66" i="3" s="1"/>
  <c r="P66" i="3" s="1"/>
  <c r="N70" i="3"/>
  <c r="O70" i="3" s="1"/>
  <c r="P70" i="3" s="1"/>
  <c r="N74" i="3"/>
  <c r="O74" i="3" s="1"/>
  <c r="P74" i="3" s="1"/>
  <c r="N78" i="3"/>
  <c r="O78" i="3" s="1"/>
  <c r="P78" i="3" s="1"/>
  <c r="N79" i="3"/>
  <c r="O79" i="3" s="1"/>
  <c r="P79" i="3" s="1"/>
  <c r="N81" i="3"/>
  <c r="N83" i="3"/>
  <c r="O83" i="3" s="1"/>
  <c r="P83" i="3" s="1"/>
  <c r="N85" i="3"/>
  <c r="O85" i="3" s="1"/>
  <c r="P85" i="3" s="1"/>
  <c r="N87" i="3"/>
  <c r="O87" i="3" s="1"/>
  <c r="P87" i="3" s="1"/>
  <c r="N89" i="3"/>
  <c r="N91" i="3"/>
  <c r="O91" i="3" s="1"/>
  <c r="P91" i="3" s="1"/>
  <c r="N93" i="3"/>
  <c r="O93" i="3" s="1"/>
  <c r="P93" i="3" s="1"/>
  <c r="N95" i="3"/>
  <c r="O95" i="3" s="1"/>
  <c r="P95" i="3" s="1"/>
  <c r="N97" i="3"/>
  <c r="N99" i="3"/>
  <c r="O99" i="3" s="1"/>
  <c r="P99" i="3" s="1"/>
  <c r="N101" i="3"/>
  <c r="O101" i="3" s="1"/>
  <c r="P101" i="3" s="1"/>
  <c r="N103" i="3"/>
  <c r="O103" i="3" s="1"/>
  <c r="P103" i="3" s="1"/>
  <c r="N105" i="3"/>
  <c r="N107" i="3"/>
  <c r="O107" i="3" s="1"/>
  <c r="P107" i="3" s="1"/>
  <c r="N109" i="3"/>
  <c r="O109" i="3" s="1"/>
  <c r="P109" i="3" s="1"/>
  <c r="N111" i="3"/>
  <c r="O111" i="3" s="1"/>
  <c r="P111" i="3" s="1"/>
  <c r="N113" i="3"/>
  <c r="N115" i="3"/>
  <c r="O115" i="3" s="1"/>
  <c r="P115" i="3" s="1"/>
  <c r="N117" i="3"/>
  <c r="O117" i="3" s="1"/>
  <c r="P117" i="3" s="1"/>
  <c r="N22" i="3"/>
  <c r="O22" i="3" s="1"/>
  <c r="P22" i="3" s="1"/>
  <c r="N72" i="3"/>
  <c r="O72" i="3" s="1"/>
  <c r="P72" i="3" s="1"/>
  <c r="N68" i="3"/>
  <c r="N119" i="3"/>
  <c r="O119" i="3" s="1"/>
  <c r="P119" i="3" s="1"/>
  <c r="N121" i="3"/>
  <c r="O121" i="3" s="1"/>
  <c r="P121" i="3" s="1"/>
  <c r="N123" i="3"/>
  <c r="O123" i="3" s="1"/>
  <c r="P123" i="3" s="1"/>
  <c r="N125" i="3"/>
  <c r="N127" i="3"/>
  <c r="O127" i="3" s="1"/>
  <c r="P127" i="3" s="1"/>
  <c r="N129" i="3"/>
  <c r="N131" i="3"/>
  <c r="O131" i="3" s="1"/>
  <c r="P131" i="3" s="1"/>
  <c r="N133" i="3"/>
  <c r="O133" i="3" s="1"/>
  <c r="P133" i="3" s="1"/>
  <c r="N135" i="3"/>
  <c r="O135" i="3" s="1"/>
  <c r="P135" i="3" s="1"/>
  <c r="N137" i="3"/>
  <c r="O137" i="3" s="1"/>
  <c r="P137" i="3" s="1"/>
  <c r="N139" i="3"/>
  <c r="N141" i="3"/>
  <c r="O141" i="3" s="1"/>
  <c r="P141" i="3" s="1"/>
  <c r="N143" i="3"/>
  <c r="O143" i="3" s="1"/>
  <c r="P143" i="3" s="1"/>
  <c r="N145" i="3"/>
  <c r="O145" i="3" s="1"/>
  <c r="P145" i="3" s="1"/>
  <c r="N147" i="3"/>
  <c r="O147" i="3" s="1"/>
  <c r="P147" i="3" s="1"/>
  <c r="N149" i="3"/>
  <c r="O149" i="3" s="1"/>
  <c r="P149" i="3" s="1"/>
  <c r="N151" i="3"/>
  <c r="O151" i="3" s="1"/>
  <c r="P151" i="3" s="1"/>
  <c r="N153" i="3"/>
  <c r="O153" i="3" s="1"/>
  <c r="P153" i="3" s="1"/>
  <c r="N155" i="3"/>
  <c r="O155" i="3" s="1"/>
  <c r="P155" i="3" s="1"/>
  <c r="N157" i="3"/>
  <c r="N159" i="3"/>
  <c r="O159" i="3" s="1"/>
  <c r="P159" i="3" s="1"/>
  <c r="N161" i="3"/>
  <c r="N163" i="3"/>
  <c r="O163" i="3" s="1"/>
  <c r="P163" i="3" s="1"/>
  <c r="N165" i="3"/>
  <c r="O165" i="3" s="1"/>
  <c r="P165" i="3" s="1"/>
  <c r="N167" i="3"/>
  <c r="O167" i="3" s="1"/>
  <c r="P167" i="3" s="1"/>
  <c r="N169" i="3"/>
  <c r="O169" i="3" s="1"/>
  <c r="P169" i="3" s="1"/>
  <c r="N171" i="3"/>
  <c r="O171" i="3" s="1"/>
  <c r="P171" i="3" s="1"/>
  <c r="N173" i="3"/>
  <c r="O173" i="3" s="1"/>
  <c r="P173" i="3" s="1"/>
  <c r="N175" i="3"/>
  <c r="O175" i="3" s="1"/>
  <c r="P175" i="3" s="1"/>
  <c r="N177" i="3"/>
  <c r="O177" i="3" s="1"/>
  <c r="P177" i="3" s="1"/>
  <c r="N179" i="3"/>
  <c r="O179" i="3" s="1"/>
  <c r="P179" i="3" s="1"/>
  <c r="N181" i="3"/>
  <c r="O181" i="3" s="1"/>
  <c r="P181" i="3" s="1"/>
  <c r="N183" i="3"/>
  <c r="O183" i="3" s="1"/>
  <c r="P183" i="3" s="1"/>
  <c r="N185" i="3"/>
  <c r="O185" i="3" s="1"/>
  <c r="P185" i="3" s="1"/>
  <c r="N187" i="3"/>
  <c r="N189" i="3"/>
  <c r="N191" i="3"/>
  <c r="O191" i="3" s="1"/>
  <c r="P191" i="3" s="1"/>
  <c r="N193" i="3"/>
  <c r="N195" i="3"/>
  <c r="N197" i="3"/>
  <c r="O197" i="3" s="1"/>
  <c r="P197" i="3" s="1"/>
  <c r="N199" i="3"/>
  <c r="O199" i="3" s="1"/>
  <c r="P199" i="3" s="1"/>
  <c r="N201" i="3"/>
  <c r="O201" i="3" s="1"/>
  <c r="P201" i="3" s="1"/>
  <c r="N203" i="3"/>
  <c r="O203" i="3" s="1"/>
  <c r="P203" i="3" s="1"/>
  <c r="N205" i="3"/>
  <c r="O205" i="3" s="1"/>
  <c r="P205" i="3" s="1"/>
  <c r="N207" i="3"/>
  <c r="O207" i="3" s="1"/>
  <c r="P207" i="3" s="1"/>
  <c r="N209" i="3"/>
  <c r="O209" i="3" s="1"/>
  <c r="P209" i="3" s="1"/>
  <c r="N211" i="3"/>
  <c r="O211" i="3" s="1"/>
  <c r="P211" i="3" s="1"/>
  <c r="N213" i="3"/>
  <c r="O213" i="3" s="1"/>
  <c r="P213" i="3" s="1"/>
  <c r="N215" i="3"/>
  <c r="O215" i="3" s="1"/>
  <c r="P215" i="3" s="1"/>
  <c r="N64" i="3"/>
  <c r="O64" i="3" s="1"/>
  <c r="P64" i="3" s="1"/>
  <c r="N76" i="3"/>
  <c r="N124" i="3"/>
  <c r="O124" i="3" s="1"/>
  <c r="P124" i="3" s="1"/>
  <c r="N132" i="3"/>
  <c r="O132" i="3" s="1"/>
  <c r="P132" i="3" s="1"/>
  <c r="N140" i="3"/>
  <c r="O140" i="3" s="1"/>
  <c r="P140" i="3" s="1"/>
  <c r="N148" i="3"/>
  <c r="O148" i="3" s="1"/>
  <c r="P148" i="3" s="1"/>
  <c r="N156" i="3"/>
  <c r="O156" i="3" s="1"/>
  <c r="P156" i="3" s="1"/>
  <c r="N164" i="3"/>
  <c r="O164" i="3" s="1"/>
  <c r="P164" i="3" s="1"/>
  <c r="N172" i="3"/>
  <c r="O172" i="3" s="1"/>
  <c r="P172" i="3" s="1"/>
  <c r="N180" i="3"/>
  <c r="O180" i="3" s="1"/>
  <c r="P180" i="3" s="1"/>
  <c r="N188" i="3"/>
  <c r="O188" i="3" s="1"/>
  <c r="P188" i="3" s="1"/>
  <c r="N196" i="3"/>
  <c r="O196" i="3" s="1"/>
  <c r="P196" i="3" s="1"/>
  <c r="N204" i="3"/>
  <c r="O204" i="3" s="1"/>
  <c r="P204" i="3" s="1"/>
  <c r="N212" i="3"/>
  <c r="O212" i="3" s="1"/>
  <c r="P212" i="3" s="1"/>
  <c r="N122" i="3"/>
  <c r="O122" i="3" s="1"/>
  <c r="P122" i="3" s="1"/>
  <c r="N130" i="3"/>
  <c r="O130" i="3" s="1"/>
  <c r="P130" i="3" s="1"/>
  <c r="N138" i="3"/>
  <c r="O138" i="3" s="1"/>
  <c r="P138" i="3" s="1"/>
  <c r="N146" i="3"/>
  <c r="O146" i="3" s="1"/>
  <c r="P146" i="3" s="1"/>
  <c r="N154" i="3"/>
  <c r="O154" i="3" s="1"/>
  <c r="P154" i="3" s="1"/>
  <c r="N162" i="3"/>
  <c r="O162" i="3" s="1"/>
  <c r="P162" i="3" s="1"/>
  <c r="N170" i="3"/>
  <c r="O170" i="3" s="1"/>
  <c r="P170" i="3" s="1"/>
  <c r="N178" i="3"/>
  <c r="O178" i="3" s="1"/>
  <c r="P178" i="3" s="1"/>
  <c r="N186" i="3"/>
  <c r="O186" i="3" s="1"/>
  <c r="P186" i="3" s="1"/>
  <c r="N194" i="3"/>
  <c r="O194" i="3" s="1"/>
  <c r="P194" i="3" s="1"/>
  <c r="N202" i="3"/>
  <c r="O202" i="3" s="1"/>
  <c r="P202" i="3" s="1"/>
  <c r="N210" i="3"/>
  <c r="O210" i="3" s="1"/>
  <c r="P210" i="3" s="1"/>
  <c r="N218" i="3"/>
  <c r="O218" i="3" s="1"/>
  <c r="P218" i="3" s="1"/>
  <c r="N220" i="3"/>
  <c r="O220" i="3" s="1"/>
  <c r="P220" i="3" s="1"/>
  <c r="N222" i="3"/>
  <c r="O222" i="3" s="1"/>
  <c r="P222" i="3" s="1"/>
  <c r="N224" i="3"/>
  <c r="O224" i="3" s="1"/>
  <c r="P224" i="3" s="1"/>
  <c r="N226" i="3"/>
  <c r="N228" i="3"/>
  <c r="O228" i="3" s="1"/>
  <c r="P228" i="3" s="1"/>
  <c r="N230" i="3"/>
  <c r="O230" i="3" s="1"/>
  <c r="P230" i="3" s="1"/>
  <c r="N232" i="3"/>
  <c r="O232" i="3" s="1"/>
  <c r="P232" i="3" s="1"/>
  <c r="N234" i="3"/>
  <c r="O234" i="3" s="1"/>
  <c r="P234" i="3" s="1"/>
  <c r="N236" i="3"/>
  <c r="O236" i="3" s="1"/>
  <c r="P236" i="3" s="1"/>
  <c r="N238" i="3"/>
  <c r="O238" i="3" s="1"/>
  <c r="P238" i="3" s="1"/>
  <c r="N240" i="3"/>
  <c r="N242" i="3"/>
  <c r="O242" i="3" s="1"/>
  <c r="P242" i="3" s="1"/>
  <c r="N244" i="3"/>
  <c r="O244" i="3" s="1"/>
  <c r="P244" i="3" s="1"/>
  <c r="N246" i="3"/>
  <c r="N248" i="3"/>
  <c r="O248" i="3" s="1"/>
  <c r="P248" i="3" s="1"/>
  <c r="N250" i="3"/>
  <c r="O250" i="3" s="1"/>
  <c r="P250" i="3" s="1"/>
  <c r="N252" i="3"/>
  <c r="O252" i="3" s="1"/>
  <c r="P252" i="3" s="1"/>
  <c r="N254" i="3"/>
  <c r="O254" i="3" s="1"/>
  <c r="P254" i="3" s="1"/>
  <c r="N256" i="3"/>
  <c r="O256" i="3" s="1"/>
  <c r="P256" i="3" s="1"/>
  <c r="N258" i="3"/>
  <c r="N260" i="3"/>
  <c r="O260" i="3" s="1"/>
  <c r="P260" i="3" s="1"/>
  <c r="N262" i="3"/>
  <c r="O262" i="3" s="1"/>
  <c r="P262" i="3" s="1"/>
  <c r="N264" i="3"/>
  <c r="O264" i="3" s="1"/>
  <c r="P264" i="3" s="1"/>
  <c r="N266" i="3"/>
  <c r="O266" i="3" s="1"/>
  <c r="P266" i="3" s="1"/>
  <c r="N268" i="3"/>
  <c r="O268" i="3" s="1"/>
  <c r="P268" i="3" s="1"/>
  <c r="N270" i="3"/>
  <c r="O270" i="3" s="1"/>
  <c r="P270" i="3" s="1"/>
  <c r="N272" i="3"/>
  <c r="N274" i="3"/>
  <c r="O274" i="3" s="1"/>
  <c r="P274" i="3" s="1"/>
  <c r="N276" i="3"/>
  <c r="O276" i="3" s="1"/>
  <c r="P276" i="3" s="1"/>
  <c r="N278" i="3"/>
  <c r="N280" i="3"/>
  <c r="O280" i="3" s="1"/>
  <c r="P280" i="3" s="1"/>
  <c r="N282" i="3"/>
  <c r="O282" i="3" s="1"/>
  <c r="P282" i="3" s="1"/>
  <c r="N284" i="3"/>
  <c r="O284" i="3" s="1"/>
  <c r="P284" i="3" s="1"/>
  <c r="N286" i="3"/>
  <c r="O286" i="3" s="1"/>
  <c r="P286" i="3" s="1"/>
  <c r="N288" i="3"/>
  <c r="O288" i="3" s="1"/>
  <c r="P288" i="3" s="1"/>
  <c r="N290" i="3"/>
  <c r="N292" i="3"/>
  <c r="O292" i="3" s="1"/>
  <c r="P292" i="3" s="1"/>
  <c r="N294" i="3"/>
  <c r="O294" i="3" s="1"/>
  <c r="P294" i="3" s="1"/>
  <c r="N296" i="3"/>
  <c r="O296" i="3" s="1"/>
  <c r="P296" i="3" s="1"/>
  <c r="N298" i="3"/>
  <c r="O298" i="3" s="1"/>
  <c r="P298" i="3" s="1"/>
  <c r="N300" i="3"/>
  <c r="O300" i="3" s="1"/>
  <c r="P300" i="3" s="1"/>
  <c r="N302" i="3"/>
  <c r="O302" i="3" s="1"/>
  <c r="P302" i="3" s="1"/>
  <c r="N120" i="3"/>
  <c r="O120" i="3" s="1"/>
  <c r="P120" i="3" s="1"/>
  <c r="N128" i="3"/>
  <c r="O128" i="3" s="1"/>
  <c r="P128" i="3" s="1"/>
  <c r="N136" i="3"/>
  <c r="O136" i="3" s="1"/>
  <c r="P136" i="3" s="1"/>
  <c r="N144" i="3"/>
  <c r="O144" i="3" s="1"/>
  <c r="P144" i="3" s="1"/>
  <c r="N152" i="3"/>
  <c r="O152" i="3" s="1"/>
  <c r="P152" i="3" s="1"/>
  <c r="N160" i="3"/>
  <c r="O160" i="3" s="1"/>
  <c r="P160" i="3" s="1"/>
  <c r="N168" i="3"/>
  <c r="O168" i="3" s="1"/>
  <c r="P168" i="3" s="1"/>
  <c r="N176" i="3"/>
  <c r="O176" i="3" s="1"/>
  <c r="P176" i="3" s="1"/>
  <c r="N184" i="3"/>
  <c r="O184" i="3" s="1"/>
  <c r="P184" i="3" s="1"/>
  <c r="N192" i="3"/>
  <c r="O192" i="3" s="1"/>
  <c r="P192" i="3" s="1"/>
  <c r="N200" i="3"/>
  <c r="O200" i="3" s="1"/>
  <c r="P200" i="3" s="1"/>
  <c r="N208" i="3"/>
  <c r="O208" i="3" s="1"/>
  <c r="P208" i="3" s="1"/>
  <c r="N216" i="3"/>
  <c r="O216" i="3" s="1"/>
  <c r="P216" i="3" s="1"/>
  <c r="N150" i="3"/>
  <c r="N182" i="3"/>
  <c r="O182" i="3" s="1"/>
  <c r="P182" i="3" s="1"/>
  <c r="N214" i="3"/>
  <c r="N221" i="3"/>
  <c r="O221" i="3" s="1"/>
  <c r="P221" i="3" s="1"/>
  <c r="N229" i="3"/>
  <c r="O229" i="3" s="1"/>
  <c r="P229" i="3" s="1"/>
  <c r="N237" i="3"/>
  <c r="O237" i="3" s="1"/>
  <c r="P237" i="3" s="1"/>
  <c r="N245" i="3"/>
  <c r="O245" i="3" s="1"/>
  <c r="P245" i="3" s="1"/>
  <c r="N253" i="3"/>
  <c r="O253" i="3" s="1"/>
  <c r="P253" i="3" s="1"/>
  <c r="N261" i="3"/>
  <c r="O261" i="3" s="1"/>
  <c r="P261" i="3" s="1"/>
  <c r="N269" i="3"/>
  <c r="O269" i="3" s="1"/>
  <c r="P269" i="3" s="1"/>
  <c r="N277" i="3"/>
  <c r="O277" i="3" s="1"/>
  <c r="P277" i="3" s="1"/>
  <c r="N285" i="3"/>
  <c r="O285" i="3" s="1"/>
  <c r="P285" i="3" s="1"/>
  <c r="N293" i="3"/>
  <c r="O293" i="3" s="1"/>
  <c r="P293" i="3" s="1"/>
  <c r="N301" i="3"/>
  <c r="O301" i="3" s="1"/>
  <c r="P301" i="3" s="1"/>
  <c r="N142" i="3"/>
  <c r="N174" i="3"/>
  <c r="N206" i="3"/>
  <c r="N219" i="3"/>
  <c r="O219" i="3" s="1"/>
  <c r="P219" i="3" s="1"/>
  <c r="N227" i="3"/>
  <c r="O227" i="3" s="1"/>
  <c r="P227" i="3" s="1"/>
  <c r="N235" i="3"/>
  <c r="O235" i="3" s="1"/>
  <c r="P235" i="3" s="1"/>
  <c r="N243" i="3"/>
  <c r="O243" i="3" s="1"/>
  <c r="P243" i="3" s="1"/>
  <c r="N251" i="3"/>
  <c r="O251" i="3" s="1"/>
  <c r="P251" i="3" s="1"/>
  <c r="N259" i="3"/>
  <c r="O259" i="3" s="1"/>
  <c r="P259" i="3" s="1"/>
  <c r="N267" i="3"/>
  <c r="O267" i="3" s="1"/>
  <c r="P267" i="3" s="1"/>
  <c r="N275" i="3"/>
  <c r="O275" i="3" s="1"/>
  <c r="P275" i="3" s="1"/>
  <c r="N283" i="3"/>
  <c r="O283" i="3" s="1"/>
  <c r="P283" i="3" s="1"/>
  <c r="N291" i="3"/>
  <c r="O291" i="3" s="1"/>
  <c r="P291" i="3" s="1"/>
  <c r="N299" i="3"/>
  <c r="O299" i="3" s="1"/>
  <c r="P299" i="3" s="1"/>
  <c r="N304" i="3"/>
  <c r="O304" i="3" s="1"/>
  <c r="P304" i="3" s="1"/>
  <c r="N306" i="3"/>
  <c r="O306" i="3" s="1"/>
  <c r="P306" i="3" s="1"/>
  <c r="N308" i="3"/>
  <c r="O308" i="3" s="1"/>
  <c r="P308" i="3" s="1"/>
  <c r="N310" i="3"/>
  <c r="O310" i="3" s="1"/>
  <c r="P310" i="3" s="1"/>
  <c r="N312" i="3"/>
  <c r="N314" i="3"/>
  <c r="O314" i="3" s="1"/>
  <c r="P314" i="3" s="1"/>
  <c r="N316" i="3"/>
  <c r="N318" i="3"/>
  <c r="N320" i="3"/>
  <c r="O320" i="3" s="1"/>
  <c r="P320" i="3" s="1"/>
  <c r="N322" i="3"/>
  <c r="O322" i="3" s="1"/>
  <c r="P322" i="3" s="1"/>
  <c r="N324" i="3"/>
  <c r="O324" i="3" s="1"/>
  <c r="P324" i="3" s="1"/>
  <c r="N326" i="3"/>
  <c r="O326" i="3" s="1"/>
  <c r="P326" i="3" s="1"/>
  <c r="N328" i="3"/>
  <c r="O328" i="3" s="1"/>
  <c r="P328" i="3" s="1"/>
  <c r="N330" i="3"/>
  <c r="O330" i="3" s="1"/>
  <c r="P330" i="3" s="1"/>
  <c r="N332" i="3"/>
  <c r="O332" i="3" s="1"/>
  <c r="P332" i="3" s="1"/>
  <c r="N334" i="3"/>
  <c r="O334" i="3" s="1"/>
  <c r="P334" i="3" s="1"/>
  <c r="N336" i="3"/>
  <c r="O336" i="3" s="1"/>
  <c r="P336" i="3" s="1"/>
  <c r="N338" i="3"/>
  <c r="O338" i="3" s="1"/>
  <c r="P338" i="3" s="1"/>
  <c r="N340" i="3"/>
  <c r="O340" i="3" s="1"/>
  <c r="P340" i="3" s="1"/>
  <c r="N342" i="3"/>
  <c r="O342" i="3" s="1"/>
  <c r="P342" i="3" s="1"/>
  <c r="N344" i="3"/>
  <c r="N346" i="3"/>
  <c r="O346" i="3" s="1"/>
  <c r="P346" i="3" s="1"/>
  <c r="N348" i="3"/>
  <c r="N350" i="3"/>
  <c r="N352" i="3"/>
  <c r="O352" i="3" s="1"/>
  <c r="P352" i="3" s="1"/>
  <c r="N354" i="3"/>
  <c r="O354" i="3" s="1"/>
  <c r="P354" i="3" s="1"/>
  <c r="N356" i="3"/>
  <c r="O356" i="3" s="1"/>
  <c r="P356" i="3" s="1"/>
  <c r="N358" i="3"/>
  <c r="O358" i="3" s="1"/>
  <c r="P358" i="3" s="1"/>
  <c r="N360" i="3"/>
  <c r="O360" i="3" s="1"/>
  <c r="P360" i="3" s="1"/>
  <c r="N362" i="3"/>
  <c r="O362" i="3" s="1"/>
  <c r="P362" i="3" s="1"/>
  <c r="N364" i="3"/>
  <c r="O364" i="3" s="1"/>
  <c r="P364" i="3" s="1"/>
  <c r="N366" i="3"/>
  <c r="O366" i="3" s="1"/>
  <c r="P366" i="3" s="1"/>
  <c r="N368" i="3"/>
  <c r="O368" i="3" s="1"/>
  <c r="P368" i="3" s="1"/>
  <c r="N370" i="3"/>
  <c r="O370" i="3" s="1"/>
  <c r="P370" i="3" s="1"/>
  <c r="N372" i="3"/>
  <c r="O372" i="3" s="1"/>
  <c r="P372" i="3" s="1"/>
  <c r="N374" i="3"/>
  <c r="O374" i="3" s="1"/>
  <c r="P374" i="3" s="1"/>
  <c r="N376" i="3"/>
  <c r="N378" i="3"/>
  <c r="O378" i="3" s="1"/>
  <c r="P378" i="3" s="1"/>
  <c r="N380" i="3"/>
  <c r="N382" i="3"/>
  <c r="N384" i="3"/>
  <c r="O384" i="3" s="1"/>
  <c r="P384" i="3" s="1"/>
  <c r="N386" i="3"/>
  <c r="O386" i="3" s="1"/>
  <c r="P386" i="3" s="1"/>
  <c r="N134" i="3"/>
  <c r="N166" i="3"/>
  <c r="N198" i="3"/>
  <c r="N217" i="3"/>
  <c r="O217" i="3" s="1"/>
  <c r="P217" i="3" s="1"/>
  <c r="N225" i="3"/>
  <c r="N233" i="3"/>
  <c r="N241" i="3"/>
  <c r="N249" i="3"/>
  <c r="O249" i="3" s="1"/>
  <c r="P249" i="3" s="1"/>
  <c r="N257" i="3"/>
  <c r="N265" i="3"/>
  <c r="N273" i="3"/>
  <c r="N281" i="3"/>
  <c r="O281" i="3" s="1"/>
  <c r="P281" i="3" s="1"/>
  <c r="N289" i="3"/>
  <c r="N297" i="3"/>
  <c r="N126" i="3"/>
  <c r="N247" i="3"/>
  <c r="O247" i="3" s="1"/>
  <c r="P247" i="3" s="1"/>
  <c r="N279" i="3"/>
  <c r="O279" i="3" s="1"/>
  <c r="P279" i="3" s="1"/>
  <c r="N307" i="3"/>
  <c r="O307" i="3" s="1"/>
  <c r="P307" i="3" s="1"/>
  <c r="N315" i="3"/>
  <c r="O315" i="3" s="1"/>
  <c r="P315" i="3" s="1"/>
  <c r="N323" i="3"/>
  <c r="O323" i="3" s="1"/>
  <c r="P323" i="3" s="1"/>
  <c r="N331" i="3"/>
  <c r="O331" i="3" s="1"/>
  <c r="P331" i="3" s="1"/>
  <c r="N339" i="3"/>
  <c r="O339" i="3" s="1"/>
  <c r="P339" i="3" s="1"/>
  <c r="N347" i="3"/>
  <c r="O347" i="3" s="1"/>
  <c r="P347" i="3" s="1"/>
  <c r="N355" i="3"/>
  <c r="O355" i="3" s="1"/>
  <c r="P355" i="3" s="1"/>
  <c r="N363" i="3"/>
  <c r="O363" i="3" s="1"/>
  <c r="P363" i="3" s="1"/>
  <c r="N371" i="3"/>
  <c r="O371" i="3" s="1"/>
  <c r="P371" i="3" s="1"/>
  <c r="N379" i="3"/>
  <c r="O379" i="3" s="1"/>
  <c r="P379" i="3" s="1"/>
  <c r="N387" i="3"/>
  <c r="O387" i="3" s="1"/>
  <c r="P387" i="3" s="1"/>
  <c r="N239" i="3"/>
  <c r="O239" i="3" s="1"/>
  <c r="P239" i="3" s="1"/>
  <c r="N271" i="3"/>
  <c r="O271" i="3" s="1"/>
  <c r="P271" i="3" s="1"/>
  <c r="N305" i="3"/>
  <c r="O305" i="3" s="1"/>
  <c r="P305" i="3" s="1"/>
  <c r="N313" i="3"/>
  <c r="O313" i="3" s="1"/>
  <c r="P313" i="3" s="1"/>
  <c r="N321" i="3"/>
  <c r="O321" i="3" s="1"/>
  <c r="P321" i="3" s="1"/>
  <c r="N329" i="3"/>
  <c r="O329" i="3" s="1"/>
  <c r="P329" i="3" s="1"/>
  <c r="N337" i="3"/>
  <c r="O337" i="3" s="1"/>
  <c r="P337" i="3" s="1"/>
  <c r="N345" i="3"/>
  <c r="O345" i="3" s="1"/>
  <c r="P345" i="3" s="1"/>
  <c r="N353" i="3"/>
  <c r="O353" i="3" s="1"/>
  <c r="P353" i="3" s="1"/>
  <c r="N361" i="3"/>
  <c r="O361" i="3" s="1"/>
  <c r="P361" i="3" s="1"/>
  <c r="N369" i="3"/>
  <c r="O369" i="3" s="1"/>
  <c r="P369" i="3" s="1"/>
  <c r="N377" i="3"/>
  <c r="O377" i="3" s="1"/>
  <c r="P377" i="3" s="1"/>
  <c r="N385" i="3"/>
  <c r="O385" i="3" s="1"/>
  <c r="P385" i="3" s="1"/>
  <c r="N388" i="3"/>
  <c r="O388" i="3" s="1"/>
  <c r="P388" i="3" s="1"/>
  <c r="N390" i="3"/>
  <c r="O390" i="3" s="1"/>
  <c r="P390" i="3" s="1"/>
  <c r="N392" i="3"/>
  <c r="O392" i="3" s="1"/>
  <c r="P392" i="3" s="1"/>
  <c r="N394" i="3"/>
  <c r="O394" i="3" s="1"/>
  <c r="P394" i="3" s="1"/>
  <c r="N396" i="3"/>
  <c r="O396" i="3" s="1"/>
  <c r="P396" i="3" s="1"/>
  <c r="N398" i="3"/>
  <c r="N400" i="3"/>
  <c r="O400" i="3" s="1"/>
  <c r="P400" i="3" s="1"/>
  <c r="N402" i="3"/>
  <c r="O402" i="3" s="1"/>
  <c r="P402" i="3" s="1"/>
  <c r="N404" i="3"/>
  <c r="N406" i="3"/>
  <c r="O406" i="3" s="1"/>
  <c r="P406" i="3" s="1"/>
  <c r="N408" i="3"/>
  <c r="O408" i="3" s="1"/>
  <c r="P408" i="3" s="1"/>
  <c r="N410" i="3"/>
  <c r="O410" i="3" s="1"/>
  <c r="P410" i="3" s="1"/>
  <c r="N412" i="3"/>
  <c r="N414" i="3"/>
  <c r="O414" i="3" s="1"/>
  <c r="P414" i="3" s="1"/>
  <c r="N416" i="3"/>
  <c r="O416" i="3" s="1"/>
  <c r="P416" i="3" s="1"/>
  <c r="N418" i="3"/>
  <c r="N420" i="3"/>
  <c r="N422" i="3"/>
  <c r="O422" i="3" s="1"/>
  <c r="P422" i="3" s="1"/>
  <c r="N424" i="3"/>
  <c r="O424" i="3" s="1"/>
  <c r="P424" i="3" s="1"/>
  <c r="N426" i="3"/>
  <c r="O426" i="3" s="1"/>
  <c r="P426" i="3" s="1"/>
  <c r="N428" i="3"/>
  <c r="O428" i="3" s="1"/>
  <c r="P428" i="3" s="1"/>
  <c r="N430" i="3"/>
  <c r="N432" i="3"/>
  <c r="O432" i="3" s="1"/>
  <c r="P432" i="3" s="1"/>
  <c r="N434" i="3"/>
  <c r="O434" i="3" s="1"/>
  <c r="P434" i="3" s="1"/>
  <c r="N436" i="3"/>
  <c r="O436" i="3" s="1"/>
  <c r="P436" i="3" s="1"/>
  <c r="N438" i="3"/>
  <c r="O438" i="3" s="1"/>
  <c r="P438" i="3" s="1"/>
  <c r="N440" i="3"/>
  <c r="O440" i="3" s="1"/>
  <c r="P440" i="3" s="1"/>
  <c r="N442" i="3"/>
  <c r="O442" i="3" s="1"/>
  <c r="P442" i="3" s="1"/>
  <c r="N444" i="3"/>
  <c r="O444" i="3" s="1"/>
  <c r="P444" i="3" s="1"/>
  <c r="N446" i="3"/>
  <c r="O446" i="3" s="1"/>
  <c r="P446" i="3" s="1"/>
  <c r="N448" i="3"/>
  <c r="O448" i="3" s="1"/>
  <c r="P448" i="3" s="1"/>
  <c r="N450" i="3"/>
  <c r="N452" i="3"/>
  <c r="O452" i="3" s="1"/>
  <c r="P452" i="3" s="1"/>
  <c r="N454" i="3"/>
  <c r="O454" i="3" s="1"/>
  <c r="P454" i="3" s="1"/>
  <c r="N456" i="3"/>
  <c r="O456" i="3" s="1"/>
  <c r="P456" i="3" s="1"/>
  <c r="N458" i="3"/>
  <c r="O458" i="3" s="1"/>
  <c r="P458" i="3" s="1"/>
  <c r="N460" i="3"/>
  <c r="N462" i="3"/>
  <c r="N464" i="3"/>
  <c r="O464" i="3" s="1"/>
  <c r="P464" i="3" s="1"/>
  <c r="N466" i="3"/>
  <c r="O466" i="3" s="1"/>
  <c r="P466" i="3" s="1"/>
  <c r="N468" i="3"/>
  <c r="O468" i="3" s="1"/>
  <c r="P468" i="3" s="1"/>
  <c r="N470" i="3"/>
  <c r="O470" i="3" s="1"/>
  <c r="P470" i="3" s="1"/>
  <c r="N472" i="3"/>
  <c r="O472" i="3" s="1"/>
  <c r="P472" i="3" s="1"/>
  <c r="N474" i="3"/>
  <c r="O474" i="3" s="1"/>
  <c r="P474" i="3" s="1"/>
  <c r="N476" i="3"/>
  <c r="O476" i="3" s="1"/>
  <c r="P476" i="3" s="1"/>
  <c r="N478" i="3"/>
  <c r="O478" i="3" s="1"/>
  <c r="P478" i="3" s="1"/>
  <c r="N480" i="3"/>
  <c r="O480" i="3" s="1"/>
  <c r="P480" i="3" s="1"/>
  <c r="N482" i="3"/>
  <c r="N484" i="3"/>
  <c r="O484" i="3" s="1"/>
  <c r="P484" i="3" s="1"/>
  <c r="N486" i="3"/>
  <c r="O486" i="3" s="1"/>
  <c r="P486" i="3" s="1"/>
  <c r="N488" i="3"/>
  <c r="O488" i="3" s="1"/>
  <c r="P488" i="3" s="1"/>
  <c r="N490" i="3"/>
  <c r="O490" i="3" s="1"/>
  <c r="P490" i="3" s="1"/>
  <c r="N492" i="3"/>
  <c r="O492" i="3" s="1"/>
  <c r="P492" i="3" s="1"/>
  <c r="N494" i="3"/>
  <c r="N190" i="3"/>
  <c r="O190" i="3" s="1"/>
  <c r="P190" i="3" s="1"/>
  <c r="N231" i="3"/>
  <c r="O231" i="3" s="1"/>
  <c r="P231" i="3" s="1"/>
  <c r="N263" i="3"/>
  <c r="O263" i="3" s="1"/>
  <c r="P263" i="3" s="1"/>
  <c r="N295" i="3"/>
  <c r="O295" i="3" s="1"/>
  <c r="P295" i="3" s="1"/>
  <c r="N303" i="3"/>
  <c r="O303" i="3" s="1"/>
  <c r="P303" i="3" s="1"/>
  <c r="N311" i="3"/>
  <c r="N319" i="3"/>
  <c r="N327" i="3"/>
  <c r="N335" i="3"/>
  <c r="O335" i="3" s="1"/>
  <c r="P335" i="3" s="1"/>
  <c r="N343" i="3"/>
  <c r="N351" i="3"/>
  <c r="N359" i="3"/>
  <c r="N367" i="3"/>
  <c r="O367" i="3" s="1"/>
  <c r="P367" i="3" s="1"/>
  <c r="N375" i="3"/>
  <c r="N383" i="3"/>
  <c r="N158" i="3"/>
  <c r="N287" i="3"/>
  <c r="O287" i="3" s="1"/>
  <c r="P287" i="3" s="1"/>
  <c r="N309" i="3"/>
  <c r="O309" i="3" s="1"/>
  <c r="P309" i="3" s="1"/>
  <c r="N341" i="3"/>
  <c r="O341" i="3" s="1"/>
  <c r="P341" i="3" s="1"/>
  <c r="N373" i="3"/>
  <c r="O373" i="3" s="1"/>
  <c r="P373" i="3" s="1"/>
  <c r="N389" i="3"/>
  <c r="O389" i="3" s="1"/>
  <c r="P389" i="3" s="1"/>
  <c r="N397" i="3"/>
  <c r="O397" i="3" s="1"/>
  <c r="P397" i="3" s="1"/>
  <c r="N405" i="3"/>
  <c r="O405" i="3" s="1"/>
  <c r="P405" i="3" s="1"/>
  <c r="N413" i="3"/>
  <c r="O413" i="3" s="1"/>
  <c r="P413" i="3" s="1"/>
  <c r="N421" i="3"/>
  <c r="O421" i="3" s="1"/>
  <c r="P421" i="3" s="1"/>
  <c r="N429" i="3"/>
  <c r="O429" i="3" s="1"/>
  <c r="P429" i="3" s="1"/>
  <c r="N437" i="3"/>
  <c r="O437" i="3" s="1"/>
  <c r="P437" i="3" s="1"/>
  <c r="N445" i="3"/>
  <c r="O445" i="3" s="1"/>
  <c r="P445" i="3" s="1"/>
  <c r="N453" i="3"/>
  <c r="O453" i="3" s="1"/>
  <c r="P453" i="3" s="1"/>
  <c r="N461" i="3"/>
  <c r="O461" i="3" s="1"/>
  <c r="P461" i="3" s="1"/>
  <c r="N469" i="3"/>
  <c r="O469" i="3" s="1"/>
  <c r="P469" i="3" s="1"/>
  <c r="N477" i="3"/>
  <c r="O477" i="3" s="1"/>
  <c r="P477" i="3" s="1"/>
  <c r="N485" i="3"/>
  <c r="O485" i="3" s="1"/>
  <c r="P485" i="3" s="1"/>
  <c r="N493" i="3"/>
  <c r="O493" i="3" s="1"/>
  <c r="P493" i="3" s="1"/>
  <c r="N729" i="3"/>
  <c r="O729" i="3" s="1"/>
  <c r="P729" i="3" s="1"/>
  <c r="N733" i="3"/>
  <c r="O733" i="3" s="1"/>
  <c r="P733" i="3" s="1"/>
  <c r="N562" i="3"/>
  <c r="O562" i="3" s="1"/>
  <c r="P562" i="3" s="1"/>
  <c r="N566" i="3"/>
  <c r="N570" i="3"/>
  <c r="O570" i="3" s="1"/>
  <c r="P570" i="3" s="1"/>
  <c r="N574" i="3"/>
  <c r="O574" i="3" s="1"/>
  <c r="P574" i="3" s="1"/>
  <c r="N578" i="3"/>
  <c r="O578" i="3" s="1"/>
  <c r="P578" i="3" s="1"/>
  <c r="N582" i="3"/>
  <c r="N586" i="3"/>
  <c r="O586" i="3" s="1"/>
  <c r="P586" i="3" s="1"/>
  <c r="N590" i="3"/>
  <c r="O590" i="3" s="1"/>
  <c r="P590" i="3" s="1"/>
  <c r="N594" i="3"/>
  <c r="O594" i="3" s="1"/>
  <c r="P594" i="3" s="1"/>
  <c r="N598" i="3"/>
  <c r="N602" i="3"/>
  <c r="O602" i="3" s="1"/>
  <c r="P602" i="3" s="1"/>
  <c r="N606" i="3"/>
  <c r="O606" i="3" s="1"/>
  <c r="P606" i="3" s="1"/>
  <c r="N610" i="3"/>
  <c r="O610" i="3" s="1"/>
  <c r="P610" i="3" s="1"/>
  <c r="N614" i="3"/>
  <c r="N618" i="3"/>
  <c r="O618" i="3" s="1"/>
  <c r="P618" i="3" s="1"/>
  <c r="N622" i="3"/>
  <c r="O622" i="3" s="1"/>
  <c r="P622" i="3" s="1"/>
  <c r="N626" i="3"/>
  <c r="O626" i="3" s="1"/>
  <c r="P626" i="3" s="1"/>
  <c r="N630" i="3"/>
  <c r="N634" i="3"/>
  <c r="O634" i="3" s="1"/>
  <c r="P634" i="3" s="1"/>
  <c r="N638" i="3"/>
  <c r="O638" i="3" s="1"/>
  <c r="P638" i="3" s="1"/>
  <c r="N642" i="3"/>
  <c r="O642" i="3" s="1"/>
  <c r="P642" i="3" s="1"/>
  <c r="N646" i="3"/>
  <c r="N650" i="3"/>
  <c r="O650" i="3" s="1"/>
  <c r="P650" i="3" s="1"/>
  <c r="N654" i="3"/>
  <c r="O654" i="3" s="1"/>
  <c r="P654" i="3" s="1"/>
  <c r="N658" i="3"/>
  <c r="O658" i="3" s="1"/>
  <c r="P658" i="3" s="1"/>
  <c r="N662" i="3"/>
  <c r="N666" i="3"/>
  <c r="O666" i="3" s="1"/>
  <c r="P666" i="3" s="1"/>
  <c r="N670" i="3"/>
  <c r="O670" i="3" s="1"/>
  <c r="P670" i="3" s="1"/>
  <c r="N255" i="3"/>
  <c r="O255" i="3" s="1"/>
  <c r="P255" i="3" s="1"/>
  <c r="N333" i="3"/>
  <c r="O333" i="3" s="1"/>
  <c r="P333" i="3" s="1"/>
  <c r="N365" i="3"/>
  <c r="O365" i="3" s="1"/>
  <c r="P365" i="3" s="1"/>
  <c r="N395" i="3"/>
  <c r="N403" i="3"/>
  <c r="O403" i="3" s="1"/>
  <c r="P403" i="3" s="1"/>
  <c r="N411" i="3"/>
  <c r="N419" i="3"/>
  <c r="N427" i="3"/>
  <c r="N435" i="3"/>
  <c r="O435" i="3" s="1"/>
  <c r="P435" i="3" s="1"/>
  <c r="N443" i="3"/>
  <c r="N451" i="3"/>
  <c r="N459" i="3"/>
  <c r="N467" i="3"/>
  <c r="O467" i="3" s="1"/>
  <c r="P467" i="3" s="1"/>
  <c r="N475" i="3"/>
  <c r="N483" i="3"/>
  <c r="N491" i="3"/>
  <c r="N728" i="3"/>
  <c r="O728" i="3" s="1"/>
  <c r="P728" i="3" s="1"/>
  <c r="N732" i="3"/>
  <c r="O732" i="3" s="1"/>
  <c r="P732" i="3" s="1"/>
  <c r="N563" i="3"/>
  <c r="N567" i="3"/>
  <c r="N571" i="3"/>
  <c r="O571" i="3" s="1"/>
  <c r="P571" i="3" s="1"/>
  <c r="N575" i="3"/>
  <c r="O575" i="3" s="1"/>
  <c r="P575" i="3" s="1"/>
  <c r="N579" i="3"/>
  <c r="O579" i="3" s="1"/>
  <c r="P579" i="3" s="1"/>
  <c r="N583" i="3"/>
  <c r="O583" i="3" s="1"/>
  <c r="P583" i="3" s="1"/>
  <c r="N587" i="3"/>
  <c r="O587" i="3" s="1"/>
  <c r="P587" i="3" s="1"/>
  <c r="N591" i="3"/>
  <c r="N595" i="3"/>
  <c r="O595" i="3" s="1"/>
  <c r="P595" i="3" s="1"/>
  <c r="N599" i="3"/>
  <c r="O599" i="3" s="1"/>
  <c r="P599" i="3" s="1"/>
  <c r="N603" i="3"/>
  <c r="O603" i="3" s="1"/>
  <c r="P603" i="3" s="1"/>
  <c r="N607" i="3"/>
  <c r="O607" i="3" s="1"/>
  <c r="P607" i="3" s="1"/>
  <c r="N611" i="3"/>
  <c r="O611" i="3" s="1"/>
  <c r="P611" i="3" s="1"/>
  <c r="N615" i="3"/>
  <c r="O615" i="3" s="1"/>
  <c r="P615" i="3" s="1"/>
  <c r="N619" i="3"/>
  <c r="O619" i="3" s="1"/>
  <c r="P619" i="3" s="1"/>
  <c r="N623" i="3"/>
  <c r="O623" i="3" s="1"/>
  <c r="P623" i="3" s="1"/>
  <c r="N627" i="3"/>
  <c r="N631" i="3"/>
  <c r="N635" i="3"/>
  <c r="O635" i="3" s="1"/>
  <c r="P635" i="3" s="1"/>
  <c r="N639" i="3"/>
  <c r="O639" i="3" s="1"/>
  <c r="P639" i="3" s="1"/>
  <c r="N643" i="3"/>
  <c r="O643" i="3" s="1"/>
  <c r="P643" i="3" s="1"/>
  <c r="N647" i="3"/>
  <c r="O647" i="3" s="1"/>
  <c r="P647" i="3" s="1"/>
  <c r="N651" i="3"/>
  <c r="O651" i="3" s="1"/>
  <c r="P651" i="3" s="1"/>
  <c r="N655" i="3"/>
  <c r="N659" i="3"/>
  <c r="O659" i="3" s="1"/>
  <c r="P659" i="3" s="1"/>
  <c r="N663" i="3"/>
  <c r="O663" i="3" s="1"/>
  <c r="P663" i="3" s="1"/>
  <c r="N667" i="3"/>
  <c r="O667" i="3" s="1"/>
  <c r="P667" i="3" s="1"/>
  <c r="N671" i="3"/>
  <c r="O671" i="3" s="1"/>
  <c r="P671" i="3" s="1"/>
  <c r="N223" i="3"/>
  <c r="O223" i="3" s="1"/>
  <c r="P223" i="3" s="1"/>
  <c r="N325" i="3"/>
  <c r="O325" i="3" s="1"/>
  <c r="P325" i="3" s="1"/>
  <c r="N357" i="3"/>
  <c r="O357" i="3" s="1"/>
  <c r="P357" i="3" s="1"/>
  <c r="N393" i="3"/>
  <c r="O393" i="3" s="1"/>
  <c r="P393" i="3" s="1"/>
  <c r="N401" i="3"/>
  <c r="O401" i="3" s="1"/>
  <c r="P401" i="3" s="1"/>
  <c r="N409" i="3"/>
  <c r="O409" i="3" s="1"/>
  <c r="P409" i="3" s="1"/>
  <c r="N417" i="3"/>
  <c r="O417" i="3" s="1"/>
  <c r="P417" i="3" s="1"/>
  <c r="N425" i="3"/>
  <c r="O425" i="3" s="1"/>
  <c r="P425" i="3" s="1"/>
  <c r="N433" i="3"/>
  <c r="O433" i="3" s="1"/>
  <c r="P433" i="3" s="1"/>
  <c r="N441" i="3"/>
  <c r="O441" i="3" s="1"/>
  <c r="P441" i="3" s="1"/>
  <c r="N449" i="3"/>
  <c r="O449" i="3" s="1"/>
  <c r="P449" i="3" s="1"/>
  <c r="N457" i="3"/>
  <c r="O457" i="3" s="1"/>
  <c r="P457" i="3" s="1"/>
  <c r="N465" i="3"/>
  <c r="O465" i="3" s="1"/>
  <c r="P465" i="3" s="1"/>
  <c r="N473" i="3"/>
  <c r="O473" i="3" s="1"/>
  <c r="P473" i="3" s="1"/>
  <c r="N481" i="3"/>
  <c r="O481" i="3" s="1"/>
  <c r="P481" i="3" s="1"/>
  <c r="N489" i="3"/>
  <c r="O489" i="3" s="1"/>
  <c r="P489" i="3" s="1"/>
  <c r="N727" i="3"/>
  <c r="O727" i="3" s="1"/>
  <c r="P727" i="3" s="1"/>
  <c r="N731" i="3"/>
  <c r="O731" i="3" s="1"/>
  <c r="P731" i="3" s="1"/>
  <c r="N735" i="3"/>
  <c r="O735" i="3" s="1"/>
  <c r="P735" i="3" s="1"/>
  <c r="N564" i="3"/>
  <c r="O564" i="3" s="1"/>
  <c r="P564" i="3" s="1"/>
  <c r="N568" i="3"/>
  <c r="O568" i="3" s="1"/>
  <c r="P568" i="3" s="1"/>
  <c r="N572" i="3"/>
  <c r="O572" i="3" s="1"/>
  <c r="P572" i="3" s="1"/>
  <c r="N576" i="3"/>
  <c r="O576" i="3" s="1"/>
  <c r="P576" i="3" s="1"/>
  <c r="N580" i="3"/>
  <c r="O580" i="3" s="1"/>
  <c r="P580" i="3" s="1"/>
  <c r="N584" i="3"/>
  <c r="O584" i="3" s="1"/>
  <c r="P584" i="3" s="1"/>
  <c r="N588" i="3"/>
  <c r="O588" i="3" s="1"/>
  <c r="P588" i="3" s="1"/>
  <c r="N592" i="3"/>
  <c r="O592" i="3" s="1"/>
  <c r="P592" i="3" s="1"/>
  <c r="N596" i="3"/>
  <c r="O596" i="3" s="1"/>
  <c r="P596" i="3" s="1"/>
  <c r="N600" i="3"/>
  <c r="O600" i="3" s="1"/>
  <c r="P600" i="3" s="1"/>
  <c r="N604" i="3"/>
  <c r="O604" i="3" s="1"/>
  <c r="P604" i="3" s="1"/>
  <c r="N608" i="3"/>
  <c r="O608" i="3" s="1"/>
  <c r="P608" i="3" s="1"/>
  <c r="N612" i="3"/>
  <c r="O612" i="3" s="1"/>
  <c r="P612" i="3" s="1"/>
  <c r="N616" i="3"/>
  <c r="O616" i="3" s="1"/>
  <c r="P616" i="3" s="1"/>
  <c r="N620" i="3"/>
  <c r="O620" i="3" s="1"/>
  <c r="P620" i="3" s="1"/>
  <c r="N624" i="3"/>
  <c r="O624" i="3" s="1"/>
  <c r="P624" i="3" s="1"/>
  <c r="N628" i="3"/>
  <c r="O628" i="3" s="1"/>
  <c r="P628" i="3" s="1"/>
  <c r="N632" i="3"/>
  <c r="O632" i="3" s="1"/>
  <c r="P632" i="3" s="1"/>
  <c r="N636" i="3"/>
  <c r="O636" i="3" s="1"/>
  <c r="P636" i="3" s="1"/>
  <c r="N640" i="3"/>
  <c r="O640" i="3" s="1"/>
  <c r="P640" i="3" s="1"/>
  <c r="N644" i="3"/>
  <c r="O644" i="3" s="1"/>
  <c r="P644" i="3" s="1"/>
  <c r="N648" i="3"/>
  <c r="O648" i="3" s="1"/>
  <c r="P648" i="3" s="1"/>
  <c r="N652" i="3"/>
  <c r="O652" i="3" s="1"/>
  <c r="P652" i="3" s="1"/>
  <c r="N656" i="3"/>
  <c r="O656" i="3" s="1"/>
  <c r="P656" i="3" s="1"/>
  <c r="N660" i="3"/>
  <c r="O660" i="3" s="1"/>
  <c r="P660" i="3" s="1"/>
  <c r="N664" i="3"/>
  <c r="O664" i="3" s="1"/>
  <c r="P664" i="3" s="1"/>
  <c r="N668" i="3"/>
  <c r="O668" i="3" s="1"/>
  <c r="P668" i="3" s="1"/>
  <c r="N672" i="3"/>
  <c r="O672" i="3" s="1"/>
  <c r="P672" i="3" s="1"/>
  <c r="N415" i="3"/>
  <c r="O415" i="3" s="1"/>
  <c r="P415" i="3" s="1"/>
  <c r="N447" i="3"/>
  <c r="O447" i="3" s="1"/>
  <c r="P447" i="3" s="1"/>
  <c r="N479" i="3"/>
  <c r="O479" i="3" s="1"/>
  <c r="P479" i="3" s="1"/>
  <c r="N573" i="3"/>
  <c r="O573" i="3" s="1"/>
  <c r="P573" i="3" s="1"/>
  <c r="N589" i="3"/>
  <c r="O589" i="3" s="1"/>
  <c r="P589" i="3" s="1"/>
  <c r="N605" i="3"/>
  <c r="O605" i="3" s="1"/>
  <c r="P605" i="3" s="1"/>
  <c r="N621" i="3"/>
  <c r="O621" i="3" s="1"/>
  <c r="P621" i="3" s="1"/>
  <c r="N637" i="3"/>
  <c r="O637" i="3" s="1"/>
  <c r="P637" i="3" s="1"/>
  <c r="N653" i="3"/>
  <c r="O653" i="3" s="1"/>
  <c r="P653" i="3" s="1"/>
  <c r="N669" i="3"/>
  <c r="O669" i="3" s="1"/>
  <c r="P669" i="3" s="1"/>
  <c r="N674" i="3"/>
  <c r="O674" i="3" s="1"/>
  <c r="P674" i="3" s="1"/>
  <c r="N678" i="3"/>
  <c r="O678" i="3" s="1"/>
  <c r="P678" i="3" s="1"/>
  <c r="N682" i="3"/>
  <c r="N686" i="3"/>
  <c r="O686" i="3" s="1"/>
  <c r="P686" i="3" s="1"/>
  <c r="N690" i="3"/>
  <c r="O690" i="3" s="1"/>
  <c r="P690" i="3" s="1"/>
  <c r="N694" i="3"/>
  <c r="O694" i="3" s="1"/>
  <c r="P694" i="3" s="1"/>
  <c r="N698" i="3"/>
  <c r="N702" i="3"/>
  <c r="O702" i="3" s="1"/>
  <c r="P702" i="3" s="1"/>
  <c r="N706" i="3"/>
  <c r="O706" i="3" s="1"/>
  <c r="P706" i="3" s="1"/>
  <c r="N710" i="3"/>
  <c r="O710" i="3" s="1"/>
  <c r="P710" i="3" s="1"/>
  <c r="N714" i="3"/>
  <c r="N718" i="3"/>
  <c r="O718" i="3" s="1"/>
  <c r="P718" i="3" s="1"/>
  <c r="N722" i="3"/>
  <c r="O722" i="3" s="1"/>
  <c r="P722" i="3" s="1"/>
  <c r="N726" i="3"/>
  <c r="O726" i="3" s="1"/>
  <c r="P726" i="3" s="1"/>
  <c r="N499" i="3"/>
  <c r="N503" i="3"/>
  <c r="O503" i="3" s="1"/>
  <c r="P503" i="3" s="1"/>
  <c r="N507" i="3"/>
  <c r="O507" i="3" s="1"/>
  <c r="P507" i="3" s="1"/>
  <c r="N511" i="3"/>
  <c r="O511" i="3" s="1"/>
  <c r="P511" i="3" s="1"/>
  <c r="N515" i="3"/>
  <c r="N519" i="3"/>
  <c r="O519" i="3" s="1"/>
  <c r="P519" i="3" s="1"/>
  <c r="N523" i="3"/>
  <c r="O523" i="3" s="1"/>
  <c r="P523" i="3" s="1"/>
  <c r="N527" i="3"/>
  <c r="O527" i="3" s="1"/>
  <c r="P527" i="3" s="1"/>
  <c r="N531" i="3"/>
  <c r="N535" i="3"/>
  <c r="O535" i="3" s="1"/>
  <c r="P535" i="3" s="1"/>
  <c r="N539" i="3"/>
  <c r="O539" i="3" s="1"/>
  <c r="P539" i="3" s="1"/>
  <c r="N543" i="3"/>
  <c r="O543" i="3" s="1"/>
  <c r="P543" i="3" s="1"/>
  <c r="N547" i="3"/>
  <c r="N551" i="3"/>
  <c r="O551" i="3" s="1"/>
  <c r="P551" i="3" s="1"/>
  <c r="N555" i="3"/>
  <c r="O555" i="3" s="1"/>
  <c r="P555" i="3" s="1"/>
  <c r="N559" i="3"/>
  <c r="O559" i="3" s="1"/>
  <c r="P559" i="3" s="1"/>
  <c r="N381" i="3"/>
  <c r="O381" i="3" s="1"/>
  <c r="P381" i="3" s="1"/>
  <c r="N407" i="3"/>
  <c r="O407" i="3" s="1"/>
  <c r="P407" i="3" s="1"/>
  <c r="N439" i="3"/>
  <c r="O439" i="3" s="1"/>
  <c r="P439" i="3" s="1"/>
  <c r="N471" i="3"/>
  <c r="O471" i="3" s="1"/>
  <c r="P471" i="3" s="1"/>
  <c r="N561" i="3"/>
  <c r="O561" i="3" s="1"/>
  <c r="P561" i="3" s="1"/>
  <c r="N577" i="3"/>
  <c r="O577" i="3" s="1"/>
  <c r="P577" i="3" s="1"/>
  <c r="N593" i="3"/>
  <c r="O593" i="3" s="1"/>
  <c r="P593" i="3" s="1"/>
  <c r="N609" i="3"/>
  <c r="O609" i="3" s="1"/>
  <c r="P609" i="3" s="1"/>
  <c r="N625" i="3"/>
  <c r="O625" i="3" s="1"/>
  <c r="P625" i="3" s="1"/>
  <c r="N641" i="3"/>
  <c r="O641" i="3" s="1"/>
  <c r="P641" i="3" s="1"/>
  <c r="N657" i="3"/>
  <c r="O657" i="3" s="1"/>
  <c r="P657" i="3" s="1"/>
  <c r="N675" i="3"/>
  <c r="O675" i="3" s="1"/>
  <c r="P675" i="3" s="1"/>
  <c r="N679" i="3"/>
  <c r="N683" i="3"/>
  <c r="O683" i="3" s="1"/>
  <c r="P683" i="3" s="1"/>
  <c r="N687" i="3"/>
  <c r="O687" i="3" s="1"/>
  <c r="P687" i="3" s="1"/>
  <c r="N691" i="3"/>
  <c r="O691" i="3" s="1"/>
  <c r="P691" i="3" s="1"/>
  <c r="N695" i="3"/>
  <c r="N699" i="3"/>
  <c r="O699" i="3" s="1"/>
  <c r="P699" i="3" s="1"/>
  <c r="N703" i="3"/>
  <c r="O703" i="3" s="1"/>
  <c r="P703" i="3" s="1"/>
  <c r="N707" i="3"/>
  <c r="O707" i="3" s="1"/>
  <c r="P707" i="3" s="1"/>
  <c r="N711" i="3"/>
  <c r="N715" i="3"/>
  <c r="O715" i="3" s="1"/>
  <c r="P715" i="3" s="1"/>
  <c r="N719" i="3"/>
  <c r="O719" i="3" s="1"/>
  <c r="P719" i="3" s="1"/>
  <c r="N723" i="3"/>
  <c r="O723" i="3" s="1"/>
  <c r="P723" i="3" s="1"/>
  <c r="N496" i="3"/>
  <c r="N500" i="3"/>
  <c r="O500" i="3" s="1"/>
  <c r="P500" i="3" s="1"/>
  <c r="N504" i="3"/>
  <c r="O504" i="3" s="1"/>
  <c r="P504" i="3" s="1"/>
  <c r="N508" i="3"/>
  <c r="O508" i="3" s="1"/>
  <c r="P508" i="3" s="1"/>
  <c r="N512" i="3"/>
  <c r="N516" i="3"/>
  <c r="N520" i="3"/>
  <c r="O520" i="3" s="1"/>
  <c r="P520" i="3" s="1"/>
  <c r="N524" i="3"/>
  <c r="O524" i="3" s="1"/>
  <c r="P524" i="3" s="1"/>
  <c r="N528" i="3"/>
  <c r="O528" i="3" s="1"/>
  <c r="P528" i="3" s="1"/>
  <c r="N532" i="3"/>
  <c r="O532" i="3" s="1"/>
  <c r="P532" i="3" s="1"/>
  <c r="N536" i="3"/>
  <c r="N540" i="3"/>
  <c r="O540" i="3" s="1"/>
  <c r="P540" i="3" s="1"/>
  <c r="N544" i="3"/>
  <c r="O544" i="3" s="1"/>
  <c r="P544" i="3" s="1"/>
  <c r="N548" i="3"/>
  <c r="O548" i="3" s="1"/>
  <c r="P548" i="3" s="1"/>
  <c r="N552" i="3"/>
  <c r="O552" i="3" s="1"/>
  <c r="P552" i="3" s="1"/>
  <c r="N556" i="3"/>
  <c r="O556" i="3" s="1"/>
  <c r="P556" i="3" s="1"/>
  <c r="N560" i="3"/>
  <c r="O560" i="3" s="1"/>
  <c r="P560" i="3" s="1"/>
  <c r="N349" i="3"/>
  <c r="O349" i="3" s="1"/>
  <c r="P349" i="3" s="1"/>
  <c r="N399" i="3"/>
  <c r="O399" i="3" s="1"/>
  <c r="P399" i="3" s="1"/>
  <c r="N431" i="3"/>
  <c r="O431" i="3" s="1"/>
  <c r="P431" i="3" s="1"/>
  <c r="N463" i="3"/>
  <c r="O463" i="3" s="1"/>
  <c r="P463" i="3" s="1"/>
  <c r="N495" i="3"/>
  <c r="N734" i="3"/>
  <c r="N565" i="3"/>
  <c r="O565" i="3" s="1"/>
  <c r="P565" i="3" s="1"/>
  <c r="N581" i="3"/>
  <c r="N597" i="3"/>
  <c r="N613" i="3"/>
  <c r="N629" i="3"/>
  <c r="O629" i="3" s="1"/>
  <c r="P629" i="3" s="1"/>
  <c r="N645" i="3"/>
  <c r="N661" i="3"/>
  <c r="N676" i="3"/>
  <c r="O676" i="3" s="1"/>
  <c r="P676" i="3" s="1"/>
  <c r="N680" i="3"/>
  <c r="O680" i="3" s="1"/>
  <c r="P680" i="3" s="1"/>
  <c r="N684" i="3"/>
  <c r="O684" i="3" s="1"/>
  <c r="P684" i="3" s="1"/>
  <c r="N688" i="3"/>
  <c r="O688" i="3" s="1"/>
  <c r="P688" i="3" s="1"/>
  <c r="N692" i="3"/>
  <c r="O692" i="3" s="1"/>
  <c r="P692" i="3" s="1"/>
  <c r="N696" i="3"/>
  <c r="O696" i="3" s="1"/>
  <c r="P696" i="3" s="1"/>
  <c r="N700" i="3"/>
  <c r="O700" i="3" s="1"/>
  <c r="P700" i="3" s="1"/>
  <c r="N704" i="3"/>
  <c r="O704" i="3" s="1"/>
  <c r="P704" i="3" s="1"/>
  <c r="N708" i="3"/>
  <c r="O708" i="3" s="1"/>
  <c r="P708" i="3" s="1"/>
  <c r="N712" i="3"/>
  <c r="O712" i="3" s="1"/>
  <c r="P712" i="3" s="1"/>
  <c r="N716" i="3"/>
  <c r="O716" i="3" s="1"/>
  <c r="P716" i="3" s="1"/>
  <c r="N720" i="3"/>
  <c r="O720" i="3" s="1"/>
  <c r="P720" i="3" s="1"/>
  <c r="N724" i="3"/>
  <c r="O724" i="3" s="1"/>
  <c r="P724" i="3" s="1"/>
  <c r="N497" i="3"/>
  <c r="O497" i="3" s="1"/>
  <c r="P497" i="3" s="1"/>
  <c r="N501" i="3"/>
  <c r="O501" i="3" s="1"/>
  <c r="P501" i="3" s="1"/>
  <c r="N505" i="3"/>
  <c r="O505" i="3" s="1"/>
  <c r="P505" i="3" s="1"/>
  <c r="N509" i="3"/>
  <c r="O509" i="3" s="1"/>
  <c r="P509" i="3" s="1"/>
  <c r="N513" i="3"/>
  <c r="O513" i="3" s="1"/>
  <c r="P513" i="3" s="1"/>
  <c r="N517" i="3"/>
  <c r="O517" i="3" s="1"/>
  <c r="P517" i="3" s="1"/>
  <c r="N521" i="3"/>
  <c r="O521" i="3" s="1"/>
  <c r="P521" i="3" s="1"/>
  <c r="N525" i="3"/>
  <c r="O525" i="3" s="1"/>
  <c r="P525" i="3" s="1"/>
  <c r="N529" i="3"/>
  <c r="O529" i="3" s="1"/>
  <c r="P529" i="3" s="1"/>
  <c r="N533" i="3"/>
  <c r="O533" i="3" s="1"/>
  <c r="P533" i="3" s="1"/>
  <c r="N537" i="3"/>
  <c r="O537" i="3" s="1"/>
  <c r="P537" i="3" s="1"/>
  <c r="N541" i="3"/>
  <c r="O541" i="3" s="1"/>
  <c r="P541" i="3" s="1"/>
  <c r="N545" i="3"/>
  <c r="O545" i="3" s="1"/>
  <c r="P545" i="3" s="1"/>
  <c r="N549" i="3"/>
  <c r="O549" i="3" s="1"/>
  <c r="P549" i="3" s="1"/>
  <c r="N553" i="3"/>
  <c r="O553" i="3" s="1"/>
  <c r="P553" i="3" s="1"/>
  <c r="N557" i="3"/>
  <c r="O557" i="3" s="1"/>
  <c r="P557" i="3" s="1"/>
  <c r="N317" i="3"/>
  <c r="O317" i="3" s="1"/>
  <c r="P317" i="3" s="1"/>
  <c r="N391" i="3"/>
  <c r="O391" i="3" s="1"/>
  <c r="P391" i="3" s="1"/>
  <c r="N423" i="3"/>
  <c r="O423" i="3" s="1"/>
  <c r="P423" i="3" s="1"/>
  <c r="N455" i="3"/>
  <c r="O455" i="3" s="1"/>
  <c r="P455" i="3" s="1"/>
  <c r="N487" i="3"/>
  <c r="O487" i="3" s="1"/>
  <c r="P487" i="3" s="1"/>
  <c r="N730" i="3"/>
  <c r="O730" i="3" s="1"/>
  <c r="P730" i="3" s="1"/>
  <c r="N569" i="3"/>
  <c r="O569" i="3" s="1"/>
  <c r="P569" i="3" s="1"/>
  <c r="N585" i="3"/>
  <c r="O585" i="3" s="1"/>
  <c r="P585" i="3" s="1"/>
  <c r="N601" i="3"/>
  <c r="O601" i="3" s="1"/>
  <c r="P601" i="3" s="1"/>
  <c r="N617" i="3"/>
  <c r="O617" i="3" s="1"/>
  <c r="P617" i="3" s="1"/>
  <c r="N633" i="3"/>
  <c r="O633" i="3" s="1"/>
  <c r="P633" i="3" s="1"/>
  <c r="N649" i="3"/>
  <c r="O649" i="3" s="1"/>
  <c r="P649" i="3" s="1"/>
  <c r="N665" i="3"/>
  <c r="O665" i="3" s="1"/>
  <c r="P665" i="3" s="1"/>
  <c r="N673" i="3"/>
  <c r="O673" i="3" s="1"/>
  <c r="P673" i="3" s="1"/>
  <c r="N677" i="3"/>
  <c r="O677" i="3" s="1"/>
  <c r="P677" i="3" s="1"/>
  <c r="N681" i="3"/>
  <c r="O681" i="3" s="1"/>
  <c r="P681" i="3" s="1"/>
  <c r="N685" i="3"/>
  <c r="O685" i="3" s="1"/>
  <c r="P685" i="3" s="1"/>
  <c r="N689" i="3"/>
  <c r="N693" i="3"/>
  <c r="O693" i="3" s="1"/>
  <c r="P693" i="3" s="1"/>
  <c r="N697" i="3"/>
  <c r="O697" i="3" s="1"/>
  <c r="P697" i="3" s="1"/>
  <c r="N701" i="3"/>
  <c r="O701" i="3" s="1"/>
  <c r="P701" i="3" s="1"/>
  <c r="N705" i="3"/>
  <c r="N709" i="3"/>
  <c r="O709" i="3" s="1"/>
  <c r="P709" i="3" s="1"/>
  <c r="N713" i="3"/>
  <c r="O713" i="3" s="1"/>
  <c r="P713" i="3" s="1"/>
  <c r="N717" i="3"/>
  <c r="O717" i="3" s="1"/>
  <c r="P717" i="3" s="1"/>
  <c r="N721" i="3"/>
  <c r="N725" i="3"/>
  <c r="O725" i="3" s="1"/>
  <c r="P725" i="3" s="1"/>
  <c r="N498" i="3"/>
  <c r="O498" i="3" s="1"/>
  <c r="P498" i="3" s="1"/>
  <c r="N502" i="3"/>
  <c r="O502" i="3" s="1"/>
  <c r="P502" i="3" s="1"/>
  <c r="N506" i="3"/>
  <c r="N518" i="3"/>
  <c r="O518" i="3" s="1"/>
  <c r="P518" i="3" s="1"/>
  <c r="N534" i="3"/>
  <c r="O534" i="3" s="1"/>
  <c r="P534" i="3" s="1"/>
  <c r="N550" i="3"/>
  <c r="O550" i="3" s="1"/>
  <c r="P550" i="3" s="1"/>
  <c r="N522" i="3"/>
  <c r="N538" i="3"/>
  <c r="N554" i="3"/>
  <c r="N510" i="3"/>
  <c r="O510" i="3" s="1"/>
  <c r="P510" i="3" s="1"/>
  <c r="N526" i="3"/>
  <c r="O526" i="3" s="1"/>
  <c r="P526" i="3" s="1"/>
  <c r="N542" i="3"/>
  <c r="O542" i="3" s="1"/>
  <c r="P542" i="3" s="1"/>
  <c r="N558" i="3"/>
  <c r="O558" i="3" s="1"/>
  <c r="P558" i="3" s="1"/>
  <c r="N514" i="3"/>
  <c r="O514" i="3" s="1"/>
  <c r="P514" i="3" s="1"/>
  <c r="N530" i="3"/>
  <c r="O530" i="3" s="1"/>
  <c r="P530" i="3" s="1"/>
  <c r="N546" i="3"/>
  <c r="O546" i="3" s="1"/>
  <c r="P546" i="3" s="1"/>
  <c r="I16" i="3"/>
  <c r="I495" i="3"/>
  <c r="I20" i="3"/>
  <c r="I24" i="3"/>
  <c r="I28" i="3"/>
  <c r="I32" i="3"/>
  <c r="I36" i="3"/>
  <c r="I40" i="3"/>
  <c r="I44" i="3"/>
  <c r="I48" i="3"/>
  <c r="I52" i="3"/>
  <c r="I56" i="3"/>
  <c r="I60" i="3"/>
  <c r="I64" i="3"/>
  <c r="I68" i="3"/>
  <c r="I72" i="3"/>
  <c r="I76" i="3"/>
  <c r="I80" i="3"/>
  <c r="I84" i="3"/>
  <c r="I88" i="3"/>
  <c r="I92" i="3"/>
  <c r="I96" i="3"/>
  <c r="I100" i="3"/>
  <c r="I104" i="3"/>
  <c r="I108" i="3"/>
  <c r="I112" i="3"/>
  <c r="I116" i="3"/>
  <c r="I120" i="3"/>
  <c r="I124" i="3"/>
  <c r="I128" i="3"/>
  <c r="I132" i="3"/>
  <c r="I136" i="3"/>
  <c r="I140" i="3"/>
  <c r="I144" i="3"/>
  <c r="I148" i="3"/>
  <c r="I152" i="3"/>
  <c r="I156" i="3"/>
  <c r="I160" i="3"/>
  <c r="I164" i="3"/>
  <c r="I168" i="3"/>
  <c r="I172" i="3"/>
  <c r="I176" i="3"/>
  <c r="I180" i="3"/>
  <c r="I184" i="3"/>
  <c r="I188" i="3"/>
  <c r="I192" i="3"/>
  <c r="I196" i="3"/>
  <c r="I200" i="3"/>
  <c r="I204" i="3"/>
  <c r="I208" i="3"/>
  <c r="I212" i="3"/>
  <c r="I216" i="3"/>
  <c r="I220" i="3"/>
  <c r="I224" i="3"/>
  <c r="I228" i="3"/>
  <c r="I232" i="3"/>
  <c r="I236" i="3"/>
  <c r="I240" i="3"/>
  <c r="I244" i="3"/>
  <c r="I248" i="3"/>
  <c r="I252" i="3"/>
  <c r="I256" i="3"/>
  <c r="I260" i="3"/>
  <c r="I264" i="3"/>
  <c r="I268" i="3"/>
  <c r="I272" i="3"/>
  <c r="I276" i="3"/>
  <c r="I280" i="3"/>
  <c r="I284" i="3"/>
  <c r="I288" i="3"/>
  <c r="I292" i="3"/>
  <c r="I296" i="3"/>
  <c r="I300" i="3"/>
  <c r="I304" i="3"/>
  <c r="I308" i="3"/>
  <c r="I312" i="3"/>
  <c r="I316" i="3"/>
  <c r="I320" i="3"/>
  <c r="I324" i="3"/>
  <c r="I328" i="3"/>
  <c r="I332" i="3"/>
  <c r="I336" i="3"/>
  <c r="I340" i="3"/>
  <c r="I344" i="3"/>
  <c r="I348" i="3"/>
  <c r="I352" i="3"/>
  <c r="I356" i="3"/>
  <c r="I360" i="3"/>
  <c r="I364" i="3"/>
  <c r="I368" i="3"/>
  <c r="I372" i="3"/>
  <c r="I376" i="3"/>
  <c r="I380" i="3"/>
  <c r="I384" i="3"/>
  <c r="I388" i="3"/>
  <c r="I392" i="3"/>
  <c r="I396" i="3"/>
  <c r="I400" i="3"/>
  <c r="I404" i="3"/>
  <c r="I408" i="3"/>
  <c r="I412" i="3"/>
  <c r="I416" i="3"/>
  <c r="I420" i="3"/>
  <c r="I424" i="3"/>
  <c r="I428" i="3"/>
  <c r="I432" i="3"/>
  <c r="I436" i="3"/>
  <c r="I440" i="3"/>
  <c r="I444" i="3"/>
  <c r="I448" i="3"/>
  <c r="I452" i="3"/>
  <c r="I456" i="3"/>
  <c r="I460" i="3"/>
  <c r="I464" i="3"/>
  <c r="I468" i="3"/>
  <c r="I472" i="3"/>
  <c r="I476" i="3"/>
  <c r="I480" i="3"/>
  <c r="I484" i="3"/>
  <c r="I488" i="3"/>
  <c r="I492" i="3"/>
  <c r="I17" i="3"/>
  <c r="I21" i="3"/>
  <c r="I25" i="3"/>
  <c r="I29" i="3"/>
  <c r="I33" i="3"/>
  <c r="I37" i="3"/>
  <c r="I41" i="3"/>
  <c r="I45" i="3"/>
  <c r="I49" i="3"/>
  <c r="I53" i="3"/>
  <c r="I57" i="3"/>
  <c r="I61" i="3"/>
  <c r="I65" i="3"/>
  <c r="I69" i="3"/>
  <c r="I73" i="3"/>
  <c r="I77" i="3"/>
  <c r="I81" i="3"/>
  <c r="I85" i="3"/>
  <c r="I89" i="3"/>
  <c r="I93" i="3"/>
  <c r="I97" i="3"/>
  <c r="I101" i="3"/>
  <c r="I105" i="3"/>
  <c r="I109" i="3"/>
  <c r="I113" i="3"/>
  <c r="I117" i="3"/>
  <c r="I121" i="3"/>
  <c r="I125" i="3"/>
  <c r="I129" i="3"/>
  <c r="I133" i="3"/>
  <c r="I137" i="3"/>
  <c r="I141" i="3"/>
  <c r="I145" i="3"/>
  <c r="I149" i="3"/>
  <c r="I153" i="3"/>
  <c r="I157" i="3"/>
  <c r="I161" i="3"/>
  <c r="I165" i="3"/>
  <c r="I169" i="3"/>
  <c r="I173" i="3"/>
  <c r="I177" i="3"/>
  <c r="I181" i="3"/>
  <c r="I185" i="3"/>
  <c r="I189" i="3"/>
  <c r="I193" i="3"/>
  <c r="I197" i="3"/>
  <c r="I201" i="3"/>
  <c r="I205" i="3"/>
  <c r="I209" i="3"/>
  <c r="I213" i="3"/>
  <c r="I217" i="3"/>
  <c r="I221" i="3"/>
  <c r="I225" i="3"/>
  <c r="I229" i="3"/>
  <c r="I233" i="3"/>
  <c r="I237" i="3"/>
  <c r="I241" i="3"/>
  <c r="I245" i="3"/>
  <c r="I249" i="3"/>
  <c r="I253" i="3"/>
  <c r="I257" i="3"/>
  <c r="I261" i="3"/>
  <c r="I265" i="3"/>
  <c r="I269" i="3"/>
  <c r="I273" i="3"/>
  <c r="I277" i="3"/>
  <c r="I281" i="3"/>
  <c r="I285" i="3"/>
  <c r="I289" i="3"/>
  <c r="I293" i="3"/>
  <c r="I297" i="3"/>
  <c r="I301" i="3"/>
  <c r="I305" i="3"/>
  <c r="I309" i="3"/>
  <c r="I313" i="3"/>
  <c r="I317" i="3"/>
  <c r="I321" i="3"/>
  <c r="I325" i="3"/>
  <c r="I329" i="3"/>
  <c r="I333" i="3"/>
  <c r="I337" i="3"/>
  <c r="I341" i="3"/>
  <c r="I345" i="3"/>
  <c r="I349" i="3"/>
  <c r="I353" i="3"/>
  <c r="I357" i="3"/>
  <c r="I361" i="3"/>
  <c r="I365" i="3"/>
  <c r="I369" i="3"/>
  <c r="I373" i="3"/>
  <c r="I377" i="3"/>
  <c r="I381" i="3"/>
  <c r="I385" i="3"/>
  <c r="I389" i="3"/>
  <c r="I393" i="3"/>
  <c r="I397" i="3"/>
  <c r="I401" i="3"/>
  <c r="I405" i="3"/>
  <c r="I409" i="3"/>
  <c r="I413" i="3"/>
  <c r="I417" i="3"/>
  <c r="I421" i="3"/>
  <c r="I425" i="3"/>
  <c r="I429" i="3"/>
  <c r="I433" i="3"/>
  <c r="I437" i="3"/>
  <c r="I441" i="3"/>
  <c r="I445" i="3"/>
  <c r="I449" i="3"/>
  <c r="I453" i="3"/>
  <c r="I457" i="3"/>
  <c r="I461" i="3"/>
  <c r="I465" i="3"/>
  <c r="I469" i="3"/>
  <c r="I473" i="3"/>
  <c r="I477" i="3"/>
  <c r="I481" i="3"/>
  <c r="I485" i="3"/>
  <c r="I489" i="3"/>
  <c r="I493" i="3"/>
  <c r="I18" i="3"/>
  <c r="I22" i="3"/>
  <c r="I26" i="3"/>
  <c r="I30" i="3"/>
  <c r="I34" i="3"/>
  <c r="I38" i="3"/>
  <c r="I42" i="3"/>
  <c r="I46" i="3"/>
  <c r="I50" i="3"/>
  <c r="I54" i="3"/>
  <c r="I58" i="3"/>
  <c r="I62" i="3"/>
  <c r="I66" i="3"/>
  <c r="I70" i="3"/>
  <c r="I74" i="3"/>
  <c r="I78" i="3"/>
  <c r="I82" i="3"/>
  <c r="I86" i="3"/>
  <c r="I90" i="3"/>
  <c r="I94" i="3"/>
  <c r="I98" i="3"/>
  <c r="I102" i="3"/>
  <c r="I106" i="3"/>
  <c r="I110" i="3"/>
  <c r="I114" i="3"/>
  <c r="I118" i="3"/>
  <c r="I122" i="3"/>
  <c r="I126" i="3"/>
  <c r="I130" i="3"/>
  <c r="I134" i="3"/>
  <c r="I138" i="3"/>
  <c r="I142" i="3"/>
  <c r="I146" i="3"/>
  <c r="I150" i="3"/>
  <c r="I154" i="3"/>
  <c r="I158" i="3"/>
  <c r="I162" i="3"/>
  <c r="I166" i="3"/>
  <c r="I170" i="3"/>
  <c r="I174" i="3"/>
  <c r="I178" i="3"/>
  <c r="I182" i="3"/>
  <c r="I186" i="3"/>
  <c r="I190" i="3"/>
  <c r="I194" i="3"/>
  <c r="I198" i="3"/>
  <c r="I202" i="3"/>
  <c r="I206" i="3"/>
  <c r="I210" i="3"/>
  <c r="I214" i="3"/>
  <c r="I218" i="3"/>
  <c r="I222" i="3"/>
  <c r="I226" i="3"/>
  <c r="I230" i="3"/>
  <c r="I234" i="3"/>
  <c r="I238" i="3"/>
  <c r="I242" i="3"/>
  <c r="I246" i="3"/>
  <c r="I250" i="3"/>
  <c r="I254" i="3"/>
  <c r="I258" i="3"/>
  <c r="I262" i="3"/>
  <c r="I266" i="3"/>
  <c r="I270" i="3"/>
  <c r="I274" i="3"/>
  <c r="I278" i="3"/>
  <c r="I282" i="3"/>
  <c r="I286" i="3"/>
  <c r="I290" i="3"/>
  <c r="I294" i="3"/>
  <c r="I298" i="3"/>
  <c r="I302" i="3"/>
  <c r="I306" i="3"/>
  <c r="I310" i="3"/>
  <c r="I314" i="3"/>
  <c r="I318" i="3"/>
  <c r="I322" i="3"/>
  <c r="I326" i="3"/>
  <c r="I330" i="3"/>
  <c r="I334" i="3"/>
  <c r="I338" i="3"/>
  <c r="I342" i="3"/>
  <c r="I346" i="3"/>
  <c r="I350" i="3"/>
  <c r="I354" i="3"/>
  <c r="I358" i="3"/>
  <c r="I362" i="3"/>
  <c r="I366" i="3"/>
  <c r="I370" i="3"/>
  <c r="I374" i="3"/>
  <c r="I378" i="3"/>
  <c r="I382" i="3"/>
  <c r="I386" i="3"/>
  <c r="I390" i="3"/>
  <c r="I394" i="3"/>
  <c r="I398" i="3"/>
  <c r="I402" i="3"/>
  <c r="I406" i="3"/>
  <c r="I410" i="3"/>
  <c r="I414" i="3"/>
  <c r="I418" i="3"/>
  <c r="I422" i="3"/>
  <c r="I426" i="3"/>
  <c r="I430" i="3"/>
  <c r="I434" i="3"/>
  <c r="I438" i="3"/>
  <c r="I442" i="3"/>
  <c r="I446" i="3"/>
  <c r="I450" i="3"/>
  <c r="I454" i="3"/>
  <c r="I458" i="3"/>
  <c r="I462" i="3"/>
  <c r="I466" i="3"/>
  <c r="I470" i="3"/>
  <c r="I474" i="3"/>
  <c r="I478" i="3"/>
  <c r="I482" i="3"/>
  <c r="I486" i="3"/>
  <c r="I490" i="3"/>
  <c r="I494" i="3"/>
  <c r="I31" i="3"/>
  <c r="I47" i="3"/>
  <c r="I63" i="3"/>
  <c r="I79" i="3"/>
  <c r="I95" i="3"/>
  <c r="I111" i="3"/>
  <c r="I127" i="3"/>
  <c r="I143" i="3"/>
  <c r="I159" i="3"/>
  <c r="I175" i="3"/>
  <c r="I191" i="3"/>
  <c r="I207" i="3"/>
  <c r="I223" i="3"/>
  <c r="I239" i="3"/>
  <c r="I255" i="3"/>
  <c r="I271" i="3"/>
  <c r="I287" i="3"/>
  <c r="I303" i="3"/>
  <c r="I319" i="3"/>
  <c r="I335" i="3"/>
  <c r="I351" i="3"/>
  <c r="I367" i="3"/>
  <c r="I383" i="3"/>
  <c r="I399" i="3"/>
  <c r="I415" i="3"/>
  <c r="I431" i="3"/>
  <c r="I447" i="3"/>
  <c r="I463" i="3"/>
  <c r="I479" i="3"/>
  <c r="I731" i="3"/>
  <c r="I735" i="3"/>
  <c r="I563" i="3"/>
  <c r="I567" i="3"/>
  <c r="I571" i="3"/>
  <c r="I575" i="3"/>
  <c r="I579" i="3"/>
  <c r="I583" i="3"/>
  <c r="I587" i="3"/>
  <c r="I591" i="3"/>
  <c r="I595" i="3"/>
  <c r="I599" i="3"/>
  <c r="I603" i="3"/>
  <c r="I607" i="3"/>
  <c r="I611" i="3"/>
  <c r="I615" i="3"/>
  <c r="I619" i="3"/>
  <c r="I623" i="3"/>
  <c r="I627" i="3"/>
  <c r="I631" i="3"/>
  <c r="I635" i="3"/>
  <c r="I639" i="3"/>
  <c r="I643" i="3"/>
  <c r="I647" i="3"/>
  <c r="I651" i="3"/>
  <c r="I655" i="3"/>
  <c r="I659" i="3"/>
  <c r="I663" i="3"/>
  <c r="I667" i="3"/>
  <c r="I671" i="3"/>
  <c r="I19" i="3"/>
  <c r="I35" i="3"/>
  <c r="I51" i="3"/>
  <c r="I67" i="3"/>
  <c r="I83" i="3"/>
  <c r="I99" i="3"/>
  <c r="I115" i="3"/>
  <c r="I131" i="3"/>
  <c r="I147" i="3"/>
  <c r="I163" i="3"/>
  <c r="I179" i="3"/>
  <c r="I195" i="3"/>
  <c r="I211" i="3"/>
  <c r="I227" i="3"/>
  <c r="I243" i="3"/>
  <c r="I259" i="3"/>
  <c r="I275" i="3"/>
  <c r="I291" i="3"/>
  <c r="I307" i="3"/>
  <c r="I323" i="3"/>
  <c r="I339" i="3"/>
  <c r="I355" i="3"/>
  <c r="I371" i="3"/>
  <c r="I387" i="3"/>
  <c r="I403" i="3"/>
  <c r="I419" i="3"/>
  <c r="I435" i="3"/>
  <c r="I451" i="3"/>
  <c r="I467" i="3"/>
  <c r="I483" i="3"/>
  <c r="I727" i="3"/>
  <c r="I730" i="3"/>
  <c r="I734" i="3"/>
  <c r="I564" i="3"/>
  <c r="I568" i="3"/>
  <c r="I572" i="3"/>
  <c r="I576" i="3"/>
  <c r="I580" i="3"/>
  <c r="I584" i="3"/>
  <c r="I588" i="3"/>
  <c r="I592" i="3"/>
  <c r="I596" i="3"/>
  <c r="I600" i="3"/>
  <c r="I604" i="3"/>
  <c r="I608" i="3"/>
  <c r="I612" i="3"/>
  <c r="I616" i="3"/>
  <c r="I620" i="3"/>
  <c r="I624" i="3"/>
  <c r="I628" i="3"/>
  <c r="I632" i="3"/>
  <c r="I636" i="3"/>
  <c r="I640" i="3"/>
  <c r="I644" i="3"/>
  <c r="I648" i="3"/>
  <c r="I652" i="3"/>
  <c r="I656" i="3"/>
  <c r="I660" i="3"/>
  <c r="I664" i="3"/>
  <c r="I668" i="3"/>
  <c r="I672" i="3"/>
  <c r="I23" i="3"/>
  <c r="I39" i="3"/>
  <c r="I55" i="3"/>
  <c r="I71" i="3"/>
  <c r="I87" i="3"/>
  <c r="I103" i="3"/>
  <c r="I119" i="3"/>
  <c r="I135" i="3"/>
  <c r="I151" i="3"/>
  <c r="I167" i="3"/>
  <c r="I183" i="3"/>
  <c r="I199" i="3"/>
  <c r="I215" i="3"/>
  <c r="I231" i="3"/>
  <c r="I247" i="3"/>
  <c r="I263" i="3"/>
  <c r="I279" i="3"/>
  <c r="I295" i="3"/>
  <c r="I311" i="3"/>
  <c r="I327" i="3"/>
  <c r="I343" i="3"/>
  <c r="I359" i="3"/>
  <c r="I375" i="3"/>
  <c r="I391" i="3"/>
  <c r="I407" i="3"/>
  <c r="I423" i="3"/>
  <c r="I439" i="3"/>
  <c r="I455" i="3"/>
  <c r="I471" i="3"/>
  <c r="I487" i="3"/>
  <c r="I729" i="3"/>
  <c r="I733" i="3"/>
  <c r="I561" i="3"/>
  <c r="I565" i="3"/>
  <c r="I569" i="3"/>
  <c r="I573" i="3"/>
  <c r="I577" i="3"/>
  <c r="I581" i="3"/>
  <c r="I585" i="3"/>
  <c r="I589" i="3"/>
  <c r="I593" i="3"/>
  <c r="I597" i="3"/>
  <c r="I601" i="3"/>
  <c r="I605" i="3"/>
  <c r="I609" i="3"/>
  <c r="I613" i="3"/>
  <c r="I617" i="3"/>
  <c r="I621" i="3"/>
  <c r="I625" i="3"/>
  <c r="I629" i="3"/>
  <c r="I633" i="3"/>
  <c r="I637" i="3"/>
  <c r="I641" i="3"/>
  <c r="I645" i="3"/>
  <c r="I649" i="3"/>
  <c r="I653" i="3"/>
  <c r="I657" i="3"/>
  <c r="I661" i="3"/>
  <c r="I665" i="3"/>
  <c r="I669" i="3"/>
  <c r="I43" i="3"/>
  <c r="I107" i="3"/>
  <c r="I171" i="3"/>
  <c r="I235" i="3"/>
  <c r="I299" i="3"/>
  <c r="I363" i="3"/>
  <c r="I427" i="3"/>
  <c r="I491" i="3"/>
  <c r="I570" i="3"/>
  <c r="I586" i="3"/>
  <c r="I602" i="3"/>
  <c r="I618" i="3"/>
  <c r="I634" i="3"/>
  <c r="I650" i="3"/>
  <c r="I666" i="3"/>
  <c r="I675" i="3"/>
  <c r="I679" i="3"/>
  <c r="I683" i="3"/>
  <c r="I687" i="3"/>
  <c r="I691" i="3"/>
  <c r="I695" i="3"/>
  <c r="I699" i="3"/>
  <c r="I703" i="3"/>
  <c r="I707" i="3"/>
  <c r="I711" i="3"/>
  <c r="I715" i="3"/>
  <c r="I719" i="3"/>
  <c r="I723" i="3"/>
  <c r="I496" i="3"/>
  <c r="I500" i="3"/>
  <c r="I504" i="3"/>
  <c r="I508" i="3"/>
  <c r="I512" i="3"/>
  <c r="I516" i="3"/>
  <c r="I520" i="3"/>
  <c r="I524" i="3"/>
  <c r="I528" i="3"/>
  <c r="I532" i="3"/>
  <c r="I536" i="3"/>
  <c r="I540" i="3"/>
  <c r="I544" i="3"/>
  <c r="I548" i="3"/>
  <c r="I552" i="3"/>
  <c r="I556" i="3"/>
  <c r="I560" i="3"/>
  <c r="I59" i="3"/>
  <c r="I123" i="3"/>
  <c r="I187" i="3"/>
  <c r="I251" i="3"/>
  <c r="I315" i="3"/>
  <c r="I379" i="3"/>
  <c r="I443" i="3"/>
  <c r="I574" i="3"/>
  <c r="I590" i="3"/>
  <c r="I606" i="3"/>
  <c r="I622" i="3"/>
  <c r="I638" i="3"/>
  <c r="I654" i="3"/>
  <c r="I670" i="3"/>
  <c r="I676" i="3"/>
  <c r="I680" i="3"/>
  <c r="I684" i="3"/>
  <c r="I688" i="3"/>
  <c r="I692" i="3"/>
  <c r="I696" i="3"/>
  <c r="I700" i="3"/>
  <c r="I704" i="3"/>
  <c r="I708" i="3"/>
  <c r="I712" i="3"/>
  <c r="I716" i="3"/>
  <c r="I720" i="3"/>
  <c r="I724" i="3"/>
  <c r="I497" i="3"/>
  <c r="I501" i="3"/>
  <c r="I505" i="3"/>
  <c r="I509" i="3"/>
  <c r="I513" i="3"/>
  <c r="I517" i="3"/>
  <c r="I521" i="3"/>
  <c r="I525" i="3"/>
  <c r="I529" i="3"/>
  <c r="I533" i="3"/>
  <c r="I537" i="3"/>
  <c r="I541" i="3"/>
  <c r="I545" i="3"/>
  <c r="I549" i="3"/>
  <c r="I553" i="3"/>
  <c r="I557" i="3"/>
  <c r="I75" i="3"/>
  <c r="I139" i="3"/>
  <c r="I203" i="3"/>
  <c r="I267" i="3"/>
  <c r="I331" i="3"/>
  <c r="I395" i="3"/>
  <c r="I459" i="3"/>
  <c r="I732" i="3"/>
  <c r="I562" i="3"/>
  <c r="I578" i="3"/>
  <c r="I594" i="3"/>
  <c r="I610" i="3"/>
  <c r="I626" i="3"/>
  <c r="I642" i="3"/>
  <c r="I658" i="3"/>
  <c r="I673" i="3"/>
  <c r="I677" i="3"/>
  <c r="I681" i="3"/>
  <c r="I685" i="3"/>
  <c r="I689" i="3"/>
  <c r="I693" i="3"/>
  <c r="I697" i="3"/>
  <c r="I701" i="3"/>
  <c r="I705" i="3"/>
  <c r="I709" i="3"/>
  <c r="I713" i="3"/>
  <c r="I717" i="3"/>
  <c r="I721" i="3"/>
  <c r="I725" i="3"/>
  <c r="I498" i="3"/>
  <c r="I502" i="3"/>
  <c r="I506" i="3"/>
  <c r="I510" i="3"/>
  <c r="I514" i="3"/>
  <c r="I518" i="3"/>
  <c r="I522" i="3"/>
  <c r="I526" i="3"/>
  <c r="I530" i="3"/>
  <c r="I534" i="3"/>
  <c r="I538" i="3"/>
  <c r="I542" i="3"/>
  <c r="I546" i="3"/>
  <c r="I550" i="3"/>
  <c r="I554" i="3"/>
  <c r="I558" i="3"/>
  <c r="I27" i="3"/>
  <c r="I91" i="3"/>
  <c r="I155" i="3"/>
  <c r="I219" i="3"/>
  <c r="I283" i="3"/>
  <c r="I347" i="3"/>
  <c r="I411" i="3"/>
  <c r="I475" i="3"/>
  <c r="I728" i="3"/>
  <c r="I566" i="3"/>
  <c r="I582" i="3"/>
  <c r="I598" i="3"/>
  <c r="I614" i="3"/>
  <c r="I630" i="3"/>
  <c r="I646" i="3"/>
  <c r="I662" i="3"/>
  <c r="I674" i="3"/>
  <c r="I678" i="3"/>
  <c r="I682" i="3"/>
  <c r="I686" i="3"/>
  <c r="I690" i="3"/>
  <c r="I694" i="3"/>
  <c r="I698" i="3"/>
  <c r="I702" i="3"/>
  <c r="I706" i="3"/>
  <c r="I710" i="3"/>
  <c r="I714" i="3"/>
  <c r="I718" i="3"/>
  <c r="I722" i="3"/>
  <c r="I726" i="3"/>
  <c r="I499" i="3"/>
  <c r="I503" i="3"/>
  <c r="I507" i="3"/>
  <c r="I515" i="3"/>
  <c r="I531" i="3"/>
  <c r="I547" i="3"/>
  <c r="I519" i="3"/>
  <c r="I535" i="3"/>
  <c r="I551" i="3"/>
  <c r="I523" i="3"/>
  <c r="I539" i="3"/>
  <c r="I555" i="3"/>
  <c r="I511" i="3"/>
  <c r="I527" i="3"/>
  <c r="I543" i="3"/>
  <c r="I559" i="3"/>
  <c r="T38" i="7"/>
  <c r="V38" i="7" s="1"/>
  <c r="W38" i="7" s="1"/>
  <c r="F11" i="3"/>
  <c r="N11" i="3"/>
  <c r="N10" i="3"/>
  <c r="F10" i="3"/>
  <c r="I11" i="3"/>
  <c r="I10" i="3"/>
  <c r="D31" i="1" l="1"/>
  <c r="B14" i="14" s="1"/>
  <c r="O554" i="3"/>
  <c r="P554" i="3" s="1"/>
  <c r="O613" i="3"/>
  <c r="P613" i="3" s="1"/>
  <c r="O734" i="3"/>
  <c r="P734" i="3" s="1"/>
  <c r="O536" i="3"/>
  <c r="P536" i="3" s="1"/>
  <c r="O631" i="3"/>
  <c r="P631" i="3" s="1"/>
  <c r="O567" i="3"/>
  <c r="P567" i="3" s="1"/>
  <c r="O491" i="3"/>
  <c r="P491" i="3" s="1"/>
  <c r="O459" i="3"/>
  <c r="P459" i="3" s="1"/>
  <c r="O427" i="3"/>
  <c r="P427" i="3" s="1"/>
  <c r="O395" i="3"/>
  <c r="P395" i="3" s="1"/>
  <c r="O158" i="3"/>
  <c r="P158" i="3" s="1"/>
  <c r="O359" i="3"/>
  <c r="P359" i="3" s="1"/>
  <c r="O327" i="3"/>
  <c r="P327" i="3" s="1"/>
  <c r="O494" i="3"/>
  <c r="P494" i="3" s="1"/>
  <c r="O462" i="3"/>
  <c r="P462" i="3" s="1"/>
  <c r="O430" i="3"/>
  <c r="P430" i="3" s="1"/>
  <c r="O398" i="3"/>
  <c r="P398" i="3" s="1"/>
  <c r="O126" i="3"/>
  <c r="P126" i="3" s="1"/>
  <c r="O273" i="3"/>
  <c r="P273" i="3" s="1"/>
  <c r="O241" i="3"/>
  <c r="P241" i="3" s="1"/>
  <c r="O198" i="3"/>
  <c r="P198" i="3" s="1"/>
  <c r="O376" i="3"/>
  <c r="P376" i="3" s="1"/>
  <c r="O344" i="3"/>
  <c r="P344" i="3" s="1"/>
  <c r="O312" i="3"/>
  <c r="P312" i="3" s="1"/>
  <c r="O206" i="3"/>
  <c r="P206" i="3" s="1"/>
  <c r="O150" i="3"/>
  <c r="P150" i="3" s="1"/>
  <c r="O290" i="3"/>
  <c r="P290" i="3" s="1"/>
  <c r="O258" i="3"/>
  <c r="P258" i="3" s="1"/>
  <c r="O226" i="3"/>
  <c r="P226" i="3" s="1"/>
  <c r="O189" i="3"/>
  <c r="P189" i="3" s="1"/>
  <c r="O157" i="3"/>
  <c r="P157" i="3" s="1"/>
  <c r="O125" i="3"/>
  <c r="P125" i="3" s="1"/>
  <c r="O68" i="3"/>
  <c r="P68" i="3" s="1"/>
  <c r="O60" i="3"/>
  <c r="P60" i="3" s="1"/>
  <c r="O52" i="3"/>
  <c r="P52" i="3" s="1"/>
  <c r="O44" i="3"/>
  <c r="P44" i="3" s="1"/>
  <c r="O26" i="3"/>
  <c r="P26" i="3" s="1"/>
  <c r="O67" i="3"/>
  <c r="P67" i="3" s="1"/>
  <c r="O538" i="3"/>
  <c r="P538" i="3" s="1"/>
  <c r="O661" i="3"/>
  <c r="P661" i="3" s="1"/>
  <c r="O597" i="3"/>
  <c r="P597" i="3" s="1"/>
  <c r="O495" i="3"/>
  <c r="O516" i="3"/>
  <c r="P516" i="3" s="1"/>
  <c r="O627" i="3"/>
  <c r="P627" i="3" s="1"/>
  <c r="O563" i="3"/>
  <c r="P563" i="3" s="1"/>
  <c r="O483" i="3"/>
  <c r="P483" i="3" s="1"/>
  <c r="O451" i="3"/>
  <c r="P451" i="3" s="1"/>
  <c r="O419" i="3"/>
  <c r="P419" i="3" s="1"/>
  <c r="O383" i="3"/>
  <c r="P383" i="3" s="1"/>
  <c r="O351" i="3"/>
  <c r="P351" i="3" s="1"/>
  <c r="O319" i="3"/>
  <c r="P319" i="3" s="1"/>
  <c r="O460" i="3"/>
  <c r="P460" i="3" s="1"/>
  <c r="O420" i="3"/>
  <c r="P420" i="3" s="1"/>
  <c r="O412" i="3"/>
  <c r="P412" i="3" s="1"/>
  <c r="O404" i="3"/>
  <c r="P404" i="3" s="1"/>
  <c r="O297" i="3"/>
  <c r="P297" i="3" s="1"/>
  <c r="O265" i="3"/>
  <c r="P265" i="3" s="1"/>
  <c r="O233" i="3"/>
  <c r="P233" i="3" s="1"/>
  <c r="O166" i="3"/>
  <c r="P166" i="3" s="1"/>
  <c r="O382" i="3"/>
  <c r="P382" i="3" s="1"/>
  <c r="O350" i="3"/>
  <c r="P350" i="3" s="1"/>
  <c r="O318" i="3"/>
  <c r="P318" i="3" s="1"/>
  <c r="O174" i="3"/>
  <c r="P174" i="3" s="1"/>
  <c r="O272" i="3"/>
  <c r="P272" i="3" s="1"/>
  <c r="O240" i="3"/>
  <c r="P240" i="3" s="1"/>
  <c r="O76" i="3"/>
  <c r="P76" i="3" s="1"/>
  <c r="O195" i="3"/>
  <c r="P195" i="3" s="1"/>
  <c r="O187" i="3"/>
  <c r="P187" i="3" s="1"/>
  <c r="O139" i="3"/>
  <c r="P139" i="3" s="1"/>
  <c r="O113" i="3"/>
  <c r="P113" i="3" s="1"/>
  <c r="O105" i="3"/>
  <c r="P105" i="3" s="1"/>
  <c r="O97" i="3"/>
  <c r="P97" i="3" s="1"/>
  <c r="O89" i="3"/>
  <c r="P89" i="3" s="1"/>
  <c r="O81" i="3"/>
  <c r="P81" i="3" s="1"/>
  <c r="O29" i="3"/>
  <c r="P29" i="3" s="1"/>
  <c r="O73" i="3"/>
  <c r="P73" i="3" s="1"/>
  <c r="O57" i="3"/>
  <c r="P57" i="3" s="1"/>
  <c r="O49" i="3"/>
  <c r="P49" i="3" s="1"/>
  <c r="O41" i="3"/>
  <c r="P41" i="3" s="1"/>
  <c r="O32" i="3"/>
  <c r="P32" i="3" s="1"/>
  <c r="C22" i="3"/>
  <c r="D22" i="3" s="1"/>
  <c r="E23" i="3"/>
  <c r="O522" i="3"/>
  <c r="P522" i="3" s="1"/>
  <c r="O506" i="3"/>
  <c r="P506" i="3" s="1"/>
  <c r="O721" i="3"/>
  <c r="P721" i="3" s="1"/>
  <c r="O705" i="3"/>
  <c r="P705" i="3" s="1"/>
  <c r="O689" i="3"/>
  <c r="P689" i="3" s="1"/>
  <c r="O645" i="3"/>
  <c r="P645" i="3" s="1"/>
  <c r="O581" i="3"/>
  <c r="P581" i="3" s="1"/>
  <c r="O512" i="3"/>
  <c r="P512" i="3" s="1"/>
  <c r="O496" i="3"/>
  <c r="P496" i="3" s="1"/>
  <c r="O711" i="3"/>
  <c r="P711" i="3" s="1"/>
  <c r="O695" i="3"/>
  <c r="P695" i="3" s="1"/>
  <c r="O679" i="3"/>
  <c r="P679" i="3" s="1"/>
  <c r="O547" i="3"/>
  <c r="P547" i="3" s="1"/>
  <c r="O531" i="3"/>
  <c r="P531" i="3" s="1"/>
  <c r="O515" i="3"/>
  <c r="P515" i="3" s="1"/>
  <c r="O499" i="3"/>
  <c r="P499" i="3" s="1"/>
  <c r="O714" i="3"/>
  <c r="P714" i="3" s="1"/>
  <c r="O698" i="3"/>
  <c r="P698" i="3" s="1"/>
  <c r="O682" i="3"/>
  <c r="P682" i="3" s="1"/>
  <c r="O655" i="3"/>
  <c r="P655" i="3" s="1"/>
  <c r="O591" i="3"/>
  <c r="P591" i="3" s="1"/>
  <c r="O475" i="3"/>
  <c r="P475" i="3" s="1"/>
  <c r="O443" i="3"/>
  <c r="P443" i="3" s="1"/>
  <c r="O411" i="3"/>
  <c r="P411" i="3" s="1"/>
  <c r="O662" i="3"/>
  <c r="P662" i="3" s="1"/>
  <c r="O646" i="3"/>
  <c r="P646" i="3" s="1"/>
  <c r="O630" i="3"/>
  <c r="P630" i="3" s="1"/>
  <c r="O614" i="3"/>
  <c r="P614" i="3" s="1"/>
  <c r="O598" i="3"/>
  <c r="P598" i="3" s="1"/>
  <c r="O582" i="3"/>
  <c r="P582" i="3" s="1"/>
  <c r="O566" i="3"/>
  <c r="P566" i="3" s="1"/>
  <c r="O375" i="3"/>
  <c r="P375" i="3" s="1"/>
  <c r="O343" i="3"/>
  <c r="P343" i="3" s="1"/>
  <c r="O311" i="3"/>
  <c r="P311" i="3" s="1"/>
  <c r="O482" i="3"/>
  <c r="P482" i="3" s="1"/>
  <c r="O450" i="3"/>
  <c r="P450" i="3" s="1"/>
  <c r="O418" i="3"/>
  <c r="P418" i="3" s="1"/>
  <c r="O289" i="3"/>
  <c r="P289" i="3" s="1"/>
  <c r="O257" i="3"/>
  <c r="P257" i="3" s="1"/>
  <c r="O225" i="3"/>
  <c r="P225" i="3" s="1"/>
  <c r="O134" i="3"/>
  <c r="P134" i="3" s="1"/>
  <c r="O380" i="3"/>
  <c r="P380" i="3" s="1"/>
  <c r="O348" i="3"/>
  <c r="P348" i="3" s="1"/>
  <c r="O316" i="3"/>
  <c r="P316" i="3" s="1"/>
  <c r="O142" i="3"/>
  <c r="P142" i="3" s="1"/>
  <c r="O214" i="3"/>
  <c r="P214" i="3" s="1"/>
  <c r="O278" i="3"/>
  <c r="P278" i="3" s="1"/>
  <c r="O246" i="3"/>
  <c r="P246" i="3" s="1"/>
  <c r="O193" i="3"/>
  <c r="P193" i="3" s="1"/>
  <c r="O161" i="3"/>
  <c r="P161" i="3" s="1"/>
  <c r="O129" i="3"/>
  <c r="P129" i="3" s="1"/>
  <c r="O112" i="3"/>
  <c r="P112" i="3" s="1"/>
  <c r="O104" i="3"/>
  <c r="P104" i="3" s="1"/>
  <c r="O96" i="3"/>
  <c r="P96" i="3" s="1"/>
  <c r="O88" i="3"/>
  <c r="P88" i="3" s="1"/>
  <c r="O80" i="3"/>
  <c r="P80" i="3" s="1"/>
  <c r="O16" i="3"/>
  <c r="D32" i="1"/>
  <c r="B18" i="14" s="1"/>
  <c r="O30" i="3"/>
  <c r="P30" i="3" s="1"/>
  <c r="O10" i="3"/>
  <c r="O11" i="3"/>
  <c r="F32" i="1" l="1"/>
  <c r="B20" i="14" s="1"/>
  <c r="P16" i="3"/>
  <c r="E32" i="1"/>
  <c r="B19" i="14" s="1"/>
  <c r="C23" i="3"/>
  <c r="D23" i="3" s="1"/>
  <c r="E24" i="3"/>
  <c r="D34" i="1"/>
  <c r="B22" i="14" s="1"/>
  <c r="P495" i="3"/>
  <c r="P10" i="3"/>
  <c r="P11" i="3"/>
  <c r="G32" i="1" l="1"/>
  <c r="B21" i="14" s="1"/>
  <c r="C24" i="3"/>
  <c r="D24" i="3" s="1"/>
  <c r="E25" i="3"/>
  <c r="C25" i="3" l="1"/>
  <c r="D25" i="3" s="1"/>
  <c r="E26" i="3"/>
  <c r="C26" i="3" l="1"/>
  <c r="D26" i="3" s="1"/>
  <c r="E27" i="3"/>
  <c r="C27" i="3" l="1"/>
  <c r="D27" i="3" s="1"/>
  <c r="H28" i="6" s="1"/>
  <c r="H29" i="6" s="1"/>
  <c r="E28" i="3"/>
  <c r="C28" i="3" s="1"/>
  <c r="D28" i="3" l="1"/>
  <c r="E29" i="3"/>
  <c r="H31" i="6"/>
  <c r="H19" i="6"/>
  <c r="H21" i="6"/>
  <c r="H22" i="6"/>
  <c r="H16" i="6"/>
  <c r="H17" i="6"/>
  <c r="H18" i="6"/>
  <c r="H20" i="6"/>
  <c r="H32" i="6"/>
  <c r="H30" i="6" l="1"/>
  <c r="H34" i="6" s="1"/>
  <c r="H37" i="6" s="1"/>
  <c r="H16" i="3" s="1"/>
  <c r="C29" i="3"/>
  <c r="D29" i="3" s="1"/>
  <c r="E30" i="3"/>
  <c r="H35" i="6" l="1"/>
  <c r="C30" i="3"/>
  <c r="D30" i="3" s="1"/>
  <c r="E31" i="3"/>
  <c r="H17" i="3"/>
  <c r="J16" i="3"/>
  <c r="C31" i="3" l="1"/>
  <c r="D31" i="3" s="1"/>
  <c r="E32" i="3"/>
  <c r="K16" i="3"/>
  <c r="E31" i="1"/>
  <c r="H18" i="3"/>
  <c r="J17" i="3"/>
  <c r="K17" i="3" s="1"/>
  <c r="E34" i="1" l="1"/>
  <c r="B23" i="14" s="1"/>
  <c r="B15" i="14"/>
  <c r="H19" i="3"/>
  <c r="J18" i="3"/>
  <c r="K18" i="3" s="1"/>
  <c r="C32" i="3"/>
  <c r="D32" i="3" s="1"/>
  <c r="E33" i="3"/>
  <c r="J19" i="3" l="1"/>
  <c r="K19" i="3" s="1"/>
  <c r="H20" i="3"/>
  <c r="C33" i="3"/>
  <c r="D33" i="3" s="1"/>
  <c r="E34" i="3"/>
  <c r="C34" i="3" s="1"/>
  <c r="D34" i="3" l="1"/>
  <c r="H21" i="3"/>
  <c r="J20" i="3"/>
  <c r="K20" i="3" s="1"/>
  <c r="E35" i="3"/>
  <c r="C35" i="3" l="1"/>
  <c r="D35" i="3" s="1"/>
  <c r="E36" i="3"/>
  <c r="J21" i="3"/>
  <c r="K21" i="3" s="1"/>
  <c r="H22" i="3"/>
  <c r="C36" i="3" l="1"/>
  <c r="D36" i="3" s="1"/>
  <c r="E37" i="3"/>
  <c r="J22" i="3"/>
  <c r="K22" i="3" s="1"/>
  <c r="H23" i="3"/>
  <c r="C37" i="3" l="1"/>
  <c r="D37" i="3" s="1"/>
  <c r="E38" i="3"/>
  <c r="C38" i="3" s="1"/>
  <c r="J23" i="3"/>
  <c r="K23" i="3" s="1"/>
  <c r="H24" i="3"/>
  <c r="D38" i="3" l="1"/>
  <c r="J24" i="3"/>
  <c r="K24" i="3" s="1"/>
  <c r="H25" i="3"/>
  <c r="E39" i="3"/>
  <c r="C39" i="3" l="1"/>
  <c r="D39" i="3" s="1"/>
  <c r="E40" i="3"/>
  <c r="C40" i="3" s="1"/>
  <c r="H26" i="3"/>
  <c r="J25" i="3"/>
  <c r="K25" i="3" s="1"/>
  <c r="D40" i="3" l="1"/>
  <c r="H27" i="3"/>
  <c r="J26" i="3"/>
  <c r="K26" i="3" s="1"/>
  <c r="E41" i="3"/>
  <c r="C41" i="3" l="1"/>
  <c r="D41" i="3" s="1"/>
  <c r="E42" i="3"/>
  <c r="C42" i="3" s="1"/>
  <c r="J27" i="3"/>
  <c r="K27" i="3" s="1"/>
  <c r="H28" i="3"/>
  <c r="D42" i="3" l="1"/>
  <c r="H29" i="3"/>
  <c r="J28" i="3"/>
  <c r="K28" i="3" s="1"/>
  <c r="E43" i="3"/>
  <c r="C43" i="3" l="1"/>
  <c r="D43" i="3" s="1"/>
  <c r="E44" i="3"/>
  <c r="H30" i="3"/>
  <c r="J29" i="3"/>
  <c r="K29" i="3" s="1"/>
  <c r="C44" i="3" l="1"/>
  <c r="D44" i="3" s="1"/>
  <c r="E45" i="3"/>
  <c r="C45" i="3" s="1"/>
  <c r="J30" i="3"/>
  <c r="K30" i="3" s="1"/>
  <c r="H31" i="3"/>
  <c r="D45" i="3" l="1"/>
  <c r="H32" i="3"/>
  <c r="J31" i="3"/>
  <c r="K31" i="3" s="1"/>
  <c r="E46" i="3"/>
  <c r="C46" i="3" l="1"/>
  <c r="D46" i="3" s="1"/>
  <c r="E47" i="3"/>
  <c r="J32" i="3"/>
  <c r="K32" i="3" s="1"/>
  <c r="H33" i="3"/>
  <c r="C47" i="3" l="1"/>
  <c r="D47" i="3" s="1"/>
  <c r="E48" i="3"/>
  <c r="H34" i="3"/>
  <c r="J33" i="3"/>
  <c r="K33" i="3" s="1"/>
  <c r="E49" i="3" l="1"/>
  <c r="C48" i="3"/>
  <c r="D48" i="3" s="1"/>
  <c r="H35" i="3"/>
  <c r="J34" i="3"/>
  <c r="K34" i="3" s="1"/>
  <c r="C49" i="3" l="1"/>
  <c r="D49" i="3" s="1"/>
  <c r="E50" i="3"/>
  <c r="J35" i="3"/>
  <c r="K35" i="3" s="1"/>
  <c r="H36" i="3"/>
  <c r="C50" i="3" l="1"/>
  <c r="D50" i="3" s="1"/>
  <c r="E51" i="3"/>
  <c r="C51" i="3" s="1"/>
  <c r="H37" i="3"/>
  <c r="J36" i="3"/>
  <c r="K36" i="3" s="1"/>
  <c r="D51" i="3" l="1"/>
  <c r="E52" i="3"/>
  <c r="H38" i="3"/>
  <c r="J37" i="3"/>
  <c r="K37" i="3" s="1"/>
  <c r="J38" i="3" l="1"/>
  <c r="K38" i="3" s="1"/>
  <c r="H39" i="3"/>
  <c r="C52" i="3"/>
  <c r="D52" i="3" s="1"/>
  <c r="E53" i="3"/>
  <c r="H40" i="3" l="1"/>
  <c r="J39" i="3"/>
  <c r="K39" i="3" s="1"/>
  <c r="C53" i="3"/>
  <c r="D53" i="3" s="1"/>
  <c r="E54" i="3"/>
  <c r="C54" i="3" s="1"/>
  <c r="D54" i="3" l="1"/>
  <c r="H41" i="3"/>
  <c r="J40" i="3"/>
  <c r="K40" i="3" s="1"/>
  <c r="E55" i="3"/>
  <c r="C55" i="3" l="1"/>
  <c r="D55" i="3" s="1"/>
  <c r="E56" i="3"/>
  <c r="H42" i="3"/>
  <c r="J41" i="3"/>
  <c r="K41" i="3" s="1"/>
  <c r="H43" i="3" l="1"/>
  <c r="J42" i="3"/>
  <c r="K42" i="3" s="1"/>
  <c r="C56" i="3"/>
  <c r="D56" i="3" s="1"/>
  <c r="E57" i="3"/>
  <c r="H44" i="3" l="1"/>
  <c r="J43" i="3"/>
  <c r="K43" i="3" s="1"/>
  <c r="C57" i="3"/>
  <c r="D57" i="3" s="1"/>
  <c r="E58" i="3"/>
  <c r="H45" i="3" l="1"/>
  <c r="J44" i="3"/>
  <c r="K44" i="3" s="1"/>
  <c r="C58" i="3"/>
  <c r="D58" i="3" s="1"/>
  <c r="E59" i="3"/>
  <c r="J45" i="3" l="1"/>
  <c r="K45" i="3" s="1"/>
  <c r="H46" i="3"/>
  <c r="C59" i="3"/>
  <c r="D59" i="3" s="1"/>
  <c r="E60" i="3"/>
  <c r="H47" i="3" l="1"/>
  <c r="J46" i="3"/>
  <c r="K46" i="3" s="1"/>
  <c r="C60" i="3"/>
  <c r="D60" i="3" s="1"/>
  <c r="E61" i="3"/>
  <c r="H48" i="3" l="1"/>
  <c r="J47" i="3"/>
  <c r="K47" i="3" s="1"/>
  <c r="C61" i="3"/>
  <c r="D61" i="3" s="1"/>
  <c r="E62" i="3"/>
  <c r="J48" i="3" l="1"/>
  <c r="K48" i="3" s="1"/>
  <c r="H49" i="3"/>
  <c r="C62" i="3"/>
  <c r="D62" i="3" s="1"/>
  <c r="E63" i="3"/>
  <c r="H50" i="3" l="1"/>
  <c r="J49" i="3"/>
  <c r="K49" i="3" s="1"/>
  <c r="C63" i="3"/>
  <c r="D63" i="3" s="1"/>
  <c r="E64" i="3"/>
  <c r="C64" i="3" s="1"/>
  <c r="D64" i="3" l="1"/>
  <c r="J50" i="3"/>
  <c r="K50" i="3" s="1"/>
  <c r="H51" i="3"/>
  <c r="E65" i="3"/>
  <c r="E66" i="3" l="1"/>
  <c r="C65" i="3"/>
  <c r="D65" i="3" s="1"/>
  <c r="H52" i="3"/>
  <c r="J51" i="3"/>
  <c r="K51" i="3" s="1"/>
  <c r="J52" i="3" l="1"/>
  <c r="K52" i="3" s="1"/>
  <c r="H53" i="3"/>
  <c r="C66" i="3"/>
  <c r="D66" i="3" s="1"/>
  <c r="E67" i="3"/>
  <c r="J53" i="3" l="1"/>
  <c r="K53" i="3" s="1"/>
  <c r="H54" i="3"/>
  <c r="C67" i="3"/>
  <c r="D67" i="3" s="1"/>
  <c r="E68" i="3"/>
  <c r="C68" i="3" s="1"/>
  <c r="D68" i="3" l="1"/>
  <c r="J54" i="3"/>
  <c r="K54" i="3" s="1"/>
  <c r="H55" i="3"/>
  <c r="E69" i="3"/>
  <c r="E70" i="3" l="1"/>
  <c r="C69" i="3"/>
  <c r="D69" i="3" s="1"/>
  <c r="J55" i="3"/>
  <c r="K55" i="3" s="1"/>
  <c r="H56" i="3"/>
  <c r="H57" i="3" l="1"/>
  <c r="J56" i="3"/>
  <c r="K56" i="3" s="1"/>
  <c r="C70" i="3"/>
  <c r="D70" i="3" s="1"/>
  <c r="E71" i="3"/>
  <c r="H58" i="3" l="1"/>
  <c r="J57" i="3"/>
  <c r="K57" i="3" s="1"/>
  <c r="C71" i="3"/>
  <c r="D71" i="3" s="1"/>
  <c r="E72" i="3"/>
  <c r="C72" i="3" s="1"/>
  <c r="D72" i="3" l="1"/>
  <c r="H59" i="3"/>
  <c r="J58" i="3"/>
  <c r="K58" i="3" s="1"/>
  <c r="E73" i="3"/>
  <c r="C73" i="3" s="1"/>
  <c r="D73" i="3" l="1"/>
  <c r="E74" i="3"/>
  <c r="J59" i="3"/>
  <c r="K59" i="3" s="1"/>
  <c r="H60" i="3"/>
  <c r="H61" i="3" l="1"/>
  <c r="J60" i="3"/>
  <c r="K60" i="3" s="1"/>
  <c r="C74" i="3"/>
  <c r="D74" i="3" s="1"/>
  <c r="E75" i="3"/>
  <c r="C75" i="3" l="1"/>
  <c r="D75" i="3" s="1"/>
  <c r="E76" i="3"/>
  <c r="C76" i="3" s="1"/>
  <c r="H62" i="3"/>
  <c r="J61" i="3"/>
  <c r="K61" i="3" s="1"/>
  <c r="D76" i="3" l="1"/>
  <c r="E77" i="3"/>
  <c r="C77" i="3" s="1"/>
  <c r="J62" i="3"/>
  <c r="K62" i="3" s="1"/>
  <c r="H63" i="3"/>
  <c r="D77" i="3" l="1"/>
  <c r="J63" i="3"/>
  <c r="K63" i="3" s="1"/>
  <c r="H64" i="3"/>
  <c r="E78" i="3"/>
  <c r="C78" i="3" s="1"/>
  <c r="D78" i="3" l="1"/>
  <c r="E79" i="3"/>
  <c r="H65" i="3"/>
  <c r="J64" i="3"/>
  <c r="K64" i="3" s="1"/>
  <c r="H66" i="3" l="1"/>
  <c r="J65" i="3"/>
  <c r="K65" i="3" s="1"/>
  <c r="C79" i="3"/>
  <c r="D79" i="3" s="1"/>
  <c r="E80" i="3"/>
  <c r="E81" i="3" l="1"/>
  <c r="C80" i="3"/>
  <c r="D80" i="3" s="1"/>
  <c r="J66" i="3"/>
  <c r="K66" i="3" s="1"/>
  <c r="H67" i="3"/>
  <c r="H68" i="3" l="1"/>
  <c r="J67" i="3"/>
  <c r="K67" i="3" s="1"/>
  <c r="C81" i="3"/>
  <c r="D81" i="3" s="1"/>
  <c r="E82" i="3"/>
  <c r="C82" i="3" s="1"/>
  <c r="D82" i="3" l="1"/>
  <c r="J68" i="3"/>
  <c r="K68" i="3" s="1"/>
  <c r="H69" i="3"/>
  <c r="E83" i="3"/>
  <c r="C83" i="3" l="1"/>
  <c r="D83" i="3" s="1"/>
  <c r="E84" i="3"/>
  <c r="C84" i="3" s="1"/>
  <c r="J69" i="3"/>
  <c r="K69" i="3" s="1"/>
  <c r="H70" i="3"/>
  <c r="D84" i="3" l="1"/>
  <c r="H71" i="3"/>
  <c r="J70" i="3"/>
  <c r="K70" i="3" s="1"/>
  <c r="E85" i="3"/>
  <c r="C85" i="3" s="1"/>
  <c r="D85" i="3" l="1"/>
  <c r="E86" i="3"/>
  <c r="J71" i="3"/>
  <c r="K71" i="3" s="1"/>
  <c r="H72" i="3"/>
  <c r="J72" i="3" l="1"/>
  <c r="K72" i="3" s="1"/>
  <c r="H73" i="3"/>
  <c r="C86" i="3"/>
  <c r="D86" i="3" s="1"/>
  <c r="E87" i="3"/>
  <c r="C87" i="3" l="1"/>
  <c r="D87" i="3" s="1"/>
  <c r="E88" i="3"/>
  <c r="C88" i="3" s="1"/>
  <c r="J73" i="3"/>
  <c r="K73" i="3" s="1"/>
  <c r="H74" i="3"/>
  <c r="D88" i="3" l="1"/>
  <c r="H75" i="3"/>
  <c r="J74" i="3"/>
  <c r="K74" i="3" s="1"/>
  <c r="E89" i="3"/>
  <c r="C89" i="3" s="1"/>
  <c r="D89" i="3" l="1"/>
  <c r="E90" i="3"/>
  <c r="H76" i="3"/>
  <c r="J75" i="3"/>
  <c r="K75" i="3" s="1"/>
  <c r="H77" i="3" l="1"/>
  <c r="J76" i="3"/>
  <c r="K76" i="3" s="1"/>
  <c r="C90" i="3"/>
  <c r="D90" i="3" s="1"/>
  <c r="E91" i="3"/>
  <c r="E92" i="3" l="1"/>
  <c r="C91" i="3"/>
  <c r="D91" i="3" s="1"/>
  <c r="J77" i="3"/>
  <c r="K77" i="3" s="1"/>
  <c r="H78" i="3"/>
  <c r="J78" i="3" l="1"/>
  <c r="K78" i="3" s="1"/>
  <c r="H79" i="3"/>
  <c r="C92" i="3"/>
  <c r="D92" i="3" s="1"/>
  <c r="E93" i="3"/>
  <c r="E94" i="3" l="1"/>
  <c r="H80" i="3"/>
  <c r="J79" i="3"/>
  <c r="K79" i="3" s="1"/>
  <c r="C93" i="3"/>
  <c r="D93" i="3" s="1"/>
  <c r="J80" i="3" l="1"/>
  <c r="K80" i="3" s="1"/>
  <c r="H81" i="3"/>
  <c r="C94" i="3"/>
  <c r="D94" i="3" s="1"/>
  <c r="E95" i="3"/>
  <c r="C95" i="3" l="1"/>
  <c r="D95" i="3" s="1"/>
  <c r="E96" i="3"/>
  <c r="H82" i="3"/>
  <c r="J81" i="3"/>
  <c r="K81" i="3" s="1"/>
  <c r="H83" i="3" l="1"/>
  <c r="J82" i="3"/>
  <c r="K82" i="3" s="1"/>
  <c r="C96" i="3"/>
  <c r="D96" i="3" s="1"/>
  <c r="E97" i="3"/>
  <c r="H84" i="3" l="1"/>
  <c r="J83" i="3"/>
  <c r="K83" i="3" s="1"/>
  <c r="C97" i="3"/>
  <c r="D97" i="3" s="1"/>
  <c r="E98" i="3"/>
  <c r="H85" i="3" l="1"/>
  <c r="J84" i="3"/>
  <c r="K84" i="3" s="1"/>
  <c r="C98" i="3"/>
  <c r="D98" i="3" s="1"/>
  <c r="E99" i="3"/>
  <c r="C99" i="3" s="1"/>
  <c r="D99" i="3" l="1"/>
  <c r="J85" i="3"/>
  <c r="K85" i="3" s="1"/>
  <c r="H86" i="3"/>
  <c r="E100" i="3"/>
  <c r="C100" i="3" l="1"/>
  <c r="D100" i="3" s="1"/>
  <c r="E101" i="3"/>
  <c r="C101" i="3" s="1"/>
  <c r="H87" i="3"/>
  <c r="J86" i="3"/>
  <c r="K86" i="3" s="1"/>
  <c r="D101" i="3" l="1"/>
  <c r="E102" i="3"/>
  <c r="J87" i="3"/>
  <c r="K87" i="3" s="1"/>
  <c r="H88" i="3"/>
  <c r="H89" i="3" l="1"/>
  <c r="J88" i="3"/>
  <c r="K88" i="3" s="1"/>
  <c r="C102" i="3"/>
  <c r="D102" i="3" s="1"/>
  <c r="E103" i="3"/>
  <c r="E104" i="3" l="1"/>
  <c r="C104" i="3" s="1"/>
  <c r="C103" i="3"/>
  <c r="D103" i="3" s="1"/>
  <c r="J89" i="3"/>
  <c r="K89" i="3" s="1"/>
  <c r="H90" i="3"/>
  <c r="D104" i="3" l="1"/>
  <c r="H91" i="3"/>
  <c r="J90" i="3"/>
  <c r="K90" i="3" s="1"/>
  <c r="E105" i="3"/>
  <c r="C105" i="3" s="1"/>
  <c r="D105" i="3" l="1"/>
  <c r="E106" i="3"/>
  <c r="C106" i="3" s="1"/>
  <c r="H92" i="3"/>
  <c r="J91" i="3"/>
  <c r="K91" i="3" s="1"/>
  <c r="D106" i="3" l="1"/>
  <c r="H93" i="3"/>
  <c r="J92" i="3"/>
  <c r="K92" i="3" s="1"/>
  <c r="E107" i="3"/>
  <c r="C107" i="3" s="1"/>
  <c r="D107" i="3" l="1"/>
  <c r="E108" i="3"/>
  <c r="C108" i="3" s="1"/>
  <c r="H94" i="3"/>
  <c r="J93" i="3"/>
  <c r="K93" i="3" s="1"/>
  <c r="D108" i="3" l="1"/>
  <c r="H95" i="3"/>
  <c r="J94" i="3"/>
  <c r="K94" i="3" s="1"/>
  <c r="E109" i="3"/>
  <c r="C109" i="3" s="1"/>
  <c r="D109" i="3" l="1"/>
  <c r="E110" i="3"/>
  <c r="C110" i="3" s="1"/>
  <c r="H96" i="3"/>
  <c r="J95" i="3"/>
  <c r="K95" i="3" s="1"/>
  <c r="D110" i="3" l="1"/>
  <c r="H97" i="3"/>
  <c r="J96" i="3"/>
  <c r="K96" i="3" s="1"/>
  <c r="E111" i="3"/>
  <c r="C111" i="3" l="1"/>
  <c r="D111" i="3" s="1"/>
  <c r="E112" i="3"/>
  <c r="H98" i="3"/>
  <c r="J97" i="3"/>
  <c r="K97" i="3" s="1"/>
  <c r="H99" i="3" l="1"/>
  <c r="J98" i="3"/>
  <c r="K98" i="3" s="1"/>
  <c r="C112" i="3"/>
  <c r="D112" i="3" s="1"/>
  <c r="E113" i="3"/>
  <c r="C113" i="3" l="1"/>
  <c r="D113" i="3" s="1"/>
  <c r="E114" i="3"/>
  <c r="C114" i="3" s="1"/>
  <c r="J99" i="3"/>
  <c r="K99" i="3" s="1"/>
  <c r="H100" i="3"/>
  <c r="D114" i="3" l="1"/>
  <c r="E115" i="3"/>
  <c r="C115" i="3" s="1"/>
  <c r="H101" i="3"/>
  <c r="J100" i="3"/>
  <c r="K100" i="3" s="1"/>
  <c r="D115" i="3" l="1"/>
  <c r="H102" i="3"/>
  <c r="J101" i="3"/>
  <c r="K101" i="3" s="1"/>
  <c r="E116" i="3"/>
  <c r="C116" i="3" s="1"/>
  <c r="D116" i="3" l="1"/>
  <c r="E117" i="3"/>
  <c r="C117" i="3" s="1"/>
  <c r="H103" i="3"/>
  <c r="J102" i="3"/>
  <c r="K102" i="3" s="1"/>
  <c r="D117" i="3" l="1"/>
  <c r="H104" i="3"/>
  <c r="J103" i="3"/>
  <c r="K103" i="3" s="1"/>
  <c r="E118" i="3"/>
  <c r="C118" i="3" s="1"/>
  <c r="D118" i="3" l="1"/>
  <c r="E119" i="3"/>
  <c r="C119" i="3" s="1"/>
  <c r="H105" i="3"/>
  <c r="J104" i="3"/>
  <c r="K104" i="3" s="1"/>
  <c r="D119" i="3" l="1"/>
  <c r="J105" i="3"/>
  <c r="K105" i="3" s="1"/>
  <c r="H106" i="3"/>
  <c r="E120" i="3"/>
  <c r="C120" i="3" s="1"/>
  <c r="D120" i="3" l="1"/>
  <c r="E121" i="3"/>
  <c r="C121" i="3" s="1"/>
  <c r="H107" i="3"/>
  <c r="J106" i="3"/>
  <c r="K106" i="3" s="1"/>
  <c r="D121" i="3" l="1"/>
  <c r="H108" i="3"/>
  <c r="J107" i="3"/>
  <c r="K107" i="3" s="1"/>
  <c r="E122" i="3"/>
  <c r="C122" i="3" s="1"/>
  <c r="D122" i="3" l="1"/>
  <c r="E123" i="3"/>
  <c r="C123" i="3" s="1"/>
  <c r="J108" i="3"/>
  <c r="K108" i="3" s="1"/>
  <c r="H109" i="3"/>
  <c r="D123" i="3" l="1"/>
  <c r="J109" i="3"/>
  <c r="K109" i="3" s="1"/>
  <c r="H110" i="3"/>
  <c r="E124" i="3"/>
  <c r="C124" i="3" l="1"/>
  <c r="D124" i="3" s="1"/>
  <c r="E125" i="3"/>
  <c r="H111" i="3"/>
  <c r="J110" i="3"/>
  <c r="K110" i="3" s="1"/>
  <c r="J111" i="3" l="1"/>
  <c r="K111" i="3" s="1"/>
  <c r="H112" i="3"/>
  <c r="C125" i="3"/>
  <c r="D125" i="3" s="1"/>
  <c r="E126" i="3"/>
  <c r="E127" i="3" l="1"/>
  <c r="H113" i="3"/>
  <c r="J112" i="3"/>
  <c r="K112" i="3" s="1"/>
  <c r="C126" i="3"/>
  <c r="D126" i="3" s="1"/>
  <c r="J113" i="3" l="1"/>
  <c r="K113" i="3" s="1"/>
  <c r="H114" i="3"/>
  <c r="C127" i="3"/>
  <c r="D127" i="3" s="1"/>
  <c r="E128" i="3"/>
  <c r="J114" i="3" l="1"/>
  <c r="K114" i="3" s="1"/>
  <c r="H115" i="3"/>
  <c r="C128" i="3"/>
  <c r="D128" i="3" s="1"/>
  <c r="E129" i="3"/>
  <c r="C129" i="3" s="1"/>
  <c r="D129" i="3" l="1"/>
  <c r="H116" i="3"/>
  <c r="J115" i="3"/>
  <c r="K115" i="3" s="1"/>
  <c r="E130" i="3"/>
  <c r="C130" i="3" s="1"/>
  <c r="D130" i="3" l="1"/>
  <c r="E131" i="3"/>
  <c r="C131" i="3" s="1"/>
  <c r="J116" i="3"/>
  <c r="K116" i="3" s="1"/>
  <c r="H117" i="3"/>
  <c r="D131" i="3" l="1"/>
  <c r="J117" i="3"/>
  <c r="K117" i="3" s="1"/>
  <c r="H118" i="3"/>
  <c r="E132" i="3"/>
  <c r="C132" i="3" s="1"/>
  <c r="D132" i="3" l="1"/>
  <c r="E133" i="3"/>
  <c r="C133" i="3" s="1"/>
  <c r="H119" i="3"/>
  <c r="J118" i="3"/>
  <c r="K118" i="3" s="1"/>
  <c r="D133" i="3" l="1"/>
  <c r="H120" i="3"/>
  <c r="J119" i="3"/>
  <c r="K119" i="3" s="1"/>
  <c r="E134" i="3"/>
  <c r="C134" i="3" s="1"/>
  <c r="D134" i="3" l="1"/>
  <c r="E135" i="3"/>
  <c r="C135" i="3" s="1"/>
  <c r="H121" i="3"/>
  <c r="J120" i="3"/>
  <c r="K120" i="3" s="1"/>
  <c r="D135" i="3" l="1"/>
  <c r="J121" i="3"/>
  <c r="K121" i="3" s="1"/>
  <c r="H122" i="3"/>
  <c r="E136" i="3"/>
  <c r="C136" i="3" l="1"/>
  <c r="D136" i="3" s="1"/>
  <c r="E137" i="3"/>
  <c r="H123" i="3"/>
  <c r="J122" i="3"/>
  <c r="K122" i="3" s="1"/>
  <c r="H124" i="3" l="1"/>
  <c r="J123" i="3"/>
  <c r="K123" i="3" s="1"/>
  <c r="C137" i="3"/>
  <c r="D137" i="3" s="1"/>
  <c r="E138" i="3"/>
  <c r="E139" i="3" l="1"/>
  <c r="C138" i="3"/>
  <c r="D138" i="3" s="1"/>
  <c r="H125" i="3"/>
  <c r="J124" i="3"/>
  <c r="K124" i="3" s="1"/>
  <c r="C139" i="3" l="1"/>
  <c r="D139" i="3" s="1"/>
  <c r="E140" i="3"/>
  <c r="H126" i="3"/>
  <c r="J125" i="3"/>
  <c r="K125" i="3" s="1"/>
  <c r="C140" i="3" l="1"/>
  <c r="D140" i="3" s="1"/>
  <c r="E141" i="3"/>
  <c r="J126" i="3"/>
  <c r="K126" i="3" s="1"/>
  <c r="H127" i="3"/>
  <c r="E142" i="3" l="1"/>
  <c r="C142" i="3" s="1"/>
  <c r="C141" i="3"/>
  <c r="D141" i="3" s="1"/>
  <c r="H128" i="3"/>
  <c r="J127" i="3"/>
  <c r="K127" i="3" s="1"/>
  <c r="D142" i="3" l="1"/>
  <c r="E143" i="3"/>
  <c r="C143" i="3" s="1"/>
  <c r="J128" i="3"/>
  <c r="K128" i="3" s="1"/>
  <c r="H129" i="3"/>
  <c r="D143" i="3" l="1"/>
  <c r="H130" i="3"/>
  <c r="J129" i="3"/>
  <c r="K129" i="3" s="1"/>
  <c r="E144" i="3"/>
  <c r="C144" i="3" s="1"/>
  <c r="D144" i="3" l="1"/>
  <c r="E145" i="3"/>
  <c r="H131" i="3"/>
  <c r="J130" i="3"/>
  <c r="K130" i="3" s="1"/>
  <c r="J131" i="3" l="1"/>
  <c r="K131" i="3" s="1"/>
  <c r="H132" i="3"/>
  <c r="C145" i="3"/>
  <c r="D145" i="3" s="1"/>
  <c r="E146" i="3"/>
  <c r="E147" i="3" l="1"/>
  <c r="C147" i="3" s="1"/>
  <c r="J132" i="3"/>
  <c r="K132" i="3" s="1"/>
  <c r="H133" i="3"/>
  <c r="C146" i="3"/>
  <c r="D146" i="3" s="1"/>
  <c r="D147" i="3" l="1"/>
  <c r="J133" i="3"/>
  <c r="K133" i="3" s="1"/>
  <c r="H134" i="3"/>
  <c r="E148" i="3"/>
  <c r="C148" i="3" s="1"/>
  <c r="D148" i="3" l="1"/>
  <c r="E149" i="3"/>
  <c r="C149" i="3" s="1"/>
  <c r="H135" i="3"/>
  <c r="J134" i="3"/>
  <c r="K134" i="3" s="1"/>
  <c r="D149" i="3" l="1"/>
  <c r="J135" i="3"/>
  <c r="K135" i="3" s="1"/>
  <c r="H136" i="3"/>
  <c r="E150" i="3"/>
  <c r="C150" i="3" s="1"/>
  <c r="D150" i="3" l="1"/>
  <c r="E151" i="3"/>
  <c r="C151" i="3" s="1"/>
  <c r="H137" i="3"/>
  <c r="J136" i="3"/>
  <c r="K136" i="3" s="1"/>
  <c r="D151" i="3" l="1"/>
  <c r="J137" i="3"/>
  <c r="K137" i="3" s="1"/>
  <c r="H138" i="3"/>
  <c r="E152" i="3"/>
  <c r="C152" i="3" s="1"/>
  <c r="D152" i="3" s="1"/>
  <c r="E153" i="3" l="1"/>
  <c r="C153" i="3" s="1"/>
  <c r="D153" i="3" s="1"/>
  <c r="H139" i="3"/>
  <c r="J138" i="3"/>
  <c r="K138" i="3" s="1"/>
  <c r="J139" i="3" l="1"/>
  <c r="K139" i="3" s="1"/>
  <c r="H140" i="3"/>
  <c r="E154" i="3"/>
  <c r="C154" i="3" l="1"/>
  <c r="D154" i="3" s="1"/>
  <c r="E155" i="3"/>
  <c r="H141" i="3"/>
  <c r="J140" i="3"/>
  <c r="K140" i="3" s="1"/>
  <c r="H142" i="3" l="1"/>
  <c r="J141" i="3"/>
  <c r="K141" i="3" s="1"/>
  <c r="C155" i="3"/>
  <c r="D155" i="3" s="1"/>
  <c r="E156" i="3"/>
  <c r="H143" i="3" l="1"/>
  <c r="J142" i="3"/>
  <c r="K142" i="3" s="1"/>
  <c r="C156" i="3"/>
  <c r="D156" i="3" s="1"/>
  <c r="E157" i="3"/>
  <c r="J143" i="3" l="1"/>
  <c r="K143" i="3" s="1"/>
  <c r="H144" i="3"/>
  <c r="C157" i="3"/>
  <c r="D157" i="3" s="1"/>
  <c r="E158" i="3"/>
  <c r="C158" i="3" s="1"/>
  <c r="D158" i="3" l="1"/>
  <c r="H145" i="3"/>
  <c r="J144" i="3"/>
  <c r="K144" i="3" s="1"/>
  <c r="E159" i="3"/>
  <c r="C159" i="3" s="1"/>
  <c r="D159" i="3" l="1"/>
  <c r="E160" i="3"/>
  <c r="C160" i="3" s="1"/>
  <c r="H146" i="3"/>
  <c r="J145" i="3"/>
  <c r="K145" i="3" s="1"/>
  <c r="D160" i="3" l="1"/>
  <c r="H147" i="3"/>
  <c r="J146" i="3"/>
  <c r="K146" i="3" s="1"/>
  <c r="E161" i="3"/>
  <c r="C161" i="3" s="1"/>
  <c r="D161" i="3" l="1"/>
  <c r="E162" i="3"/>
  <c r="J147" i="3"/>
  <c r="K147" i="3" s="1"/>
  <c r="H148" i="3"/>
  <c r="J148" i="3" l="1"/>
  <c r="K148" i="3" s="1"/>
  <c r="H149" i="3"/>
  <c r="C162" i="3"/>
  <c r="D162" i="3" s="1"/>
  <c r="E163" i="3"/>
  <c r="C163" i="3" l="1"/>
  <c r="D163" i="3" s="1"/>
  <c r="E164" i="3"/>
  <c r="J149" i="3"/>
  <c r="K149" i="3" s="1"/>
  <c r="H150" i="3"/>
  <c r="C164" i="3" l="1"/>
  <c r="D164" i="3" s="1"/>
  <c r="E165" i="3"/>
  <c r="H151" i="3"/>
  <c r="J150" i="3"/>
  <c r="K150" i="3" s="1"/>
  <c r="C165" i="3" l="1"/>
  <c r="D165" i="3" s="1"/>
  <c r="E166" i="3"/>
  <c r="C166" i="3" s="1"/>
  <c r="J151" i="3"/>
  <c r="K151" i="3" s="1"/>
  <c r="H152" i="3"/>
  <c r="D166" i="3" l="1"/>
  <c r="E167" i="3"/>
  <c r="C167" i="3" s="1"/>
  <c r="J152" i="3"/>
  <c r="K152" i="3" s="1"/>
  <c r="H153" i="3"/>
  <c r="D167" i="3" l="1"/>
  <c r="H154" i="3"/>
  <c r="J153" i="3"/>
  <c r="K153" i="3" s="1"/>
  <c r="E168" i="3"/>
  <c r="C168" i="3" l="1"/>
  <c r="D168" i="3" s="1"/>
  <c r="E169" i="3"/>
  <c r="J154" i="3"/>
  <c r="K154" i="3" s="1"/>
  <c r="H155" i="3"/>
  <c r="C169" i="3" l="1"/>
  <c r="D169" i="3" s="1"/>
  <c r="E170" i="3"/>
  <c r="C170" i="3" s="1"/>
  <c r="H156" i="3"/>
  <c r="J155" i="3"/>
  <c r="K155" i="3" s="1"/>
  <c r="D170" i="3" l="1"/>
  <c r="E171" i="3"/>
  <c r="H157" i="3"/>
  <c r="J156" i="3"/>
  <c r="K156" i="3" s="1"/>
  <c r="H158" i="3" l="1"/>
  <c r="J157" i="3"/>
  <c r="K157" i="3" s="1"/>
  <c r="C171" i="3"/>
  <c r="D171" i="3" s="1"/>
  <c r="E172" i="3"/>
  <c r="E173" i="3" l="1"/>
  <c r="C172" i="3"/>
  <c r="D172" i="3" s="1"/>
  <c r="J158" i="3"/>
  <c r="K158" i="3" s="1"/>
  <c r="H159" i="3"/>
  <c r="H160" i="3" l="1"/>
  <c r="J159" i="3"/>
  <c r="K159" i="3" s="1"/>
  <c r="C173" i="3"/>
  <c r="D173" i="3" s="1"/>
  <c r="E174" i="3"/>
  <c r="H161" i="3" l="1"/>
  <c r="J160" i="3"/>
  <c r="K160" i="3" s="1"/>
  <c r="C174" i="3"/>
  <c r="D174" i="3" s="1"/>
  <c r="D175" i="3" s="1"/>
  <c r="E175" i="3"/>
  <c r="C175" i="3" s="1"/>
  <c r="J161" i="3" l="1"/>
  <c r="K161" i="3" s="1"/>
  <c r="H162" i="3"/>
  <c r="E176" i="3"/>
  <c r="H163" i="3" l="1"/>
  <c r="J162" i="3"/>
  <c r="K162" i="3" s="1"/>
  <c r="C176" i="3"/>
  <c r="D176" i="3" s="1"/>
  <c r="E177" i="3"/>
  <c r="C177" i="3" l="1"/>
  <c r="D177" i="3" s="1"/>
  <c r="E178" i="3"/>
  <c r="C178" i="3" s="1"/>
  <c r="J163" i="3"/>
  <c r="K163" i="3" s="1"/>
  <c r="H164" i="3"/>
  <c r="D178" i="3" l="1"/>
  <c r="J164" i="3"/>
  <c r="K164" i="3" s="1"/>
  <c r="H165" i="3"/>
  <c r="E179" i="3"/>
  <c r="C179" i="3" s="1"/>
  <c r="D179" i="3" l="1"/>
  <c r="E180" i="3"/>
  <c r="C180" i="3" s="1"/>
  <c r="H166" i="3"/>
  <c r="J165" i="3"/>
  <c r="K165" i="3" s="1"/>
  <c r="D180" i="3" l="1"/>
  <c r="H167" i="3"/>
  <c r="J166" i="3"/>
  <c r="K166" i="3" s="1"/>
  <c r="E181" i="3"/>
  <c r="C181" i="3" l="1"/>
  <c r="D181" i="3" s="1"/>
  <c r="E182" i="3"/>
  <c r="C182" i="3" s="1"/>
  <c r="J167" i="3"/>
  <c r="K167" i="3" s="1"/>
  <c r="H168" i="3"/>
  <c r="D182" i="3" l="1"/>
  <c r="H169" i="3"/>
  <c r="J168" i="3"/>
  <c r="K168" i="3" s="1"/>
  <c r="E183" i="3"/>
  <c r="C183" i="3" s="1"/>
  <c r="D183" i="3" l="1"/>
  <c r="E184" i="3"/>
  <c r="J169" i="3"/>
  <c r="K169" i="3" s="1"/>
  <c r="H170" i="3"/>
  <c r="J170" i="3" l="1"/>
  <c r="K170" i="3" s="1"/>
  <c r="H171" i="3"/>
  <c r="C184" i="3"/>
  <c r="D184" i="3" s="1"/>
  <c r="E185" i="3"/>
  <c r="C185" i="3" l="1"/>
  <c r="D185" i="3" s="1"/>
  <c r="E186" i="3"/>
  <c r="H172" i="3"/>
  <c r="J171" i="3"/>
  <c r="K171" i="3" s="1"/>
  <c r="C186" i="3" l="1"/>
  <c r="D186" i="3" s="1"/>
  <c r="E187" i="3"/>
  <c r="J172" i="3"/>
  <c r="K172" i="3" s="1"/>
  <c r="H173" i="3"/>
  <c r="C187" i="3" l="1"/>
  <c r="D187" i="3" s="1"/>
  <c r="E188" i="3"/>
  <c r="H174" i="3"/>
  <c r="J173" i="3"/>
  <c r="K173" i="3" s="1"/>
  <c r="C188" i="3" l="1"/>
  <c r="D188" i="3" s="1"/>
  <c r="E189" i="3"/>
  <c r="H175" i="3"/>
  <c r="J174" i="3"/>
  <c r="K174" i="3" s="1"/>
  <c r="H176" i="3" l="1"/>
  <c r="J175" i="3"/>
  <c r="K175" i="3" s="1"/>
  <c r="C189" i="3"/>
  <c r="D189" i="3" s="1"/>
  <c r="E190" i="3"/>
  <c r="E191" i="3" l="1"/>
  <c r="C191" i="3" s="1"/>
  <c r="C190" i="3"/>
  <c r="D190" i="3" s="1"/>
  <c r="J176" i="3"/>
  <c r="K176" i="3" s="1"/>
  <c r="H177" i="3"/>
  <c r="D191" i="3" l="1"/>
  <c r="J177" i="3"/>
  <c r="K177" i="3" s="1"/>
  <c r="H178" i="3"/>
  <c r="E192" i="3"/>
  <c r="C192" i="3" s="1"/>
  <c r="D192" i="3" l="1"/>
  <c r="E193" i="3"/>
  <c r="C193" i="3" s="1"/>
  <c r="D193" i="3" s="1"/>
  <c r="H179" i="3"/>
  <c r="J178" i="3"/>
  <c r="K178" i="3" s="1"/>
  <c r="J179" i="3" l="1"/>
  <c r="K179" i="3" s="1"/>
  <c r="H180" i="3"/>
  <c r="E194" i="3"/>
  <c r="C194" i="3" s="1"/>
  <c r="D194" i="3" s="1"/>
  <c r="E195" i="3" l="1"/>
  <c r="H181" i="3"/>
  <c r="J180" i="3"/>
  <c r="K180" i="3" s="1"/>
  <c r="J181" i="3" l="1"/>
  <c r="K181" i="3" s="1"/>
  <c r="H182" i="3"/>
  <c r="C195" i="3"/>
  <c r="D195" i="3" s="1"/>
  <c r="E196" i="3"/>
  <c r="C196" i="3" l="1"/>
  <c r="D196" i="3" s="1"/>
  <c r="E197" i="3"/>
  <c r="J182" i="3"/>
  <c r="K182" i="3" s="1"/>
  <c r="H183" i="3"/>
  <c r="C197" i="3" l="1"/>
  <c r="D197" i="3" s="1"/>
  <c r="E198" i="3"/>
  <c r="C198" i="3" s="1"/>
  <c r="H184" i="3"/>
  <c r="J183" i="3"/>
  <c r="K183" i="3" s="1"/>
  <c r="D198" i="3" l="1"/>
  <c r="E199" i="3"/>
  <c r="C199" i="3" s="1"/>
  <c r="J184" i="3"/>
  <c r="K184" i="3" s="1"/>
  <c r="H185" i="3"/>
  <c r="D199" i="3" l="1"/>
  <c r="H186" i="3"/>
  <c r="J185" i="3"/>
  <c r="K185" i="3" s="1"/>
  <c r="E200" i="3"/>
  <c r="C200" i="3" s="1"/>
  <c r="D200" i="3" l="1"/>
  <c r="E201" i="3"/>
  <c r="C201" i="3" s="1"/>
  <c r="H187" i="3"/>
  <c r="J186" i="3"/>
  <c r="K186" i="3" s="1"/>
  <c r="D201" i="3" l="1"/>
  <c r="H188" i="3"/>
  <c r="J187" i="3"/>
  <c r="K187" i="3" s="1"/>
  <c r="E202" i="3"/>
  <c r="C202" i="3" s="1"/>
  <c r="D202" i="3" l="1"/>
  <c r="E203" i="3"/>
  <c r="H189" i="3"/>
  <c r="J188" i="3"/>
  <c r="K188" i="3" s="1"/>
  <c r="H190" i="3" l="1"/>
  <c r="J189" i="3"/>
  <c r="K189" i="3" s="1"/>
  <c r="C203" i="3"/>
  <c r="D203" i="3" s="1"/>
  <c r="E204" i="3"/>
  <c r="C204" i="3" l="1"/>
  <c r="D204" i="3" s="1"/>
  <c r="E205" i="3"/>
  <c r="C205" i="3" s="1"/>
  <c r="H191" i="3"/>
  <c r="J190" i="3"/>
  <c r="K190" i="3" s="1"/>
  <c r="D205" i="3" l="1"/>
  <c r="E206" i="3"/>
  <c r="J191" i="3"/>
  <c r="K191" i="3" s="1"/>
  <c r="H192" i="3"/>
  <c r="J192" i="3" l="1"/>
  <c r="K192" i="3" s="1"/>
  <c r="H193" i="3"/>
  <c r="C206" i="3"/>
  <c r="D206" i="3" s="1"/>
  <c r="E207" i="3"/>
  <c r="C207" i="3" l="1"/>
  <c r="D207" i="3" s="1"/>
  <c r="E208" i="3"/>
  <c r="J193" i="3"/>
  <c r="K193" i="3" s="1"/>
  <c r="H194" i="3"/>
  <c r="C208" i="3" l="1"/>
  <c r="D208" i="3" s="1"/>
  <c r="E209" i="3"/>
  <c r="C209" i="3" s="1"/>
  <c r="H195" i="3"/>
  <c r="J194" i="3"/>
  <c r="K194" i="3" s="1"/>
  <c r="D209" i="3" l="1"/>
  <c r="H196" i="3"/>
  <c r="J195" i="3"/>
  <c r="K195" i="3" s="1"/>
  <c r="E210" i="3"/>
  <c r="C210" i="3" l="1"/>
  <c r="D210" i="3" s="1"/>
  <c r="E211" i="3"/>
  <c r="C211" i="3" s="1"/>
  <c r="J196" i="3"/>
  <c r="K196" i="3" s="1"/>
  <c r="H197" i="3"/>
  <c r="D211" i="3" l="1"/>
  <c r="J197" i="3"/>
  <c r="K197" i="3" s="1"/>
  <c r="H198" i="3"/>
  <c r="E212" i="3"/>
  <c r="C212" i="3" l="1"/>
  <c r="D212" i="3" s="1"/>
  <c r="E213" i="3"/>
  <c r="C213" i="3" s="1"/>
  <c r="H199" i="3"/>
  <c r="J198" i="3"/>
  <c r="K198" i="3" s="1"/>
  <c r="D213" i="3" l="1"/>
  <c r="E214" i="3"/>
  <c r="C214" i="3" s="1"/>
  <c r="H200" i="3"/>
  <c r="J199" i="3"/>
  <c r="K199" i="3" s="1"/>
  <c r="D214" i="3" l="1"/>
  <c r="H201" i="3"/>
  <c r="J200" i="3"/>
  <c r="K200" i="3" s="1"/>
  <c r="E215" i="3"/>
  <c r="C215" i="3" s="1"/>
  <c r="D215" i="3" l="1"/>
  <c r="E216" i="3"/>
  <c r="C216" i="3" s="1"/>
  <c r="J201" i="3"/>
  <c r="K201" i="3" s="1"/>
  <c r="H202" i="3"/>
  <c r="D216" i="3" l="1"/>
  <c r="H203" i="3"/>
  <c r="J202" i="3"/>
  <c r="K202" i="3" s="1"/>
  <c r="E217" i="3"/>
  <c r="C217" i="3" s="1"/>
  <c r="D217" i="3" l="1"/>
  <c r="E218" i="3"/>
  <c r="C218" i="3" s="1"/>
  <c r="H204" i="3"/>
  <c r="J203" i="3"/>
  <c r="K203" i="3" s="1"/>
  <c r="D218" i="3" l="1"/>
  <c r="H205" i="3"/>
  <c r="J204" i="3"/>
  <c r="K204" i="3" s="1"/>
  <c r="E219" i="3"/>
  <c r="C219" i="3" l="1"/>
  <c r="D219" i="3" s="1"/>
  <c r="E220" i="3"/>
  <c r="J205" i="3"/>
  <c r="K205" i="3" s="1"/>
  <c r="H206" i="3"/>
  <c r="C220" i="3" l="1"/>
  <c r="D220" i="3" s="1"/>
  <c r="E221" i="3"/>
  <c r="C221" i="3" s="1"/>
  <c r="H207" i="3"/>
  <c r="J206" i="3"/>
  <c r="K206" i="3" s="1"/>
  <c r="D221" i="3" l="1"/>
  <c r="E222" i="3"/>
  <c r="C222" i="3" s="1"/>
  <c r="J207" i="3"/>
  <c r="K207" i="3" s="1"/>
  <c r="H208" i="3"/>
  <c r="D222" i="3" l="1"/>
  <c r="H209" i="3"/>
  <c r="J208" i="3"/>
  <c r="K208" i="3" s="1"/>
  <c r="E223" i="3"/>
  <c r="C223" i="3" l="1"/>
  <c r="D223" i="3" s="1"/>
  <c r="E224" i="3"/>
  <c r="J209" i="3"/>
  <c r="K209" i="3" s="1"/>
  <c r="H210" i="3"/>
  <c r="C224" i="3" l="1"/>
  <c r="D224" i="3" s="1"/>
  <c r="E225" i="3"/>
  <c r="C225" i="3" s="1"/>
  <c r="J210" i="3"/>
  <c r="K210" i="3" s="1"/>
  <c r="H211" i="3"/>
  <c r="D225" i="3" l="1"/>
  <c r="J211" i="3"/>
  <c r="K211" i="3" s="1"/>
  <c r="H212" i="3"/>
  <c r="E226" i="3"/>
  <c r="C226" i="3" l="1"/>
  <c r="D226" i="3" s="1"/>
  <c r="E227" i="3"/>
  <c r="J212" i="3"/>
  <c r="K212" i="3" s="1"/>
  <c r="H213" i="3"/>
  <c r="C227" i="3" l="1"/>
  <c r="D227" i="3" s="1"/>
  <c r="E228" i="3"/>
  <c r="C228" i="3" s="1"/>
  <c r="J213" i="3"/>
  <c r="K213" i="3" s="1"/>
  <c r="H214" i="3"/>
  <c r="D228" i="3" l="1"/>
  <c r="H215" i="3"/>
  <c r="J214" i="3"/>
  <c r="K214" i="3" s="1"/>
  <c r="E229" i="3"/>
  <c r="C229" i="3" l="1"/>
  <c r="D229" i="3" s="1"/>
  <c r="E230" i="3"/>
  <c r="C230" i="3" s="1"/>
  <c r="H216" i="3"/>
  <c r="J215" i="3"/>
  <c r="K215" i="3" s="1"/>
  <c r="D230" i="3" l="1"/>
  <c r="E231" i="3"/>
  <c r="C231" i="3" s="1"/>
  <c r="H217" i="3"/>
  <c r="J216" i="3"/>
  <c r="K216" i="3" s="1"/>
  <c r="D231" i="3" l="1"/>
  <c r="H218" i="3"/>
  <c r="J217" i="3"/>
  <c r="K217" i="3" s="1"/>
  <c r="E232" i="3"/>
  <c r="C232" i="3" l="1"/>
  <c r="D232" i="3" s="1"/>
  <c r="E233" i="3"/>
  <c r="C233" i="3" s="1"/>
  <c r="H219" i="3"/>
  <c r="J218" i="3"/>
  <c r="K218" i="3" s="1"/>
  <c r="D233" i="3" l="1"/>
  <c r="E234" i="3"/>
  <c r="H220" i="3"/>
  <c r="J219" i="3"/>
  <c r="K219" i="3" s="1"/>
  <c r="J220" i="3" l="1"/>
  <c r="K220" i="3" s="1"/>
  <c r="H221" i="3"/>
  <c r="C234" i="3"/>
  <c r="D234" i="3" s="1"/>
  <c r="E235" i="3"/>
  <c r="C235" i="3" s="1"/>
  <c r="D235" i="3" l="1"/>
  <c r="E236" i="3"/>
  <c r="C236" i="3" s="1"/>
  <c r="J221" i="3"/>
  <c r="K221" i="3" s="1"/>
  <c r="H222" i="3"/>
  <c r="D236" i="3" l="1"/>
  <c r="J222" i="3"/>
  <c r="K222" i="3" s="1"/>
  <c r="H223" i="3"/>
  <c r="E237" i="3"/>
  <c r="C237" i="3" s="1"/>
  <c r="D237" i="3" l="1"/>
  <c r="E238" i="3"/>
  <c r="H224" i="3"/>
  <c r="J223" i="3"/>
  <c r="K223" i="3" s="1"/>
  <c r="H225" i="3" l="1"/>
  <c r="J224" i="3"/>
  <c r="K224" i="3" s="1"/>
  <c r="C238" i="3"/>
  <c r="D238" i="3" s="1"/>
  <c r="E239" i="3"/>
  <c r="E240" i="3" l="1"/>
  <c r="C240" i="3" s="1"/>
  <c r="C239" i="3"/>
  <c r="D239" i="3" s="1"/>
  <c r="J225" i="3"/>
  <c r="K225" i="3" s="1"/>
  <c r="H226" i="3"/>
  <c r="D240" i="3" l="1"/>
  <c r="H227" i="3"/>
  <c r="J226" i="3"/>
  <c r="K226" i="3" s="1"/>
  <c r="E241" i="3"/>
  <c r="C241" i="3" s="1"/>
  <c r="D241" i="3" l="1"/>
  <c r="E242" i="3"/>
  <c r="C242" i="3" s="1"/>
  <c r="H228" i="3"/>
  <c r="J227" i="3"/>
  <c r="K227" i="3" s="1"/>
  <c r="D242" i="3" l="1"/>
  <c r="J228" i="3"/>
  <c r="K228" i="3" s="1"/>
  <c r="H229" i="3"/>
  <c r="E243" i="3"/>
  <c r="C243" i="3" l="1"/>
  <c r="E244" i="3"/>
  <c r="J229" i="3"/>
  <c r="K229" i="3" s="1"/>
  <c r="H230" i="3"/>
  <c r="C244" i="3" l="1"/>
  <c r="E245" i="3"/>
  <c r="C245" i="3" s="1"/>
  <c r="H231" i="3"/>
  <c r="J230" i="3"/>
  <c r="K230" i="3" s="1"/>
  <c r="D243" i="3"/>
  <c r="E246" i="3" l="1"/>
  <c r="C246" i="3" s="1"/>
  <c r="D244" i="3"/>
  <c r="H232" i="3"/>
  <c r="J231" i="3"/>
  <c r="K231" i="3" s="1"/>
  <c r="D245" i="3" l="1"/>
  <c r="H233" i="3"/>
  <c r="J232" i="3"/>
  <c r="K232" i="3" s="1"/>
  <c r="E247" i="3"/>
  <c r="C247" i="3" l="1"/>
  <c r="E248" i="3"/>
  <c r="H234" i="3"/>
  <c r="J233" i="3"/>
  <c r="K233" i="3" s="1"/>
  <c r="D246" i="3"/>
  <c r="D247" i="3" l="1"/>
  <c r="C248" i="3"/>
  <c r="E249" i="3"/>
  <c r="J234" i="3"/>
  <c r="K234" i="3" s="1"/>
  <c r="H235" i="3"/>
  <c r="E250" i="3" l="1"/>
  <c r="C250" i="3" s="1"/>
  <c r="C249" i="3"/>
  <c r="J235" i="3"/>
  <c r="K235" i="3" s="1"/>
  <c r="H236" i="3"/>
  <c r="D248" i="3"/>
  <c r="D249" i="3" l="1"/>
  <c r="H237" i="3"/>
  <c r="J236" i="3"/>
  <c r="K236" i="3" s="1"/>
  <c r="E251" i="3"/>
  <c r="E252" i="3" l="1"/>
  <c r="H238" i="3"/>
  <c r="J237" i="3"/>
  <c r="K237" i="3" s="1"/>
  <c r="C251" i="3"/>
  <c r="D250" i="3"/>
  <c r="H239" i="3" l="1"/>
  <c r="J238" i="3"/>
  <c r="K238" i="3" s="1"/>
  <c r="D251" i="3"/>
  <c r="C252" i="3"/>
  <c r="E253" i="3"/>
  <c r="C253" i="3" s="1"/>
  <c r="D252" i="3" l="1"/>
  <c r="E254" i="3"/>
  <c r="C254" i="3" s="1"/>
  <c r="J239" i="3"/>
  <c r="K239" i="3" s="1"/>
  <c r="H240" i="3"/>
  <c r="E255" i="3" l="1"/>
  <c r="H241" i="3"/>
  <c r="J240" i="3"/>
  <c r="K240" i="3" s="1"/>
  <c r="D253" i="3"/>
  <c r="C255" i="3" l="1"/>
  <c r="E256" i="3"/>
  <c r="C256" i="3" s="1"/>
  <c r="H242" i="3"/>
  <c r="J241" i="3"/>
  <c r="K241" i="3" s="1"/>
  <c r="D254" i="3"/>
  <c r="E257" i="3" l="1"/>
  <c r="C257" i="3" s="1"/>
  <c r="D255" i="3"/>
  <c r="D256" i="3" s="1"/>
  <c r="H243" i="3"/>
  <c r="J242" i="3"/>
  <c r="K242" i="3" s="1"/>
  <c r="D257" i="3" l="1"/>
  <c r="E258" i="3"/>
  <c r="C258" i="3" s="1"/>
  <c r="H244" i="3"/>
  <c r="J243" i="3"/>
  <c r="K243" i="3" s="1"/>
  <c r="D258" i="3" l="1"/>
  <c r="E259" i="3"/>
  <c r="C259" i="3" s="1"/>
  <c r="J244" i="3"/>
  <c r="K244" i="3" s="1"/>
  <c r="H245" i="3"/>
  <c r="D259" i="3" l="1"/>
  <c r="E260" i="3"/>
  <c r="C260" i="3" s="1"/>
  <c r="J245" i="3"/>
  <c r="K245" i="3" s="1"/>
  <c r="H246" i="3"/>
  <c r="D260" i="3" l="1"/>
  <c r="E261" i="3"/>
  <c r="C261" i="3" s="1"/>
  <c r="H247" i="3"/>
  <c r="J246" i="3"/>
  <c r="K246" i="3" s="1"/>
  <c r="D261" i="3" l="1"/>
  <c r="E262" i="3"/>
  <c r="C262" i="3" s="1"/>
  <c r="J247" i="3"/>
  <c r="K247" i="3" s="1"/>
  <c r="H248" i="3"/>
  <c r="E263" i="3" l="1"/>
  <c r="C263" i="3" s="1"/>
  <c r="D262" i="3"/>
  <c r="J248" i="3"/>
  <c r="K248" i="3" s="1"/>
  <c r="H249" i="3"/>
  <c r="D263" i="3" l="1"/>
  <c r="E264" i="3"/>
  <c r="C264" i="3" s="1"/>
  <c r="J249" i="3"/>
  <c r="K249" i="3" s="1"/>
  <c r="H250" i="3"/>
  <c r="D264" i="3" l="1"/>
  <c r="E265" i="3"/>
  <c r="C265" i="3" s="1"/>
  <c r="H251" i="3"/>
  <c r="J250" i="3"/>
  <c r="K250" i="3" s="1"/>
  <c r="D265" i="3" l="1"/>
  <c r="E266" i="3"/>
  <c r="C266" i="3" s="1"/>
  <c r="H252" i="3"/>
  <c r="J251" i="3"/>
  <c r="K251" i="3" s="1"/>
  <c r="D266" i="3" l="1"/>
  <c r="E267" i="3"/>
  <c r="C267" i="3" s="1"/>
  <c r="H253" i="3"/>
  <c r="J252" i="3"/>
  <c r="K252" i="3" s="1"/>
  <c r="D267" i="3" l="1"/>
  <c r="E268" i="3"/>
  <c r="C268" i="3" s="1"/>
  <c r="J253" i="3"/>
  <c r="K253" i="3" s="1"/>
  <c r="H254" i="3"/>
  <c r="D268" i="3" l="1"/>
  <c r="E269" i="3"/>
  <c r="C269" i="3" s="1"/>
  <c r="H255" i="3"/>
  <c r="J254" i="3"/>
  <c r="K254" i="3" s="1"/>
  <c r="D269" i="3" l="1"/>
  <c r="E270" i="3"/>
  <c r="C270" i="3" s="1"/>
  <c r="H256" i="3"/>
  <c r="J255" i="3"/>
  <c r="K255" i="3" s="1"/>
  <c r="E271" i="3" l="1"/>
  <c r="C271" i="3" s="1"/>
  <c r="D270" i="3"/>
  <c r="J256" i="3"/>
  <c r="K256" i="3" s="1"/>
  <c r="H257" i="3"/>
  <c r="D271" i="3" l="1"/>
  <c r="E272" i="3"/>
  <c r="C272" i="3" s="1"/>
  <c r="H258" i="3"/>
  <c r="J257" i="3"/>
  <c r="K257" i="3" s="1"/>
  <c r="D272" i="3" l="1"/>
  <c r="E273" i="3"/>
  <c r="C273" i="3" s="1"/>
  <c r="H259" i="3"/>
  <c r="J258" i="3"/>
  <c r="K258" i="3" s="1"/>
  <c r="D273" i="3" l="1"/>
  <c r="E274" i="3"/>
  <c r="C274" i="3" s="1"/>
  <c r="J259" i="3"/>
  <c r="K259" i="3" s="1"/>
  <c r="H260" i="3"/>
  <c r="D274" i="3" l="1"/>
  <c r="E275" i="3"/>
  <c r="C275" i="3" s="1"/>
  <c r="D275" i="3" s="1"/>
  <c r="J260" i="3"/>
  <c r="K260" i="3" s="1"/>
  <c r="H261" i="3"/>
  <c r="E276" i="3" l="1"/>
  <c r="C276" i="3" s="1"/>
  <c r="D276" i="3" s="1"/>
  <c r="J261" i="3"/>
  <c r="K261" i="3" s="1"/>
  <c r="H262" i="3"/>
  <c r="E277" i="3" l="1"/>
  <c r="C277" i="3" s="1"/>
  <c r="D277" i="3" s="1"/>
  <c r="J262" i="3"/>
  <c r="K262" i="3" s="1"/>
  <c r="H263" i="3"/>
  <c r="E278" i="3" l="1"/>
  <c r="C278" i="3" s="1"/>
  <c r="D278" i="3" s="1"/>
  <c r="J263" i="3"/>
  <c r="K263" i="3" s="1"/>
  <c r="H264" i="3"/>
  <c r="E279" i="3" l="1"/>
  <c r="C279" i="3" s="1"/>
  <c r="D279" i="3" s="1"/>
  <c r="J264" i="3"/>
  <c r="K264" i="3" s="1"/>
  <c r="H265" i="3"/>
  <c r="E280" i="3" l="1"/>
  <c r="C280" i="3" s="1"/>
  <c r="D280" i="3" s="1"/>
  <c r="J265" i="3"/>
  <c r="K265" i="3" s="1"/>
  <c r="H266" i="3"/>
  <c r="E281" i="3" l="1"/>
  <c r="C281" i="3" s="1"/>
  <c r="D281" i="3" s="1"/>
  <c r="J266" i="3"/>
  <c r="K266" i="3" s="1"/>
  <c r="H267" i="3"/>
  <c r="E282" i="3" l="1"/>
  <c r="C282" i="3" s="1"/>
  <c r="D282" i="3" s="1"/>
  <c r="H268" i="3"/>
  <c r="J267" i="3"/>
  <c r="K267" i="3" s="1"/>
  <c r="E283" i="3" l="1"/>
  <c r="C283" i="3" s="1"/>
  <c r="D283" i="3" s="1"/>
  <c r="H269" i="3"/>
  <c r="J268" i="3"/>
  <c r="K268" i="3" s="1"/>
  <c r="E284" i="3" l="1"/>
  <c r="C284" i="3" s="1"/>
  <c r="D284" i="3" s="1"/>
  <c r="J269" i="3"/>
  <c r="K269" i="3" s="1"/>
  <c r="H270" i="3"/>
  <c r="E285" i="3" l="1"/>
  <c r="C285" i="3" s="1"/>
  <c r="D285" i="3" s="1"/>
  <c r="J270" i="3"/>
  <c r="K270" i="3" s="1"/>
  <c r="H271" i="3"/>
  <c r="E286" i="3" l="1"/>
  <c r="C286" i="3" s="1"/>
  <c r="D286" i="3" s="1"/>
  <c r="H272" i="3"/>
  <c r="J271" i="3"/>
  <c r="K271" i="3" s="1"/>
  <c r="E287" i="3" l="1"/>
  <c r="C287" i="3" s="1"/>
  <c r="D287" i="3" s="1"/>
  <c r="H273" i="3"/>
  <c r="J272" i="3"/>
  <c r="K272" i="3" s="1"/>
  <c r="E288" i="3" l="1"/>
  <c r="C288" i="3" s="1"/>
  <c r="D288" i="3" s="1"/>
  <c r="J273" i="3"/>
  <c r="K273" i="3" s="1"/>
  <c r="H274" i="3"/>
  <c r="E289" i="3" l="1"/>
  <c r="C289" i="3" s="1"/>
  <c r="D289" i="3" s="1"/>
  <c r="J274" i="3"/>
  <c r="K274" i="3" s="1"/>
  <c r="H275" i="3"/>
  <c r="E290" i="3" l="1"/>
  <c r="C290" i="3" s="1"/>
  <c r="H276" i="3"/>
  <c r="J275" i="3"/>
  <c r="K275" i="3" s="1"/>
  <c r="E291" i="3" l="1"/>
  <c r="C291" i="3" s="1"/>
  <c r="D290" i="3"/>
  <c r="J276" i="3"/>
  <c r="K276" i="3" s="1"/>
  <c r="H277" i="3"/>
  <c r="D291" i="3" l="1"/>
  <c r="E292" i="3"/>
  <c r="C292" i="3" s="1"/>
  <c r="H278" i="3"/>
  <c r="J277" i="3"/>
  <c r="K277" i="3" s="1"/>
  <c r="D292" i="3" l="1"/>
  <c r="E293" i="3"/>
  <c r="C293" i="3" s="1"/>
  <c r="J278" i="3"/>
  <c r="K278" i="3" s="1"/>
  <c r="H279" i="3"/>
  <c r="D293" i="3" l="1"/>
  <c r="E294" i="3"/>
  <c r="C294" i="3" s="1"/>
  <c r="H280" i="3"/>
  <c r="J279" i="3"/>
  <c r="K279" i="3" s="1"/>
  <c r="D294" i="3" l="1"/>
  <c r="E295" i="3"/>
  <c r="C295" i="3" s="1"/>
  <c r="H281" i="3"/>
  <c r="J280" i="3"/>
  <c r="K280" i="3" s="1"/>
  <c r="D295" i="3" l="1"/>
  <c r="E296" i="3"/>
  <c r="C296" i="3" s="1"/>
  <c r="J281" i="3"/>
  <c r="K281" i="3" s="1"/>
  <c r="H282" i="3"/>
  <c r="D296" i="3" l="1"/>
  <c r="E297" i="3"/>
  <c r="C297" i="3" s="1"/>
  <c r="J282" i="3"/>
  <c r="K282" i="3" s="1"/>
  <c r="H283" i="3"/>
  <c r="D297" i="3" l="1"/>
  <c r="E298" i="3"/>
  <c r="C298" i="3" s="1"/>
  <c r="H284" i="3"/>
  <c r="J283" i="3"/>
  <c r="K283" i="3" s="1"/>
  <c r="D298" i="3" l="1"/>
  <c r="E299" i="3"/>
  <c r="C299" i="3" s="1"/>
  <c r="H285" i="3"/>
  <c r="J284" i="3"/>
  <c r="K284" i="3" s="1"/>
  <c r="D299" i="3" l="1"/>
  <c r="E300" i="3"/>
  <c r="C300" i="3" s="1"/>
  <c r="H286" i="3"/>
  <c r="J285" i="3"/>
  <c r="K285" i="3" s="1"/>
  <c r="D300" i="3" l="1"/>
  <c r="E301" i="3"/>
  <c r="C301" i="3" s="1"/>
  <c r="H287" i="3"/>
  <c r="J286" i="3"/>
  <c r="K286" i="3" s="1"/>
  <c r="D301" i="3" l="1"/>
  <c r="E302" i="3"/>
  <c r="H288" i="3"/>
  <c r="J287" i="3"/>
  <c r="K287" i="3" s="1"/>
  <c r="E303" i="3" l="1"/>
  <c r="C303" i="3" s="1"/>
  <c r="C302" i="3"/>
  <c r="J288" i="3"/>
  <c r="K288" i="3" s="1"/>
  <c r="H289" i="3"/>
  <c r="D302" i="3" l="1"/>
  <c r="E304" i="3"/>
  <c r="C304" i="3" s="1"/>
  <c r="J289" i="3"/>
  <c r="K289" i="3" s="1"/>
  <c r="H290" i="3"/>
  <c r="E305" i="3" l="1"/>
  <c r="C305" i="3" s="1"/>
  <c r="D303" i="3"/>
  <c r="H291" i="3"/>
  <c r="J290" i="3"/>
  <c r="K290" i="3" s="1"/>
  <c r="D304" i="3" l="1"/>
  <c r="E306" i="3"/>
  <c r="C306" i="3" s="1"/>
  <c r="H292" i="3"/>
  <c r="J291" i="3"/>
  <c r="K291" i="3" s="1"/>
  <c r="E307" i="3" l="1"/>
  <c r="C307" i="3" s="1"/>
  <c r="D305" i="3"/>
  <c r="J292" i="3"/>
  <c r="K292" i="3" s="1"/>
  <c r="H293" i="3"/>
  <c r="D306" i="3" l="1"/>
  <c r="E308" i="3"/>
  <c r="C308" i="3" s="1"/>
  <c r="J293" i="3"/>
  <c r="K293" i="3" s="1"/>
  <c r="H294" i="3"/>
  <c r="E309" i="3" l="1"/>
  <c r="C309" i="3" s="1"/>
  <c r="D307" i="3"/>
  <c r="H295" i="3"/>
  <c r="J294" i="3"/>
  <c r="K294" i="3" s="1"/>
  <c r="D308" i="3" l="1"/>
  <c r="E310" i="3"/>
  <c r="C310" i="3" s="1"/>
  <c r="J295" i="3"/>
  <c r="K295" i="3" s="1"/>
  <c r="H296" i="3"/>
  <c r="E311" i="3" l="1"/>
  <c r="C311" i="3" s="1"/>
  <c r="D309" i="3"/>
  <c r="H297" i="3"/>
  <c r="J296" i="3"/>
  <c r="K296" i="3" s="1"/>
  <c r="D310" i="3" l="1"/>
  <c r="E312" i="3"/>
  <c r="C312" i="3" s="1"/>
  <c r="H298" i="3"/>
  <c r="J297" i="3"/>
  <c r="K297" i="3" s="1"/>
  <c r="E313" i="3" l="1"/>
  <c r="C313" i="3" s="1"/>
  <c r="D311" i="3"/>
  <c r="H299" i="3"/>
  <c r="J298" i="3"/>
  <c r="K298" i="3" s="1"/>
  <c r="D312" i="3" l="1"/>
  <c r="E314" i="3"/>
  <c r="C314" i="3" s="1"/>
  <c r="H300" i="3"/>
  <c r="J299" i="3"/>
  <c r="K299" i="3" s="1"/>
  <c r="E315" i="3" l="1"/>
  <c r="E316" i="3" s="1"/>
  <c r="D313" i="3"/>
  <c r="H301" i="3"/>
  <c r="J300" i="3"/>
  <c r="K300" i="3" s="1"/>
  <c r="C315" i="3" l="1"/>
  <c r="E317" i="3"/>
  <c r="C317" i="3" s="1"/>
  <c r="D314" i="3"/>
  <c r="C316" i="3"/>
  <c r="H302" i="3"/>
  <c r="J301" i="3"/>
  <c r="K301" i="3" s="1"/>
  <c r="E318" i="3" l="1"/>
  <c r="C318" i="3" s="1"/>
  <c r="D315" i="3"/>
  <c r="J302" i="3"/>
  <c r="K302" i="3" s="1"/>
  <c r="H303" i="3"/>
  <c r="E319" i="3" l="1"/>
  <c r="D316" i="3"/>
  <c r="H304" i="3"/>
  <c r="J303" i="3"/>
  <c r="K303" i="3" s="1"/>
  <c r="D317" i="3" l="1"/>
  <c r="E320" i="3"/>
  <c r="C320" i="3" s="1"/>
  <c r="C319" i="3"/>
  <c r="J304" i="3"/>
  <c r="K304" i="3" s="1"/>
  <c r="H305" i="3"/>
  <c r="D318" i="3" l="1"/>
  <c r="E321" i="3"/>
  <c r="C321" i="3" s="1"/>
  <c r="J305" i="3"/>
  <c r="K305" i="3" s="1"/>
  <c r="H306" i="3"/>
  <c r="D319" i="3" l="1"/>
  <c r="E322" i="3"/>
  <c r="C322" i="3" s="1"/>
  <c r="H307" i="3"/>
  <c r="J306" i="3"/>
  <c r="K306" i="3" s="1"/>
  <c r="D320" i="3" l="1"/>
  <c r="E323" i="3"/>
  <c r="C323" i="3" s="1"/>
  <c r="J307" i="3"/>
  <c r="K307" i="3" s="1"/>
  <c r="H308" i="3"/>
  <c r="D321" i="3" l="1"/>
  <c r="E324" i="3"/>
  <c r="C324" i="3" s="1"/>
  <c r="H309" i="3"/>
  <c r="J308" i="3"/>
  <c r="K308" i="3" s="1"/>
  <c r="D322" i="3" l="1"/>
  <c r="E325" i="3"/>
  <c r="C325" i="3" s="1"/>
  <c r="J309" i="3"/>
  <c r="K309" i="3" s="1"/>
  <c r="H310" i="3"/>
  <c r="D323" i="3" l="1"/>
  <c r="E326" i="3"/>
  <c r="C326" i="3" s="1"/>
  <c r="J310" i="3"/>
  <c r="K310" i="3" s="1"/>
  <c r="H311" i="3"/>
  <c r="D324" i="3" l="1"/>
  <c r="E327" i="3"/>
  <c r="C327" i="3" s="1"/>
  <c r="H312" i="3"/>
  <c r="J311" i="3"/>
  <c r="K311" i="3" s="1"/>
  <c r="E328" i="3" l="1"/>
  <c r="C328" i="3" s="1"/>
  <c r="D325" i="3"/>
  <c r="H313" i="3"/>
  <c r="J312" i="3"/>
  <c r="K312" i="3" s="1"/>
  <c r="D326" i="3" l="1"/>
  <c r="E329" i="3"/>
  <c r="C329" i="3" s="1"/>
  <c r="H314" i="3"/>
  <c r="J313" i="3"/>
  <c r="K313" i="3" s="1"/>
  <c r="E330" i="3" l="1"/>
  <c r="C330" i="3" s="1"/>
  <c r="D327" i="3"/>
  <c r="H315" i="3"/>
  <c r="J314" i="3"/>
  <c r="K314" i="3" s="1"/>
  <c r="D328" i="3" l="1"/>
  <c r="E331" i="3"/>
  <c r="C331" i="3" s="1"/>
  <c r="H316" i="3"/>
  <c r="J315" i="3"/>
  <c r="K315" i="3" s="1"/>
  <c r="E332" i="3" l="1"/>
  <c r="C332" i="3" s="1"/>
  <c r="D329" i="3"/>
  <c r="J316" i="3"/>
  <c r="K316" i="3" s="1"/>
  <c r="H317" i="3"/>
  <c r="D330" i="3" l="1"/>
  <c r="E333" i="3"/>
  <c r="C333" i="3" s="1"/>
  <c r="J317" i="3"/>
  <c r="K317" i="3" s="1"/>
  <c r="H318" i="3"/>
  <c r="E334" i="3" l="1"/>
  <c r="C334" i="3" s="1"/>
  <c r="D331" i="3"/>
  <c r="H319" i="3"/>
  <c r="J318" i="3"/>
  <c r="K318" i="3" s="1"/>
  <c r="D332" i="3" l="1"/>
  <c r="E335" i="3"/>
  <c r="C335" i="3" s="1"/>
  <c r="H320" i="3"/>
  <c r="J319" i="3"/>
  <c r="K319" i="3" s="1"/>
  <c r="E336" i="3" l="1"/>
  <c r="C336" i="3" s="1"/>
  <c r="D333" i="3"/>
  <c r="J320" i="3"/>
  <c r="K320" i="3" s="1"/>
  <c r="H321" i="3"/>
  <c r="D334" i="3" l="1"/>
  <c r="E337" i="3"/>
  <c r="C337" i="3" s="1"/>
  <c r="H322" i="3"/>
  <c r="J321" i="3"/>
  <c r="K321" i="3" s="1"/>
  <c r="E338" i="3" l="1"/>
  <c r="C338" i="3" s="1"/>
  <c r="D335" i="3"/>
  <c r="J322" i="3"/>
  <c r="K322" i="3" s="1"/>
  <c r="H323" i="3"/>
  <c r="D336" i="3" l="1"/>
  <c r="E339" i="3"/>
  <c r="C339" i="3" s="1"/>
  <c r="H324" i="3"/>
  <c r="J323" i="3"/>
  <c r="K323" i="3" s="1"/>
  <c r="E340" i="3" l="1"/>
  <c r="C340" i="3" s="1"/>
  <c r="D337" i="3"/>
  <c r="H325" i="3"/>
  <c r="J324" i="3"/>
  <c r="K324" i="3" s="1"/>
  <c r="D338" i="3" l="1"/>
  <c r="E341" i="3"/>
  <c r="C341" i="3" s="1"/>
  <c r="J325" i="3"/>
  <c r="K325" i="3" s="1"/>
  <c r="H326" i="3"/>
  <c r="E342" i="3" l="1"/>
  <c r="C342" i="3" s="1"/>
  <c r="D339" i="3"/>
  <c r="J326" i="3"/>
  <c r="K326" i="3" s="1"/>
  <c r="H327" i="3"/>
  <c r="D340" i="3" l="1"/>
  <c r="E343" i="3"/>
  <c r="C343" i="3" s="1"/>
  <c r="J327" i="3"/>
  <c r="K327" i="3" s="1"/>
  <c r="H328" i="3"/>
  <c r="E344" i="3" l="1"/>
  <c r="C344" i="3" s="1"/>
  <c r="D341" i="3"/>
  <c r="H329" i="3"/>
  <c r="J328" i="3"/>
  <c r="K328" i="3" s="1"/>
  <c r="D342" i="3" l="1"/>
  <c r="E345" i="3"/>
  <c r="C345" i="3" s="1"/>
  <c r="H330" i="3"/>
  <c r="J329" i="3"/>
  <c r="K329" i="3" s="1"/>
  <c r="E346" i="3" l="1"/>
  <c r="C346" i="3" s="1"/>
  <c r="D343" i="3"/>
  <c r="J330" i="3"/>
  <c r="K330" i="3" s="1"/>
  <c r="H331" i="3"/>
  <c r="D344" i="3" l="1"/>
  <c r="E347" i="3"/>
  <c r="C347" i="3" s="1"/>
  <c r="H332" i="3"/>
  <c r="J331" i="3"/>
  <c r="K331" i="3" s="1"/>
  <c r="E348" i="3" l="1"/>
  <c r="C348" i="3" s="1"/>
  <c r="D345" i="3"/>
  <c r="H333" i="3"/>
  <c r="J332" i="3"/>
  <c r="K332" i="3" s="1"/>
  <c r="D346" i="3" l="1"/>
  <c r="E349" i="3"/>
  <c r="C349" i="3" s="1"/>
  <c r="J333" i="3"/>
  <c r="K333" i="3" s="1"/>
  <c r="H334" i="3"/>
  <c r="E350" i="3" l="1"/>
  <c r="C350" i="3" s="1"/>
  <c r="D347" i="3"/>
  <c r="H335" i="3"/>
  <c r="J334" i="3"/>
  <c r="K334" i="3" s="1"/>
  <c r="D348" i="3" l="1"/>
  <c r="E351" i="3"/>
  <c r="C351" i="3" s="1"/>
  <c r="H336" i="3"/>
  <c r="J335" i="3"/>
  <c r="K335" i="3" s="1"/>
  <c r="E352" i="3" l="1"/>
  <c r="C352" i="3" s="1"/>
  <c r="D349" i="3"/>
  <c r="J336" i="3"/>
  <c r="K336" i="3" s="1"/>
  <c r="H337" i="3"/>
  <c r="D350" i="3" l="1"/>
  <c r="E353" i="3"/>
  <c r="J337" i="3"/>
  <c r="K337" i="3" s="1"/>
  <c r="H338" i="3"/>
  <c r="E354" i="3" l="1"/>
  <c r="C354" i="3" s="1"/>
  <c r="C353" i="3"/>
  <c r="D351" i="3"/>
  <c r="H339" i="3"/>
  <c r="J338" i="3"/>
  <c r="K338" i="3" s="1"/>
  <c r="D352" i="3" l="1"/>
  <c r="E355" i="3"/>
  <c r="C355" i="3" s="1"/>
  <c r="J339" i="3"/>
  <c r="K339" i="3" s="1"/>
  <c r="H340" i="3"/>
  <c r="E356" i="3" l="1"/>
  <c r="C356" i="3" s="1"/>
  <c r="D353" i="3"/>
  <c r="H341" i="3"/>
  <c r="J340" i="3"/>
  <c r="K340" i="3" s="1"/>
  <c r="D354" i="3" l="1"/>
  <c r="E357" i="3"/>
  <c r="C357" i="3" s="1"/>
  <c r="H342" i="3"/>
  <c r="J341" i="3"/>
  <c r="K341" i="3" s="1"/>
  <c r="E358" i="3" l="1"/>
  <c r="C358" i="3" s="1"/>
  <c r="D355" i="3"/>
  <c r="J342" i="3"/>
  <c r="K342" i="3" s="1"/>
  <c r="H343" i="3"/>
  <c r="D356" i="3" l="1"/>
  <c r="E359" i="3"/>
  <c r="C359" i="3" s="1"/>
  <c r="J343" i="3"/>
  <c r="K343" i="3" s="1"/>
  <c r="H344" i="3"/>
  <c r="E360" i="3" l="1"/>
  <c r="C360" i="3" s="1"/>
  <c r="D357" i="3"/>
  <c r="J344" i="3"/>
  <c r="K344" i="3" s="1"/>
  <c r="H345" i="3"/>
  <c r="D358" i="3" l="1"/>
  <c r="E361" i="3"/>
  <c r="C361" i="3" s="1"/>
  <c r="J345" i="3"/>
  <c r="K345" i="3" s="1"/>
  <c r="H346" i="3"/>
  <c r="E362" i="3" l="1"/>
  <c r="C362" i="3" s="1"/>
  <c r="D359" i="3"/>
  <c r="H347" i="3"/>
  <c r="J346" i="3"/>
  <c r="K346" i="3" s="1"/>
  <c r="D360" i="3" l="1"/>
  <c r="E363" i="3"/>
  <c r="C363" i="3" s="1"/>
  <c r="J347" i="3"/>
  <c r="K347" i="3" s="1"/>
  <c r="H348" i="3"/>
  <c r="E364" i="3" l="1"/>
  <c r="C364" i="3" s="1"/>
  <c r="D361" i="3"/>
  <c r="H349" i="3"/>
  <c r="J348" i="3"/>
  <c r="K348" i="3" s="1"/>
  <c r="D362" i="3" l="1"/>
  <c r="E365" i="3"/>
  <c r="C365" i="3" s="1"/>
  <c r="H350" i="3"/>
  <c r="J349" i="3"/>
  <c r="K349" i="3" s="1"/>
  <c r="E366" i="3" l="1"/>
  <c r="C366" i="3" s="1"/>
  <c r="D363" i="3"/>
  <c r="H351" i="3"/>
  <c r="J350" i="3"/>
  <c r="K350" i="3" s="1"/>
  <c r="D364" i="3" l="1"/>
  <c r="E367" i="3"/>
  <c r="C367" i="3" s="1"/>
  <c r="J351" i="3"/>
  <c r="K351" i="3" s="1"/>
  <c r="H352" i="3"/>
  <c r="E368" i="3" l="1"/>
  <c r="C368" i="3" s="1"/>
  <c r="D365" i="3"/>
  <c r="J352" i="3"/>
  <c r="K352" i="3" s="1"/>
  <c r="H353" i="3"/>
  <c r="D366" i="3" l="1"/>
  <c r="E369" i="3"/>
  <c r="C369" i="3" s="1"/>
  <c r="J353" i="3"/>
  <c r="K353" i="3" s="1"/>
  <c r="H354" i="3"/>
  <c r="E370" i="3" l="1"/>
  <c r="C370" i="3" s="1"/>
  <c r="D367" i="3"/>
  <c r="J354" i="3"/>
  <c r="K354" i="3" s="1"/>
  <c r="H355" i="3"/>
  <c r="D368" i="3" l="1"/>
  <c r="E371" i="3"/>
  <c r="C371" i="3" s="1"/>
  <c r="J355" i="3"/>
  <c r="K355" i="3" s="1"/>
  <c r="H356" i="3"/>
  <c r="E372" i="3" l="1"/>
  <c r="C372" i="3" s="1"/>
  <c r="D369" i="3"/>
  <c r="H357" i="3"/>
  <c r="J356" i="3"/>
  <c r="K356" i="3" s="1"/>
  <c r="D370" i="3" l="1"/>
  <c r="E373" i="3"/>
  <c r="C373" i="3" s="1"/>
  <c r="H358" i="3"/>
  <c r="J357" i="3"/>
  <c r="K357" i="3" s="1"/>
  <c r="E374" i="3" l="1"/>
  <c r="C374" i="3" s="1"/>
  <c r="D371" i="3"/>
  <c r="J358" i="3"/>
  <c r="K358" i="3" s="1"/>
  <c r="H359" i="3"/>
  <c r="D372" i="3" l="1"/>
  <c r="E375" i="3"/>
  <c r="C375" i="3" s="1"/>
  <c r="J359" i="3"/>
  <c r="K359" i="3" s="1"/>
  <c r="H360" i="3"/>
  <c r="E10" i="3"/>
  <c r="C11" i="3"/>
  <c r="C10" i="3"/>
  <c r="D28" i="1" l="1"/>
  <c r="B12" i="14" s="1"/>
  <c r="C376" i="3"/>
  <c r="D373" i="3"/>
  <c r="H361" i="3"/>
  <c r="J360" i="3"/>
  <c r="K360" i="3" s="1"/>
  <c r="D374" i="3" l="1"/>
  <c r="H362" i="3"/>
  <c r="J361" i="3"/>
  <c r="K361" i="3" s="1"/>
  <c r="D375" i="3" l="1"/>
  <c r="H363" i="3"/>
  <c r="J362" i="3"/>
  <c r="K362" i="3" s="1"/>
  <c r="D11" i="3"/>
  <c r="D10" i="3"/>
  <c r="D376" i="3" l="1"/>
  <c r="J363" i="3"/>
  <c r="K363" i="3" s="1"/>
  <c r="H364" i="3"/>
  <c r="H365" i="3" l="1"/>
  <c r="J364" i="3"/>
  <c r="K364" i="3" s="1"/>
  <c r="J365" i="3" l="1"/>
  <c r="K365" i="3" s="1"/>
  <c r="H366" i="3"/>
  <c r="H367" i="3" l="1"/>
  <c r="J366" i="3"/>
  <c r="K366" i="3" s="1"/>
  <c r="H368" i="3" l="1"/>
  <c r="J367" i="3"/>
  <c r="K367" i="3" s="1"/>
  <c r="J368" i="3" l="1"/>
  <c r="K368" i="3" s="1"/>
  <c r="H369" i="3"/>
  <c r="J369" i="3" l="1"/>
  <c r="K369" i="3" s="1"/>
  <c r="H370" i="3"/>
  <c r="J370" i="3" l="1"/>
  <c r="K370" i="3" s="1"/>
  <c r="H371" i="3"/>
  <c r="J371" i="3" l="1"/>
  <c r="K371" i="3" s="1"/>
  <c r="H372" i="3"/>
  <c r="H373" i="3" l="1"/>
  <c r="J372" i="3"/>
  <c r="K372" i="3" s="1"/>
  <c r="J373" i="3" l="1"/>
  <c r="K373" i="3" s="1"/>
  <c r="H374" i="3"/>
  <c r="J374" i="3" l="1"/>
  <c r="K374" i="3" s="1"/>
  <c r="H375" i="3"/>
  <c r="H376" i="3" l="1"/>
  <c r="J375" i="3"/>
  <c r="K375" i="3" s="1"/>
  <c r="H377" i="3" l="1"/>
  <c r="J376" i="3"/>
  <c r="K376" i="3" s="1"/>
  <c r="H378" i="3" l="1"/>
  <c r="J377" i="3"/>
  <c r="K377" i="3" s="1"/>
  <c r="H379" i="3" l="1"/>
  <c r="J378" i="3"/>
  <c r="K378" i="3" s="1"/>
  <c r="H380" i="3" l="1"/>
  <c r="J379" i="3"/>
  <c r="K379" i="3" s="1"/>
  <c r="H381" i="3" l="1"/>
  <c r="J380" i="3"/>
  <c r="K380" i="3" s="1"/>
  <c r="H382" i="3" l="1"/>
  <c r="J381" i="3"/>
  <c r="K381" i="3" s="1"/>
  <c r="J382" i="3" l="1"/>
  <c r="K382" i="3" s="1"/>
  <c r="H383" i="3"/>
  <c r="H384" i="3" l="1"/>
  <c r="J383" i="3"/>
  <c r="K383" i="3" s="1"/>
  <c r="H385" i="3" l="1"/>
  <c r="J384" i="3"/>
  <c r="K384" i="3" s="1"/>
  <c r="H386" i="3" l="1"/>
  <c r="J385" i="3"/>
  <c r="K385" i="3" s="1"/>
  <c r="H387" i="3" l="1"/>
  <c r="J386" i="3"/>
  <c r="K386" i="3" s="1"/>
  <c r="J387" i="3" l="1"/>
  <c r="K387" i="3" s="1"/>
  <c r="H388" i="3"/>
  <c r="H389" i="3" l="1"/>
  <c r="J388" i="3"/>
  <c r="K388" i="3" s="1"/>
  <c r="H390" i="3" l="1"/>
  <c r="J389" i="3"/>
  <c r="K389" i="3" s="1"/>
  <c r="J390" i="3" l="1"/>
  <c r="K390" i="3" s="1"/>
  <c r="H391" i="3"/>
  <c r="J391" i="3" l="1"/>
  <c r="K391" i="3" s="1"/>
  <c r="H392" i="3"/>
  <c r="H393" i="3" l="1"/>
  <c r="J392" i="3"/>
  <c r="K392" i="3" s="1"/>
  <c r="H394" i="3" l="1"/>
  <c r="J393" i="3"/>
  <c r="K393" i="3" s="1"/>
  <c r="J394" i="3" l="1"/>
  <c r="K394" i="3" s="1"/>
  <c r="H395" i="3"/>
  <c r="J395" i="3" l="1"/>
  <c r="K395" i="3" s="1"/>
  <c r="H396" i="3"/>
  <c r="H397" i="3" l="1"/>
  <c r="J396" i="3"/>
  <c r="K396" i="3" s="1"/>
  <c r="H398" i="3" l="1"/>
  <c r="J397" i="3"/>
  <c r="K397" i="3" s="1"/>
  <c r="H399" i="3" l="1"/>
  <c r="J398" i="3"/>
  <c r="K398" i="3" s="1"/>
  <c r="H400" i="3" l="1"/>
  <c r="J399" i="3"/>
  <c r="K399" i="3" s="1"/>
  <c r="J400" i="3" l="1"/>
  <c r="K400" i="3" s="1"/>
  <c r="H401" i="3"/>
  <c r="H402" i="3" l="1"/>
  <c r="J401" i="3"/>
  <c r="K401" i="3" s="1"/>
  <c r="J402" i="3" l="1"/>
  <c r="K402" i="3" s="1"/>
  <c r="H403" i="3"/>
  <c r="H404" i="3" l="1"/>
  <c r="J403" i="3"/>
  <c r="K403" i="3" s="1"/>
  <c r="J404" i="3" l="1"/>
  <c r="K404" i="3" s="1"/>
  <c r="H405" i="3"/>
  <c r="J405" i="3" l="1"/>
  <c r="K405" i="3" s="1"/>
  <c r="H406" i="3"/>
  <c r="H407" i="3" l="1"/>
  <c r="J406" i="3"/>
  <c r="K406" i="3" s="1"/>
  <c r="J407" i="3" l="1"/>
  <c r="K407" i="3" s="1"/>
  <c r="H408" i="3"/>
  <c r="J408" i="3" l="1"/>
  <c r="K408" i="3" s="1"/>
  <c r="H409" i="3"/>
  <c r="J409" i="3" l="1"/>
  <c r="K409" i="3" s="1"/>
  <c r="H410" i="3"/>
  <c r="H411" i="3" l="1"/>
  <c r="J410" i="3"/>
  <c r="K410" i="3" s="1"/>
  <c r="H412" i="3" l="1"/>
  <c r="J411" i="3"/>
  <c r="K411" i="3" s="1"/>
  <c r="H413" i="3" l="1"/>
  <c r="J412" i="3"/>
  <c r="K412" i="3" s="1"/>
  <c r="H414" i="3" l="1"/>
  <c r="J413" i="3"/>
  <c r="K413" i="3" s="1"/>
  <c r="H415" i="3" l="1"/>
  <c r="J414" i="3"/>
  <c r="K414" i="3" s="1"/>
  <c r="H416" i="3" l="1"/>
  <c r="J415" i="3"/>
  <c r="K415" i="3" s="1"/>
  <c r="H417" i="3" l="1"/>
  <c r="J416" i="3"/>
  <c r="K416" i="3" s="1"/>
  <c r="J417" i="3" l="1"/>
  <c r="K417" i="3" s="1"/>
  <c r="H418" i="3"/>
  <c r="J418" i="3" l="1"/>
  <c r="K418" i="3" s="1"/>
  <c r="H419" i="3"/>
  <c r="H420" i="3" l="1"/>
  <c r="J419" i="3"/>
  <c r="K419" i="3" s="1"/>
  <c r="H421" i="3" l="1"/>
  <c r="J420" i="3"/>
  <c r="K420" i="3" s="1"/>
  <c r="J421" i="3" l="1"/>
  <c r="K421" i="3" s="1"/>
  <c r="H422" i="3"/>
  <c r="J422" i="3" l="1"/>
  <c r="K422" i="3" s="1"/>
  <c r="H423" i="3"/>
  <c r="H424" i="3" l="1"/>
  <c r="J423" i="3"/>
  <c r="K423" i="3" s="1"/>
  <c r="H425" i="3" l="1"/>
  <c r="J424" i="3"/>
  <c r="K424" i="3" s="1"/>
  <c r="J425" i="3" l="1"/>
  <c r="K425" i="3" s="1"/>
  <c r="H426" i="3"/>
  <c r="J426" i="3" l="1"/>
  <c r="K426" i="3" s="1"/>
  <c r="H427" i="3"/>
  <c r="H428" i="3" l="1"/>
  <c r="J427" i="3"/>
  <c r="K427" i="3" s="1"/>
  <c r="J428" i="3" l="1"/>
  <c r="K428" i="3" s="1"/>
  <c r="H429" i="3"/>
  <c r="H430" i="3" l="1"/>
  <c r="J429" i="3"/>
  <c r="K429" i="3" s="1"/>
  <c r="J430" i="3" l="1"/>
  <c r="K430" i="3" s="1"/>
  <c r="H431" i="3"/>
  <c r="H432" i="3" l="1"/>
  <c r="J431" i="3"/>
  <c r="K431" i="3" s="1"/>
  <c r="H433" i="3" l="1"/>
  <c r="J432" i="3"/>
  <c r="K432" i="3" s="1"/>
  <c r="J433" i="3" l="1"/>
  <c r="K433" i="3" s="1"/>
  <c r="H434" i="3"/>
  <c r="J434" i="3" l="1"/>
  <c r="K434" i="3" s="1"/>
  <c r="H435" i="3"/>
  <c r="J435" i="3" l="1"/>
  <c r="K435" i="3" s="1"/>
  <c r="H436" i="3"/>
  <c r="H437" i="3" l="1"/>
  <c r="J436" i="3"/>
  <c r="K436" i="3" s="1"/>
  <c r="J437" i="3" l="1"/>
  <c r="K437" i="3" s="1"/>
  <c r="H438" i="3"/>
  <c r="J438" i="3" l="1"/>
  <c r="K438" i="3" s="1"/>
  <c r="H439" i="3"/>
  <c r="J439" i="3" l="1"/>
  <c r="K439" i="3" s="1"/>
  <c r="H440" i="3"/>
  <c r="H441" i="3" l="1"/>
  <c r="J440" i="3"/>
  <c r="K440" i="3" s="1"/>
  <c r="H442" i="3" l="1"/>
  <c r="J441" i="3"/>
  <c r="K441" i="3" s="1"/>
  <c r="H443" i="3" l="1"/>
  <c r="J442" i="3"/>
  <c r="K442" i="3" s="1"/>
  <c r="H444" i="3" l="1"/>
  <c r="J443" i="3"/>
  <c r="K443" i="3" s="1"/>
  <c r="J444" i="3" l="1"/>
  <c r="K444" i="3" s="1"/>
  <c r="H445" i="3"/>
  <c r="H446" i="3" l="1"/>
  <c r="J445" i="3"/>
  <c r="K445" i="3" s="1"/>
  <c r="J446" i="3" l="1"/>
  <c r="K446" i="3" s="1"/>
  <c r="H447" i="3"/>
  <c r="J447" i="3" l="1"/>
  <c r="K447" i="3" s="1"/>
  <c r="H448" i="3"/>
  <c r="J448" i="3" l="1"/>
  <c r="K448" i="3" s="1"/>
  <c r="H449" i="3"/>
  <c r="H450" i="3" l="1"/>
  <c r="J449" i="3"/>
  <c r="K449" i="3" s="1"/>
  <c r="H451" i="3" l="1"/>
  <c r="J450" i="3"/>
  <c r="K450" i="3" s="1"/>
  <c r="J451" i="3" l="1"/>
  <c r="K451" i="3" s="1"/>
  <c r="H452" i="3"/>
  <c r="H453" i="3" l="1"/>
  <c r="J452" i="3"/>
  <c r="K452" i="3" s="1"/>
  <c r="J453" i="3" l="1"/>
  <c r="K453" i="3" s="1"/>
  <c r="H454" i="3"/>
  <c r="J454" i="3" l="1"/>
  <c r="K454" i="3" s="1"/>
  <c r="H455" i="3"/>
  <c r="J455" i="3" l="1"/>
  <c r="K455" i="3" s="1"/>
  <c r="H456" i="3"/>
  <c r="H457" i="3" l="1"/>
  <c r="J456" i="3"/>
  <c r="K456" i="3" s="1"/>
  <c r="H458" i="3" l="1"/>
  <c r="J457" i="3"/>
  <c r="K457" i="3" s="1"/>
  <c r="J458" i="3" l="1"/>
  <c r="K458" i="3" s="1"/>
  <c r="H459" i="3"/>
  <c r="H460" i="3" l="1"/>
  <c r="J459" i="3"/>
  <c r="K459" i="3" s="1"/>
  <c r="H461" i="3" l="1"/>
  <c r="J460" i="3"/>
  <c r="K460" i="3" s="1"/>
  <c r="H462" i="3" l="1"/>
  <c r="J461" i="3"/>
  <c r="K461" i="3" s="1"/>
  <c r="H463" i="3" l="1"/>
  <c r="J462" i="3"/>
  <c r="K462" i="3" s="1"/>
  <c r="H464" i="3" l="1"/>
  <c r="J463" i="3"/>
  <c r="K463" i="3" s="1"/>
  <c r="H465" i="3" l="1"/>
  <c r="J464" i="3"/>
  <c r="K464" i="3" s="1"/>
  <c r="H466" i="3" l="1"/>
  <c r="J465" i="3"/>
  <c r="K465" i="3" s="1"/>
  <c r="J466" i="3" l="1"/>
  <c r="K466" i="3" s="1"/>
  <c r="H467" i="3"/>
  <c r="J467" i="3" l="1"/>
  <c r="K467" i="3" s="1"/>
  <c r="H468" i="3"/>
  <c r="J468" i="3" l="1"/>
  <c r="K468" i="3" s="1"/>
  <c r="H469" i="3"/>
  <c r="H470" i="3" l="1"/>
  <c r="J469" i="3"/>
  <c r="K469" i="3" s="1"/>
  <c r="J470" i="3" l="1"/>
  <c r="K470" i="3" s="1"/>
  <c r="H471" i="3"/>
  <c r="J471" i="3" l="1"/>
  <c r="K471" i="3" s="1"/>
  <c r="H472" i="3"/>
  <c r="J472" i="3" l="1"/>
  <c r="K472" i="3" s="1"/>
  <c r="H473" i="3"/>
  <c r="J473" i="3" l="1"/>
  <c r="K473" i="3" s="1"/>
  <c r="H474" i="3"/>
  <c r="H475" i="3" l="1"/>
  <c r="J474" i="3"/>
  <c r="K474" i="3" s="1"/>
  <c r="J475" i="3" l="1"/>
  <c r="K475" i="3" s="1"/>
  <c r="H476" i="3"/>
  <c r="J476" i="3" l="1"/>
  <c r="K476" i="3" s="1"/>
  <c r="H477" i="3"/>
  <c r="H478" i="3" l="1"/>
  <c r="J477" i="3"/>
  <c r="K477" i="3" s="1"/>
  <c r="H479" i="3" l="1"/>
  <c r="J478" i="3"/>
  <c r="K478" i="3" s="1"/>
  <c r="H480" i="3" l="1"/>
  <c r="J479" i="3"/>
  <c r="K479" i="3" s="1"/>
  <c r="J480" i="3" l="1"/>
  <c r="K480" i="3" s="1"/>
  <c r="H481" i="3"/>
  <c r="H482" i="3" l="1"/>
  <c r="J481" i="3"/>
  <c r="K481" i="3" s="1"/>
  <c r="H483" i="3" l="1"/>
  <c r="J482" i="3"/>
  <c r="K482" i="3" s="1"/>
  <c r="H484" i="3" l="1"/>
  <c r="J483" i="3"/>
  <c r="K483" i="3" s="1"/>
  <c r="H485" i="3" l="1"/>
  <c r="J484" i="3"/>
  <c r="K484" i="3" s="1"/>
  <c r="H486" i="3" l="1"/>
  <c r="J485" i="3"/>
  <c r="K485" i="3" l="1"/>
  <c r="H487" i="3"/>
  <c r="J486" i="3"/>
  <c r="K486" i="3" l="1"/>
  <c r="H488" i="3"/>
  <c r="J487" i="3"/>
  <c r="H489" i="3" l="1"/>
  <c r="J488" i="3"/>
  <c r="K487" i="3"/>
  <c r="K488" i="3" l="1"/>
  <c r="H490" i="3"/>
  <c r="J489" i="3"/>
  <c r="K489" i="3" l="1"/>
  <c r="H491" i="3"/>
  <c r="J490" i="3"/>
  <c r="K490" i="3" l="1"/>
  <c r="J491" i="3"/>
  <c r="H492" i="3"/>
  <c r="K491" i="3" l="1"/>
  <c r="H493" i="3"/>
  <c r="J492" i="3"/>
  <c r="K492" i="3" l="1"/>
  <c r="J493" i="3"/>
  <c r="H494" i="3"/>
  <c r="H495" i="3" l="1"/>
  <c r="J494" i="3"/>
  <c r="K493" i="3"/>
  <c r="K494" i="3" l="1"/>
  <c r="H496" i="3"/>
  <c r="J495" i="3"/>
  <c r="J11" i="3"/>
  <c r="J10" i="3"/>
  <c r="F31" i="1" l="1"/>
  <c r="K495" i="3"/>
  <c r="H497" i="3"/>
  <c r="J496" i="3"/>
  <c r="K496" i="3" s="1"/>
  <c r="K11" i="3"/>
  <c r="K10" i="3"/>
  <c r="F34" i="1" l="1"/>
  <c r="B24" i="14" s="1"/>
  <c r="B16" i="14"/>
  <c r="G31" i="1"/>
  <c r="J497" i="3"/>
  <c r="K497" i="3" s="1"/>
  <c r="H498" i="3"/>
  <c r="G34" i="1" l="1"/>
  <c r="B25" i="14" s="1"/>
  <c r="B17" i="14"/>
  <c r="J498" i="3"/>
  <c r="K498" i="3" s="1"/>
  <c r="H499" i="3"/>
  <c r="J499" i="3" l="1"/>
  <c r="K499" i="3" s="1"/>
  <c r="H500" i="3"/>
  <c r="J500" i="3" l="1"/>
  <c r="K500" i="3" s="1"/>
  <c r="H501" i="3"/>
  <c r="J501" i="3" l="1"/>
  <c r="K501" i="3" s="1"/>
  <c r="H502" i="3"/>
  <c r="H503" i="3" l="1"/>
  <c r="J502" i="3"/>
  <c r="K502" i="3" s="1"/>
  <c r="J503" i="3" l="1"/>
  <c r="K503" i="3" s="1"/>
  <c r="H504" i="3"/>
  <c r="J504" i="3" l="1"/>
  <c r="K504" i="3" s="1"/>
  <c r="H505" i="3"/>
  <c r="J505" i="3" l="1"/>
  <c r="K505" i="3" s="1"/>
  <c r="H506" i="3"/>
  <c r="J506" i="3" l="1"/>
  <c r="K506" i="3" s="1"/>
  <c r="H507" i="3"/>
  <c r="J507" i="3" l="1"/>
  <c r="K507" i="3" s="1"/>
  <c r="H508" i="3"/>
  <c r="J508" i="3" l="1"/>
  <c r="K508" i="3" s="1"/>
  <c r="H509" i="3"/>
  <c r="H510" i="3" l="1"/>
  <c r="J509" i="3"/>
  <c r="K509" i="3" s="1"/>
  <c r="H511" i="3" l="1"/>
  <c r="J510" i="3"/>
  <c r="K510" i="3" s="1"/>
  <c r="H512" i="3" l="1"/>
  <c r="J511" i="3"/>
  <c r="K511" i="3" s="1"/>
  <c r="H513" i="3" l="1"/>
  <c r="J512" i="3"/>
  <c r="K512" i="3" s="1"/>
  <c r="H514" i="3" l="1"/>
  <c r="J513" i="3"/>
  <c r="K513" i="3" s="1"/>
  <c r="H515" i="3" l="1"/>
  <c r="J514" i="3"/>
  <c r="K514" i="3" s="1"/>
  <c r="J515" i="3" l="1"/>
  <c r="K515" i="3" s="1"/>
  <c r="H516" i="3"/>
  <c r="H517" i="3" l="1"/>
  <c r="J516" i="3"/>
  <c r="K516" i="3" s="1"/>
  <c r="H518" i="3" l="1"/>
  <c r="J517" i="3"/>
  <c r="K517" i="3" s="1"/>
  <c r="J518" i="3" l="1"/>
  <c r="K518" i="3" s="1"/>
  <c r="H519" i="3"/>
  <c r="H520" i="3" l="1"/>
  <c r="J519" i="3"/>
  <c r="K519" i="3" s="1"/>
  <c r="H521" i="3" l="1"/>
  <c r="J520" i="3"/>
  <c r="K520" i="3" s="1"/>
  <c r="J521" i="3" l="1"/>
  <c r="K521" i="3" s="1"/>
  <c r="H522" i="3"/>
  <c r="H523" i="3" l="1"/>
  <c r="J522" i="3"/>
  <c r="K522" i="3" s="1"/>
  <c r="J523" i="3" l="1"/>
  <c r="K523" i="3" s="1"/>
  <c r="H524" i="3"/>
  <c r="H525" i="3" l="1"/>
  <c r="J524" i="3"/>
  <c r="K524" i="3" s="1"/>
  <c r="H526" i="3" l="1"/>
  <c r="J525" i="3"/>
  <c r="K525" i="3" s="1"/>
  <c r="H527" i="3" l="1"/>
  <c r="J526" i="3"/>
  <c r="K526" i="3" s="1"/>
  <c r="J527" i="3" l="1"/>
  <c r="K527" i="3" s="1"/>
  <c r="H528" i="3"/>
  <c r="H529" i="3" l="1"/>
  <c r="J528" i="3"/>
  <c r="K528" i="3" s="1"/>
  <c r="J529" i="3" l="1"/>
  <c r="K529" i="3" s="1"/>
  <c r="H530" i="3"/>
  <c r="H531" i="3" l="1"/>
  <c r="J530" i="3"/>
  <c r="K530" i="3" s="1"/>
  <c r="H532" i="3" l="1"/>
  <c r="J531" i="3"/>
  <c r="K531" i="3" s="1"/>
  <c r="J532" i="3" l="1"/>
  <c r="K532" i="3" s="1"/>
  <c r="H533" i="3"/>
  <c r="H534" i="3" l="1"/>
  <c r="J533" i="3"/>
  <c r="K533" i="3" s="1"/>
  <c r="J534" i="3" l="1"/>
  <c r="K534" i="3" s="1"/>
  <c r="H535" i="3"/>
  <c r="H536" i="3" l="1"/>
  <c r="J535" i="3"/>
  <c r="K535" i="3" s="1"/>
  <c r="H537" i="3" l="1"/>
  <c r="J536" i="3"/>
  <c r="K536" i="3" s="1"/>
  <c r="H538" i="3" l="1"/>
  <c r="J537" i="3"/>
  <c r="K537" i="3" s="1"/>
  <c r="J538" i="3" l="1"/>
  <c r="K538" i="3" s="1"/>
  <c r="H539" i="3"/>
  <c r="J539" i="3" l="1"/>
  <c r="K539" i="3" s="1"/>
  <c r="H540" i="3"/>
  <c r="J540" i="3" l="1"/>
  <c r="K540" i="3" s="1"/>
  <c r="H541" i="3"/>
  <c r="J541" i="3" l="1"/>
  <c r="K541" i="3" s="1"/>
  <c r="H542" i="3"/>
  <c r="H543" i="3" l="1"/>
  <c r="J542" i="3"/>
  <c r="K542" i="3" s="1"/>
  <c r="J543" i="3" l="1"/>
  <c r="K543" i="3" s="1"/>
  <c r="H544" i="3"/>
  <c r="H545" i="3" l="1"/>
  <c r="J544" i="3"/>
  <c r="K544" i="3" s="1"/>
  <c r="J545" i="3" l="1"/>
  <c r="K545" i="3" s="1"/>
  <c r="H546" i="3"/>
  <c r="J546" i="3" l="1"/>
  <c r="K546" i="3" s="1"/>
  <c r="H547" i="3"/>
  <c r="H548" i="3" l="1"/>
  <c r="J547" i="3"/>
  <c r="K547" i="3" s="1"/>
  <c r="H549" i="3" l="1"/>
  <c r="J548" i="3"/>
  <c r="K548" i="3" s="1"/>
  <c r="J549" i="3" l="1"/>
  <c r="K549" i="3" s="1"/>
  <c r="H550" i="3"/>
  <c r="J550" i="3" l="1"/>
  <c r="K550" i="3" s="1"/>
  <c r="H551" i="3"/>
  <c r="H552" i="3" l="1"/>
  <c r="J551" i="3"/>
  <c r="K551" i="3" s="1"/>
  <c r="J552" i="3" l="1"/>
  <c r="K552" i="3" s="1"/>
  <c r="H553" i="3"/>
  <c r="H554" i="3" l="1"/>
  <c r="J553" i="3"/>
  <c r="K553" i="3" s="1"/>
  <c r="J554" i="3" l="1"/>
  <c r="K554" i="3" s="1"/>
  <c r="H555" i="3"/>
  <c r="H556" i="3" l="1"/>
  <c r="J555" i="3"/>
  <c r="K555" i="3" s="1"/>
  <c r="H557" i="3" l="1"/>
  <c r="J556" i="3"/>
  <c r="K556" i="3" s="1"/>
  <c r="H558" i="3" l="1"/>
  <c r="J557" i="3"/>
  <c r="K557" i="3" s="1"/>
  <c r="J558" i="3" l="1"/>
  <c r="K558" i="3" s="1"/>
  <c r="H559" i="3"/>
  <c r="J559" i="3" l="1"/>
  <c r="K559" i="3" s="1"/>
  <c r="H560" i="3"/>
  <c r="H561" i="3" l="1"/>
  <c r="J560" i="3"/>
  <c r="K560" i="3" s="1"/>
  <c r="J561" i="3" l="1"/>
  <c r="K561" i="3" s="1"/>
  <c r="H562" i="3"/>
  <c r="J562" i="3" l="1"/>
  <c r="K562" i="3" s="1"/>
  <c r="H563" i="3"/>
  <c r="J563" i="3" l="1"/>
  <c r="K563" i="3" s="1"/>
  <c r="H564" i="3"/>
  <c r="H565" i="3" l="1"/>
  <c r="J564" i="3"/>
  <c r="K564" i="3" s="1"/>
  <c r="J565" i="3" l="1"/>
  <c r="K565" i="3" s="1"/>
  <c r="H566" i="3"/>
  <c r="J566" i="3" l="1"/>
  <c r="K566" i="3" s="1"/>
  <c r="H567" i="3"/>
  <c r="H568" i="3" l="1"/>
  <c r="J567" i="3"/>
  <c r="K567" i="3" s="1"/>
  <c r="H569" i="3" l="1"/>
  <c r="J568" i="3"/>
  <c r="K568" i="3" s="1"/>
  <c r="H570" i="3" l="1"/>
  <c r="J569" i="3"/>
  <c r="K569" i="3" s="1"/>
  <c r="J570" i="3" l="1"/>
  <c r="K570" i="3" s="1"/>
  <c r="H571" i="3"/>
  <c r="H572" i="3" l="1"/>
  <c r="J571" i="3"/>
  <c r="K571" i="3" s="1"/>
  <c r="H573" i="3" l="1"/>
  <c r="J572" i="3"/>
  <c r="K572" i="3" s="1"/>
  <c r="H574" i="3" l="1"/>
  <c r="J573" i="3"/>
  <c r="K573" i="3" s="1"/>
  <c r="J574" i="3" l="1"/>
  <c r="K574" i="3" s="1"/>
  <c r="H575" i="3"/>
  <c r="H576" i="3" l="1"/>
  <c r="J575" i="3"/>
  <c r="K575" i="3" s="1"/>
  <c r="H577" i="3" l="1"/>
  <c r="J576" i="3"/>
  <c r="K576" i="3" s="1"/>
  <c r="J577" i="3" l="1"/>
  <c r="K577" i="3" s="1"/>
  <c r="H578" i="3"/>
  <c r="J578" i="3" l="1"/>
  <c r="K578" i="3" s="1"/>
  <c r="H579" i="3"/>
  <c r="H580" i="3" l="1"/>
  <c r="J579" i="3"/>
  <c r="K579" i="3" s="1"/>
  <c r="H581" i="3" l="1"/>
  <c r="J580" i="3"/>
  <c r="K580" i="3" s="1"/>
  <c r="J581" i="3" l="1"/>
  <c r="K581" i="3" s="1"/>
  <c r="H582" i="3"/>
  <c r="J582" i="3" l="1"/>
  <c r="K582" i="3" s="1"/>
  <c r="H583" i="3"/>
  <c r="H584" i="3" l="1"/>
  <c r="J583" i="3"/>
  <c r="K583" i="3" s="1"/>
  <c r="H585" i="3" l="1"/>
  <c r="J584" i="3"/>
  <c r="K584" i="3" s="1"/>
  <c r="J585" i="3" l="1"/>
  <c r="K585" i="3" s="1"/>
  <c r="H586" i="3"/>
  <c r="J586" i="3" l="1"/>
  <c r="K586" i="3" s="1"/>
  <c r="H587" i="3"/>
  <c r="H588" i="3" l="1"/>
  <c r="J587" i="3"/>
  <c r="K587" i="3" s="1"/>
  <c r="H589" i="3" l="1"/>
  <c r="J588" i="3"/>
  <c r="K588" i="3" s="1"/>
  <c r="H590" i="3" l="1"/>
  <c r="J589" i="3"/>
  <c r="K589" i="3" s="1"/>
  <c r="J590" i="3" l="1"/>
  <c r="K590" i="3" s="1"/>
  <c r="H591" i="3"/>
  <c r="H592" i="3" l="1"/>
  <c r="J591" i="3"/>
  <c r="K591" i="3" s="1"/>
  <c r="H593" i="3" l="1"/>
  <c r="J592" i="3"/>
  <c r="K592" i="3" s="1"/>
  <c r="H594" i="3" l="1"/>
  <c r="J593" i="3"/>
  <c r="K593" i="3" s="1"/>
  <c r="J594" i="3" l="1"/>
  <c r="K594" i="3" s="1"/>
  <c r="H595" i="3"/>
  <c r="H596" i="3" l="1"/>
  <c r="J595" i="3"/>
  <c r="K595" i="3" s="1"/>
  <c r="H597" i="3" l="1"/>
  <c r="J596" i="3"/>
  <c r="K596" i="3" s="1"/>
  <c r="H598" i="3" l="1"/>
  <c r="J597" i="3"/>
  <c r="K597" i="3" s="1"/>
  <c r="H599" i="3" l="1"/>
  <c r="J598" i="3"/>
  <c r="K598" i="3" s="1"/>
  <c r="J599" i="3" l="1"/>
  <c r="K599" i="3" s="1"/>
  <c r="H600" i="3"/>
  <c r="J600" i="3" l="1"/>
  <c r="K600" i="3" s="1"/>
  <c r="H601" i="3"/>
  <c r="H602" i="3" l="1"/>
  <c r="J601" i="3"/>
  <c r="K601" i="3" s="1"/>
  <c r="J602" i="3" l="1"/>
  <c r="K602" i="3" s="1"/>
  <c r="H603" i="3"/>
  <c r="H604" i="3" l="1"/>
  <c r="J603" i="3"/>
  <c r="K603" i="3" s="1"/>
  <c r="H605" i="3" l="1"/>
  <c r="J604" i="3"/>
  <c r="K604" i="3" s="1"/>
  <c r="J605" i="3" l="1"/>
  <c r="K605" i="3" s="1"/>
  <c r="H606" i="3"/>
  <c r="J606" i="3" l="1"/>
  <c r="K606" i="3" s="1"/>
  <c r="H607" i="3"/>
  <c r="H608" i="3" l="1"/>
  <c r="J607" i="3"/>
  <c r="K607" i="3" s="1"/>
  <c r="H609" i="3" l="1"/>
  <c r="J608" i="3"/>
  <c r="K608" i="3" s="1"/>
  <c r="H610" i="3" l="1"/>
  <c r="J609" i="3"/>
  <c r="K609" i="3" s="1"/>
  <c r="J610" i="3" l="1"/>
  <c r="K610" i="3" s="1"/>
  <c r="H611" i="3"/>
  <c r="J611" i="3" l="1"/>
  <c r="K611" i="3" s="1"/>
  <c r="H612" i="3"/>
  <c r="H613" i="3" l="1"/>
  <c r="J612" i="3"/>
  <c r="K612" i="3" s="1"/>
  <c r="J613" i="3" l="1"/>
  <c r="K613" i="3" s="1"/>
  <c r="H614" i="3"/>
  <c r="J614" i="3" l="1"/>
  <c r="K614" i="3" s="1"/>
  <c r="H615" i="3"/>
  <c r="H616" i="3" l="1"/>
  <c r="J615" i="3"/>
  <c r="K615" i="3" s="1"/>
  <c r="H617" i="3" l="1"/>
  <c r="J616" i="3"/>
  <c r="K616" i="3" s="1"/>
  <c r="H618" i="3" l="1"/>
  <c r="J617" i="3"/>
  <c r="K617" i="3" s="1"/>
  <c r="J618" i="3" l="1"/>
  <c r="K618" i="3" s="1"/>
  <c r="H619" i="3"/>
  <c r="H620" i="3" l="1"/>
  <c r="J619" i="3"/>
  <c r="K619" i="3" s="1"/>
  <c r="H621" i="3" l="1"/>
  <c r="J620" i="3"/>
  <c r="K620" i="3" s="1"/>
  <c r="H622" i="3" l="1"/>
  <c r="J621" i="3"/>
  <c r="K621" i="3" s="1"/>
  <c r="H623" i="3" l="1"/>
  <c r="J622" i="3"/>
  <c r="K622" i="3" s="1"/>
  <c r="H624" i="3" l="1"/>
  <c r="J623" i="3"/>
  <c r="K623" i="3" s="1"/>
  <c r="H625" i="3" l="1"/>
  <c r="J624" i="3"/>
  <c r="K624" i="3" s="1"/>
  <c r="J625" i="3" l="1"/>
  <c r="K625" i="3" s="1"/>
  <c r="H626" i="3"/>
  <c r="J626" i="3" l="1"/>
  <c r="K626" i="3" s="1"/>
  <c r="H627" i="3"/>
  <c r="H628" i="3" l="1"/>
  <c r="J627" i="3"/>
  <c r="K627" i="3" s="1"/>
  <c r="H629" i="3" l="1"/>
  <c r="J628" i="3"/>
  <c r="K628" i="3" s="1"/>
  <c r="J629" i="3" l="1"/>
  <c r="K629" i="3" s="1"/>
  <c r="H630" i="3"/>
  <c r="J630" i="3" l="1"/>
  <c r="K630" i="3" s="1"/>
  <c r="H631" i="3"/>
  <c r="H632" i="3" l="1"/>
  <c r="J631" i="3"/>
  <c r="K631" i="3" s="1"/>
  <c r="H633" i="3" l="1"/>
  <c r="J632" i="3"/>
  <c r="K632" i="3" s="1"/>
  <c r="J633" i="3" l="1"/>
  <c r="K633" i="3" s="1"/>
  <c r="H634" i="3"/>
  <c r="H635" i="3" l="1"/>
  <c r="J634" i="3"/>
  <c r="K634" i="3" s="1"/>
  <c r="H636" i="3" l="1"/>
  <c r="J635" i="3"/>
  <c r="K635" i="3" s="1"/>
  <c r="H637" i="3" l="1"/>
  <c r="J636" i="3"/>
  <c r="K636" i="3" s="1"/>
  <c r="H638" i="3" l="1"/>
  <c r="J637" i="3"/>
  <c r="K637" i="3" s="1"/>
  <c r="H639" i="3" l="1"/>
  <c r="J638" i="3"/>
  <c r="K638" i="3" s="1"/>
  <c r="H640" i="3" l="1"/>
  <c r="J639" i="3"/>
  <c r="K639" i="3" s="1"/>
  <c r="H641" i="3" l="1"/>
  <c r="J640" i="3"/>
  <c r="K640" i="3" s="1"/>
  <c r="J641" i="3" l="1"/>
  <c r="K641" i="3" s="1"/>
  <c r="H642" i="3"/>
  <c r="J642" i="3" l="1"/>
  <c r="K642" i="3" s="1"/>
  <c r="H643" i="3"/>
  <c r="H644" i="3" l="1"/>
  <c r="J643" i="3"/>
  <c r="K643" i="3" s="1"/>
  <c r="J644" i="3" l="1"/>
  <c r="K644" i="3" s="1"/>
  <c r="H645" i="3"/>
  <c r="H646" i="3" l="1"/>
  <c r="J645" i="3"/>
  <c r="K645" i="3" s="1"/>
  <c r="J646" i="3" l="1"/>
  <c r="K646" i="3" s="1"/>
  <c r="H647" i="3"/>
  <c r="H648" i="3" l="1"/>
  <c r="J647" i="3"/>
  <c r="K647" i="3" s="1"/>
  <c r="J648" i="3" l="1"/>
  <c r="K648" i="3" s="1"/>
  <c r="H649" i="3"/>
  <c r="J649" i="3" l="1"/>
  <c r="K649" i="3" s="1"/>
  <c r="H650" i="3"/>
  <c r="H651" i="3" l="1"/>
  <c r="J650" i="3"/>
  <c r="K650" i="3" s="1"/>
  <c r="H652" i="3" l="1"/>
  <c r="J651" i="3"/>
  <c r="K651" i="3" s="1"/>
  <c r="H653" i="3" l="1"/>
  <c r="J652" i="3"/>
  <c r="K652" i="3" s="1"/>
  <c r="J653" i="3" l="1"/>
  <c r="K653" i="3" s="1"/>
  <c r="H654" i="3"/>
  <c r="J654" i="3" l="1"/>
  <c r="K654" i="3" s="1"/>
  <c r="H655" i="3"/>
  <c r="H656" i="3" l="1"/>
  <c r="J655" i="3"/>
  <c r="K655" i="3" s="1"/>
  <c r="J656" i="3" l="1"/>
  <c r="K656" i="3" s="1"/>
  <c r="H657" i="3"/>
  <c r="J657" i="3" l="1"/>
  <c r="K657" i="3" s="1"/>
  <c r="H658" i="3"/>
  <c r="H659" i="3" l="1"/>
  <c r="J658" i="3"/>
  <c r="K658" i="3" s="1"/>
  <c r="H660" i="3" l="1"/>
  <c r="J659" i="3"/>
  <c r="K659" i="3" s="1"/>
  <c r="H661" i="3" l="1"/>
  <c r="J660" i="3"/>
  <c r="K660" i="3" s="1"/>
  <c r="H662" i="3" l="1"/>
  <c r="J661" i="3"/>
  <c r="K661" i="3" s="1"/>
  <c r="J662" i="3" l="1"/>
  <c r="K662" i="3" s="1"/>
  <c r="H663" i="3"/>
  <c r="J663" i="3" l="1"/>
  <c r="K663" i="3" s="1"/>
  <c r="H664" i="3"/>
  <c r="J664" i="3" l="1"/>
  <c r="K664" i="3" s="1"/>
  <c r="H665" i="3"/>
  <c r="H666" i="3" l="1"/>
  <c r="J665" i="3"/>
  <c r="K665" i="3" s="1"/>
  <c r="H667" i="3" l="1"/>
  <c r="J666" i="3"/>
  <c r="K666" i="3" s="1"/>
  <c r="H668" i="3" l="1"/>
  <c r="J667" i="3"/>
  <c r="K667" i="3" s="1"/>
  <c r="H669" i="3" l="1"/>
  <c r="J668" i="3"/>
  <c r="K668" i="3" s="1"/>
  <c r="J669" i="3" l="1"/>
  <c r="K669" i="3" s="1"/>
  <c r="H670" i="3"/>
  <c r="J670" i="3" l="1"/>
  <c r="K670" i="3" s="1"/>
  <c r="H671" i="3"/>
  <c r="H672" i="3" l="1"/>
  <c r="J671" i="3"/>
  <c r="K671" i="3" s="1"/>
  <c r="H673" i="3" l="1"/>
  <c r="J672" i="3"/>
  <c r="K672" i="3" s="1"/>
  <c r="H674" i="3" l="1"/>
  <c r="J673" i="3"/>
  <c r="K673" i="3" s="1"/>
  <c r="H675" i="3" l="1"/>
  <c r="J674" i="3"/>
  <c r="K674" i="3" s="1"/>
  <c r="H676" i="3" l="1"/>
  <c r="J675" i="3"/>
  <c r="K675" i="3" s="1"/>
  <c r="J676" i="3" l="1"/>
  <c r="K676" i="3" s="1"/>
  <c r="H677" i="3"/>
  <c r="J677" i="3" l="1"/>
  <c r="K677" i="3" s="1"/>
  <c r="H678" i="3"/>
  <c r="H679" i="3" l="1"/>
  <c r="J678" i="3"/>
  <c r="K678" i="3" s="1"/>
  <c r="H680" i="3" l="1"/>
  <c r="J679" i="3"/>
  <c r="K679" i="3" s="1"/>
  <c r="H681" i="3" l="1"/>
  <c r="J680" i="3"/>
  <c r="K680" i="3" s="1"/>
  <c r="J681" i="3" l="1"/>
  <c r="K681" i="3" s="1"/>
  <c r="H682" i="3"/>
  <c r="H683" i="3" l="1"/>
  <c r="J682" i="3"/>
  <c r="K682" i="3" s="1"/>
  <c r="H684" i="3" l="1"/>
  <c r="J683" i="3"/>
  <c r="K683" i="3" s="1"/>
  <c r="H685" i="3" l="1"/>
  <c r="J684" i="3"/>
  <c r="K684" i="3" s="1"/>
  <c r="J685" i="3" l="1"/>
  <c r="K685" i="3" s="1"/>
  <c r="H686" i="3"/>
  <c r="J686" i="3" l="1"/>
  <c r="K686" i="3" s="1"/>
  <c r="H687" i="3"/>
  <c r="H688" i="3" l="1"/>
  <c r="J687" i="3"/>
  <c r="K687" i="3" s="1"/>
  <c r="J688" i="3" l="1"/>
  <c r="K688" i="3" s="1"/>
  <c r="H689" i="3"/>
  <c r="H690" i="3" l="1"/>
  <c r="J689" i="3"/>
  <c r="K689" i="3" s="1"/>
  <c r="H691" i="3" l="1"/>
  <c r="J690" i="3"/>
  <c r="K690" i="3" s="1"/>
  <c r="H692" i="3" l="1"/>
  <c r="J691" i="3"/>
  <c r="K691" i="3" s="1"/>
  <c r="H693" i="3" l="1"/>
  <c r="J692" i="3"/>
  <c r="K692" i="3" s="1"/>
  <c r="J693" i="3" l="1"/>
  <c r="K693" i="3" s="1"/>
  <c r="H694" i="3"/>
  <c r="J694" i="3" l="1"/>
  <c r="K694" i="3" s="1"/>
  <c r="H695" i="3"/>
  <c r="H696" i="3" l="1"/>
  <c r="J695" i="3"/>
  <c r="K695" i="3" s="1"/>
  <c r="H697" i="3" l="1"/>
  <c r="J696" i="3"/>
  <c r="K696" i="3" s="1"/>
  <c r="J697" i="3" l="1"/>
  <c r="K697" i="3" s="1"/>
  <c r="H698" i="3"/>
  <c r="H699" i="3" l="1"/>
  <c r="J698" i="3"/>
  <c r="K698" i="3" s="1"/>
  <c r="H700" i="3" l="1"/>
  <c r="J699" i="3"/>
  <c r="K699" i="3" s="1"/>
  <c r="H701" i="3" l="1"/>
  <c r="J700" i="3"/>
  <c r="K700" i="3" s="1"/>
  <c r="J701" i="3" l="1"/>
  <c r="K701" i="3" s="1"/>
  <c r="H702" i="3"/>
  <c r="J702" i="3" l="1"/>
  <c r="K702" i="3" s="1"/>
  <c r="H703" i="3"/>
  <c r="H704" i="3" l="1"/>
  <c r="J703" i="3"/>
  <c r="K703" i="3" s="1"/>
  <c r="H705" i="3" l="1"/>
  <c r="J704" i="3"/>
  <c r="K704" i="3" s="1"/>
  <c r="J705" i="3" l="1"/>
  <c r="K705" i="3" s="1"/>
  <c r="H706" i="3"/>
  <c r="H707" i="3" l="1"/>
  <c r="J706" i="3"/>
  <c r="K706" i="3" s="1"/>
  <c r="H708" i="3" l="1"/>
  <c r="J707" i="3"/>
  <c r="K707" i="3" s="1"/>
  <c r="H709" i="3" l="1"/>
  <c r="J708" i="3"/>
  <c r="K708" i="3" s="1"/>
  <c r="J709" i="3" l="1"/>
  <c r="K709" i="3" s="1"/>
  <c r="H710" i="3"/>
  <c r="J710" i="3" l="1"/>
  <c r="K710" i="3" s="1"/>
  <c r="H711" i="3"/>
  <c r="H712" i="3" l="1"/>
  <c r="J711" i="3"/>
  <c r="K711" i="3" s="1"/>
  <c r="H713" i="3" l="1"/>
  <c r="J712" i="3"/>
  <c r="K712" i="3" s="1"/>
  <c r="J713" i="3" l="1"/>
  <c r="K713" i="3" s="1"/>
  <c r="H714" i="3"/>
  <c r="H715" i="3" l="1"/>
  <c r="J714" i="3"/>
  <c r="K714" i="3" s="1"/>
  <c r="H716" i="3" l="1"/>
  <c r="J715" i="3"/>
  <c r="K715" i="3" s="1"/>
  <c r="H717" i="3" l="1"/>
  <c r="J716" i="3"/>
  <c r="K716" i="3" s="1"/>
  <c r="J717" i="3" l="1"/>
  <c r="K717" i="3" s="1"/>
  <c r="H718" i="3"/>
  <c r="J718" i="3" l="1"/>
  <c r="K718" i="3" s="1"/>
  <c r="H719" i="3"/>
  <c r="H720" i="3" l="1"/>
  <c r="J719" i="3"/>
  <c r="K719" i="3" s="1"/>
  <c r="H721" i="3" l="1"/>
  <c r="J720" i="3"/>
  <c r="K720" i="3" s="1"/>
  <c r="J721" i="3" l="1"/>
  <c r="K721" i="3" s="1"/>
  <c r="H722" i="3"/>
  <c r="H723" i="3" l="1"/>
  <c r="J722" i="3"/>
  <c r="K722" i="3" s="1"/>
  <c r="J723" i="3" l="1"/>
  <c r="K723" i="3" s="1"/>
  <c r="H724" i="3"/>
  <c r="H725" i="3" l="1"/>
  <c r="J724" i="3"/>
  <c r="K724" i="3" s="1"/>
  <c r="J725" i="3" l="1"/>
  <c r="K725" i="3" s="1"/>
  <c r="H726" i="3"/>
  <c r="H727" i="3" l="1"/>
  <c r="J726" i="3"/>
  <c r="K726" i="3" s="1"/>
  <c r="H728" i="3" l="1"/>
  <c r="J727" i="3"/>
  <c r="K727" i="3" s="1"/>
  <c r="H729" i="3" l="1"/>
  <c r="J728" i="3"/>
  <c r="K728" i="3" s="1"/>
  <c r="H730" i="3" l="1"/>
  <c r="J729" i="3"/>
  <c r="K729" i="3" s="1"/>
  <c r="J730" i="3" l="1"/>
  <c r="K730" i="3" s="1"/>
  <c r="H731" i="3"/>
  <c r="J731" i="3" l="1"/>
  <c r="K731" i="3" s="1"/>
  <c r="H732" i="3"/>
  <c r="H733" i="3" l="1"/>
  <c r="J732" i="3"/>
  <c r="K732" i="3" s="1"/>
  <c r="H734" i="3" l="1"/>
  <c r="J733" i="3"/>
  <c r="K733" i="3" s="1"/>
  <c r="J734" i="3" l="1"/>
  <c r="K734" i="3" s="1"/>
  <c r="H735" i="3"/>
  <c r="J735" i="3" s="1"/>
  <c r="K735"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Matthew M. Ross, PhD</author>
    <author>Jonah Shafer</author>
    <author>LabAdmin</author>
  </authors>
  <commentList>
    <comment ref="B2" authorId="0" shapeId="0" xr:uid="{00000000-0006-0000-0000-000001000000}">
      <text>
        <r>
          <rPr>
            <b/>
            <sz val="9"/>
            <color indexed="81"/>
            <rFont val="Tahoma"/>
            <family val="2"/>
          </rPr>
          <t>This planning tool is designed to help with college and career planning. The basic assumptions of this model include a start point at the end of summer following high school graduation. Many major life decisions are beyond the scope of this tool as work-life concerns are often difficult to quantify in dollar terms. Clearly, expected career cash flows are not the only relevant factor in selecting an education. The Lifetime Net Present Value difference merely indicates which career path provides greater estimated value even after considering the cost of college.</t>
        </r>
      </text>
    </comment>
    <comment ref="B6" authorId="0" shapeId="0" xr:uid="{00000000-0006-0000-0000-000002000000}">
      <text>
        <r>
          <rPr>
            <b/>
            <sz val="9"/>
            <color indexed="81"/>
            <rFont val="Tahoma"/>
            <family val="2"/>
          </rPr>
          <t>Orange cells are available for editing. Green cells provide a link to information that can help with editing. Pink cells indicate key links to data in other worksheets. You may unlock the spreadsheet by openning the review tab, selecting protect workbook, and then enter the password "cashandcareers".</t>
        </r>
      </text>
    </comment>
    <comment ref="B11" authorId="0" shapeId="0" xr:uid="{00000000-0006-0000-0000-000003000000}">
      <text>
        <r>
          <rPr>
            <b/>
            <sz val="9"/>
            <color indexed="81"/>
            <rFont val="Tahoma"/>
            <family val="2"/>
          </rPr>
          <t xml:space="preserve">Select a career path that requires a 4-year college degree. College can be expensive but marketable skills are valuable. Borrowing money to invest in yourself can yield great returns! </t>
        </r>
      </text>
    </comment>
    <comment ref="E11" authorId="0" shapeId="0" xr:uid="{00000000-0006-0000-0000-000004000000}">
      <text>
        <r>
          <rPr>
            <b/>
            <sz val="9"/>
            <color indexed="81"/>
            <rFont val="Tahoma"/>
            <family val="2"/>
          </rPr>
          <t>Select a career that does not require college. With good financial discipline and a steady job immediately from high school, savings are possible!</t>
        </r>
      </text>
    </comment>
    <comment ref="B12" authorId="0" shapeId="0" xr:uid="{00000000-0006-0000-0000-000005000000}">
      <text>
        <r>
          <rPr>
            <b/>
            <sz val="9"/>
            <color indexed="81"/>
            <rFont val="Tahoma"/>
            <family val="2"/>
          </rPr>
          <t xml:space="preserve">The Bureau of Labor Statistics (link to the right) provides median annual pay for career tracks. Enter the most recent figures since future pay estimates are adjusted based on the Government Figures worksheet. This pay amount does not include additional career related benefits such as health care, retirement, and perks nor costs such as union dues, professional memberships, or other fees.  </t>
        </r>
      </text>
    </comment>
    <comment ref="G12" authorId="0" shapeId="0" xr:uid="{00000000-0006-0000-0000-000006000000}">
      <text>
        <r>
          <rPr>
            <b/>
            <sz val="9"/>
            <color indexed="81"/>
            <rFont val="Tahoma"/>
            <family val="2"/>
          </rPr>
          <t xml:space="preserve">At this hyperlink you will search for the annual salaries of the career choices made in cells C15 &amp; F15. </t>
        </r>
      </text>
    </comment>
    <comment ref="B17" authorId="0" shapeId="0" xr:uid="{00000000-0006-0000-0000-000007000000}">
      <text>
        <r>
          <rPr>
            <b/>
            <sz val="9"/>
            <color indexed="81"/>
            <rFont val="Tahoma"/>
            <family val="2"/>
          </rPr>
          <t>Input annual estimates during undergraduate years. The model defaults to the four years immediately following high-school graduation. Use the hyperlinks to access helpful references. Use the MI College Cost tab or another estimate to help you identify annual tuition estimates.</t>
        </r>
      </text>
    </comment>
    <comment ref="C19" authorId="0" shapeId="0" xr:uid="{00000000-0006-0000-0000-000008000000}">
      <text>
        <r>
          <rPr>
            <b/>
            <sz val="9"/>
            <color indexed="81"/>
            <rFont val="Tahoma"/>
            <family val="2"/>
          </rPr>
          <t>Part-time work represents estimated student generated annual income for the college track. The net income tax rate on part-time work as a student is assumed to be zero. This figure can be calculated by multiplying hourly wage by hours per week, then by working weeks throughout the year.</t>
        </r>
      </text>
    </comment>
    <comment ref="D19" authorId="0" shapeId="0" xr:uid="{00000000-0006-0000-0000-000009000000}">
      <text>
        <r>
          <rPr>
            <b/>
            <sz val="9"/>
            <color indexed="81"/>
            <rFont val="Tahoma"/>
            <family val="2"/>
          </rPr>
          <t>Include gifts and assistance from family or friends. These gifts are assumed to be tax-free and may include cost of living expenses such as room and board. Many young people receive little financial support so talk to your family about expectations! The 2017 inflation adjusted estimate of gift value is $8,787 based on the hyperlink reference.</t>
        </r>
      </text>
    </comment>
    <comment ref="E19" authorId="0" shapeId="0" xr:uid="{00000000-0006-0000-0000-00000A000000}">
      <text>
        <r>
          <rPr>
            <b/>
            <sz val="9"/>
            <color indexed="81"/>
            <rFont val="Tahoma"/>
            <family val="2"/>
          </rPr>
          <t>Estimate annual tuition grants or incentives that do not need to be repaid. Only include amounts that cover all years in college as single term awards can be manually adjusted on the College Schedule worksheet.</t>
        </r>
      </text>
    </comment>
    <comment ref="F19" authorId="0" shapeId="0" xr:uid="{00000000-0006-0000-0000-00000B000000}">
      <text>
        <r>
          <rPr>
            <b/>
            <sz val="9"/>
            <color indexed="81"/>
            <rFont val="Tahoma"/>
            <family val="2"/>
          </rPr>
          <t>Enter the current annual tuition for the intended 4-year university. If available, use the upper division tuition rates. Upper course numbers often begin with three (junior) or four (senior). Lower division tuition adjustments can be made in on the College Schedule worksheet.</t>
        </r>
      </text>
    </comment>
    <comment ref="C22" authorId="0" shapeId="0" xr:uid="{00000000-0006-0000-0000-00000C000000}">
      <text>
        <r>
          <rPr>
            <b/>
            <sz val="9"/>
            <color indexed="81"/>
            <rFont val="Tahoma"/>
            <family val="2"/>
          </rPr>
          <t>The net wealth sums represent totals after all cash flows including interest. Rate and tax estimates can be revised on the Government Figures worksheet. To change the 4-year timeline, see the College Schedule worksheet.</t>
        </r>
      </text>
    </comment>
    <comment ref="D23" authorId="0" shapeId="0" xr:uid="{00000000-0006-0000-0000-00000D000000}">
      <text>
        <r>
          <rPr>
            <b/>
            <sz val="9"/>
            <color indexed="81"/>
            <rFont val="Tahoma"/>
            <family val="2"/>
          </rPr>
          <t>"exceeds federal loan limits" indicates an expected breach of the Federal Student Loan limit. A private lender would be needed to supplement the difference, likely at a higher interest rate. "savings instead of debt" indicates a projected savings of money during college years. See the Career Schedule worksheet for more detail.</t>
        </r>
      </text>
    </comment>
    <comment ref="G23" authorId="0" shapeId="0" xr:uid="{00000000-0006-0000-0000-00000E000000}">
      <text>
        <r>
          <rPr>
            <b/>
            <sz val="9"/>
            <color indexed="81"/>
            <rFont val="Tahoma"/>
            <family val="2"/>
          </rPr>
          <t>"savings instead of debt" is an estimate of the amount that could be saved during the college years by directly entering the work force. A career track provide a lower wage than required for the projected cost of living. "savings instead of debt" indicates a projected savings of money during college years. See the Career Schedule worksheet for more detail.</t>
        </r>
      </text>
    </comment>
    <comment ref="C24" authorId="1" shapeId="0" xr:uid="{00000000-0006-0000-0000-00000F000000}">
      <text>
        <r>
          <rPr>
            <b/>
            <sz val="9"/>
            <color indexed="81"/>
            <rFont val="Tahoma"/>
            <family val="2"/>
          </rPr>
          <t>The student loans balance includes  tuition and the cost of living less part-time work income, gifts, and scholarships &amp; grants. Interest on the loans is also included.</t>
        </r>
      </text>
    </comment>
    <comment ref="B26" authorId="0" shapeId="0" xr:uid="{00000000-0006-0000-0000-000010000000}">
      <text>
        <r>
          <rPr>
            <b/>
            <sz val="9"/>
            <color indexed="81"/>
            <rFont val="Tahoma"/>
            <family val="2"/>
          </rPr>
          <t>Lifetime total positive cash flow is the cumulative total of all monthly take-home sums over a working life. Lifetime net present value is adjusted for the time value of money (estimated discount rate).</t>
        </r>
      </text>
    </comment>
    <comment ref="D28" authorId="0" shapeId="0" xr:uid="{00000000-0006-0000-0000-000011000000}">
      <text>
        <r>
          <rPr>
            <b/>
            <sz val="9"/>
            <color indexed="81"/>
            <rFont val="Tahoma"/>
            <family val="2"/>
          </rPr>
          <t>Use Goal Seek following the directions in Step 4.</t>
        </r>
      </text>
    </comment>
    <comment ref="E28" authorId="0" shapeId="0" xr:uid="{00000000-0006-0000-0000-000012000000}">
      <text>
        <r>
          <rPr>
            <b/>
            <sz val="9"/>
            <color indexed="81"/>
            <rFont val="Tahoma"/>
            <family val="2"/>
          </rPr>
          <t xml:space="preserve">The monthly payment is the amortized amount required to completely pay all student loans with interest over a working life time. See the Career Schedule worksheet for detail. </t>
        </r>
      </text>
    </comment>
    <comment ref="D30" authorId="2" shapeId="0" xr:uid="{00000000-0006-0000-0000-000013000000}">
      <text>
        <r>
          <rPr>
            <b/>
            <sz val="9"/>
            <color indexed="81"/>
            <rFont val="Tahoma"/>
            <family val="2"/>
          </rPr>
          <t xml:space="preserve">Raw dollar value is the monthly take home pay before taxes, student loans, cost of living, and other expenses. </t>
        </r>
      </text>
    </comment>
    <comment ref="E30" authorId="0" shapeId="0" xr:uid="{00000000-0006-0000-0000-000014000000}">
      <text>
        <r>
          <rPr>
            <b/>
            <sz val="9"/>
            <color indexed="81"/>
            <rFont val="Tahoma"/>
            <family val="2"/>
          </rPr>
          <t>Initial monthly take-home is the amount remaining after student loan, federal tax (including estimated interest deductions), social security, medicare, and state tax payments.</t>
        </r>
      </text>
    </comment>
    <comment ref="F30" authorId="0" shapeId="0" xr:uid="{00000000-0006-0000-0000-000015000000}">
      <text>
        <r>
          <rPr>
            <b/>
            <sz val="9"/>
            <color indexed="81"/>
            <rFont val="Tahoma"/>
            <family val="2"/>
          </rPr>
          <t>This is the sum of monthly discretionary over the working lifetime after adjusting for inflation. See the Career Schedule worksheet for detail.</t>
        </r>
      </text>
    </comment>
    <comment ref="G30" authorId="0" shapeId="0" xr:uid="{00000000-0006-0000-0000-000016000000}">
      <text>
        <r>
          <rPr>
            <b/>
            <sz val="9"/>
            <color indexed="81"/>
            <rFont val="Tahoma"/>
            <family val="2"/>
          </rPr>
          <t>Lifetime Net Present Value is the sum of the monthly discretionary pay amounts reduced by the discount rate. This considers the time value of money and is the primary decision making metric in finance. The discount rate can be ajusted in the Career Schedule worksheet cell G9. Discounted values are displayed in columns K and P of the Career Schedule worksheet.</t>
        </r>
      </text>
    </comment>
    <comment ref="G34" authorId="0" shapeId="0" xr:uid="{00000000-0006-0000-0000-000017000000}">
      <text>
        <r>
          <rPr>
            <b/>
            <sz val="9"/>
            <color indexed="81"/>
            <rFont val="Tahoma"/>
            <family val="2"/>
          </rPr>
          <t>A positive number indicates the college path provides greater expected financial value after all adjustments are included. The size indicates value in dollars today. A negative number indicates a greater financial value for the non-college track.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Matthew M. Ross, PhD</author>
  </authors>
  <commentList>
    <comment ref="D7" authorId="0" shapeId="0" xr:uid="{00000000-0006-0000-0100-000001000000}">
      <text>
        <r>
          <rPr>
            <b/>
            <sz val="9"/>
            <color indexed="81"/>
            <rFont val="Tahoma"/>
            <family val="2"/>
          </rPr>
          <t>Unsubsidized loan rates can vary over time. The default setting provides the most current rate.</t>
        </r>
      </text>
    </comment>
    <comment ref="B10" authorId="0" shapeId="0" xr:uid="{00000000-0006-0000-0100-000002000000}">
      <text>
        <r>
          <rPr>
            <b/>
            <sz val="9"/>
            <color indexed="81"/>
            <rFont val="Tahoma"/>
            <family val="2"/>
          </rPr>
          <t>Many states employ a flat tax but some use a progressive scale. Estimate the average tax rate for your expected income level.</t>
        </r>
      </text>
    </comment>
    <comment ref="C10" authorId="0" shapeId="0" xr:uid="{00000000-0006-0000-0100-000003000000}">
      <text>
        <r>
          <rPr>
            <b/>
            <sz val="9"/>
            <color indexed="81"/>
            <rFont val="Tahoma"/>
            <family val="2"/>
          </rPr>
          <t>Certain locations have a city or county income tax.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Matthew M. Ross, PhD</author>
  </authors>
  <commentList>
    <comment ref="B10" authorId="0" shapeId="0" xr:uid="{00000000-0006-0000-0200-000001000000}">
      <text>
        <r>
          <rPr>
            <b/>
            <sz val="9"/>
            <color indexed="81"/>
            <rFont val="Tahoma"/>
            <family val="2"/>
          </rPr>
          <t>Child care costs are difficult to model over time. Cash 'n' Careers does not acurately model these costs so do not recommend making dependent decisions based on output from this model. When in doubt, please consult a personal financial planner.</t>
        </r>
      </text>
    </comment>
    <comment ref="F13" authorId="0" shapeId="0" xr:uid="{00000000-0006-0000-0200-000002000000}">
      <text>
        <r>
          <rPr>
            <b/>
            <sz val="9"/>
            <color indexed="81"/>
            <rFont val="Tahoma"/>
            <family val="2"/>
          </rPr>
          <t>This is a moderate cost of living estimate for a college student.</t>
        </r>
      </text>
    </comment>
    <comment ref="G13" authorId="0" shapeId="0" xr:uid="{00000000-0006-0000-0200-000003000000}">
      <text>
        <r>
          <rPr>
            <b/>
            <sz val="9"/>
            <color indexed="81"/>
            <rFont val="Tahoma"/>
            <family val="2"/>
          </rPr>
          <t>This is an estimate for a college student living on a tight budget.</t>
        </r>
      </text>
    </comment>
    <comment ref="H13" authorId="0" shapeId="0" xr:uid="{00000000-0006-0000-0200-000004000000}">
      <text>
        <r>
          <rPr>
            <b/>
            <sz val="9"/>
            <color indexed="81"/>
            <rFont val="Tahoma"/>
            <family val="2"/>
          </rPr>
          <t>This is an estimate for a college student living on a tight budget.</t>
        </r>
      </text>
    </comment>
    <comment ref="B14" authorId="0" shapeId="0" xr:uid="{00000000-0006-0000-0200-000005000000}">
      <text>
        <r>
          <rPr>
            <b/>
            <sz val="9"/>
            <color indexed="81"/>
            <rFont val="Tahoma"/>
            <family val="2"/>
          </rPr>
          <t>The Cash 'n' Careers model includes additional information to estimate taxes on the Government Figures worksheet.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Matthew M. Ross, PhD</author>
  </authors>
  <commentList>
    <comment ref="T4" authorId="0" shapeId="0" xr:uid="{00000000-0006-0000-0300-000001000000}">
      <text>
        <r>
          <rPr>
            <b/>
            <sz val="9"/>
            <color indexed="81"/>
            <rFont val="Tahoma"/>
            <family val="2"/>
          </rPr>
          <t xml:space="preserve">These inputs allow for selection between different academic year calendars. </t>
        </r>
      </text>
    </comment>
    <comment ref="C8" authorId="0" shapeId="0" xr:uid="{00000000-0006-0000-0300-000002000000}">
      <text>
        <r>
          <rPr>
            <b/>
            <sz val="9"/>
            <color indexed="81"/>
            <rFont val="Tahoma"/>
            <family val="2"/>
          </rPr>
          <t>Select quarters or terms from the dropdown menu.</t>
        </r>
      </text>
    </comment>
    <comment ref="C10" authorId="0" shapeId="0" xr:uid="{00000000-0006-0000-0300-000003000000}">
      <text>
        <r>
          <rPr>
            <b/>
            <sz val="9"/>
            <color indexed="81"/>
            <rFont val="Tahoma"/>
            <family val="2"/>
          </rPr>
          <t>The months selected must align with the terms identified in cell D9. This can be verified in column C.</t>
        </r>
      </text>
    </comment>
    <comment ref="C13" authorId="0" shapeId="0" xr:uid="{00000000-0006-0000-0300-000004000000}">
      <text>
        <r>
          <rPr>
            <b/>
            <sz val="9"/>
            <color indexed="81"/>
            <rFont val="Tahoma"/>
            <family val="2"/>
          </rPr>
          <t>The model parameters are based on a 2017 high school graduation date. Manual adjustment of varialbes is required for other values.</t>
        </r>
      </text>
    </comment>
    <comment ref="V14" authorId="0" shapeId="0" xr:uid="{00000000-0006-0000-0300-000005000000}">
      <text>
        <r>
          <rPr>
            <b/>
            <sz val="9"/>
            <color indexed="81"/>
            <rFont val="Tahoma"/>
            <family val="2"/>
          </rPr>
          <t>Matthew M. Ross, PhD:</t>
        </r>
        <r>
          <rPr>
            <sz val="9"/>
            <color indexed="81"/>
            <rFont val="Tahoma"/>
            <family val="2"/>
          </rPr>
          <t xml:space="preserve">
This flag indicates that the federal loan limit may be exceeded. A private student loan at a higher interest rate may be required.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Matthew M. Ross, PhD</author>
  </authors>
  <commentList>
    <comment ref="E7" authorId="0" shapeId="0" xr:uid="{00000000-0006-0000-0400-000001000000}">
      <text>
        <r>
          <rPr>
            <b/>
            <sz val="9"/>
            <color indexed="81"/>
            <rFont val="Tahoma"/>
            <family val="2"/>
          </rPr>
          <t>Enter the number of months for the amortized student loan repayment. If the college years result in savings instead of debt, an annuity of this duration is assumed.</t>
        </r>
      </text>
    </comment>
    <comment ref="E8" authorId="0" shapeId="0" xr:uid="{00000000-0006-0000-0400-000002000000}">
      <text>
        <r>
          <rPr>
            <b/>
            <sz val="9"/>
            <color indexed="81"/>
            <rFont val="Tahoma"/>
            <family val="2"/>
          </rPr>
          <t>This is the number of months worked following the college-age years.</t>
        </r>
      </text>
    </comment>
    <comment ref="E9" authorId="0" shapeId="0" xr:uid="{00000000-0006-0000-0400-000003000000}">
      <text>
        <r>
          <rPr>
            <b/>
            <sz val="9"/>
            <color indexed="81"/>
            <rFont val="Tahoma"/>
            <family val="2"/>
          </rPr>
          <t>If someone offered you $100 today or $110 in one year, which would you choose? The discount rate measures your willingness to wait for a larger sum of money. If you picked $100 your discount rate is over 10%. If you picked $110 it is 10% or less. Individual discount rates change over time and with different circumstances, but to simplify the model we use one rate. Research indicates that many adults employ a discount rate over 20% and young adults often use even higher rates. However, marketable career skills are highly valued and relatively low-risk investment so use a small discount rate! The default rate is set to twice the level of inflation.</t>
        </r>
      </text>
    </comment>
    <comment ref="G14" authorId="0" shapeId="0" xr:uid="{00000000-0006-0000-0400-000004000000}">
      <text>
        <r>
          <rPr>
            <b/>
            <sz val="9"/>
            <color indexed="81"/>
            <rFont val="Tahoma"/>
            <family val="2"/>
          </rPr>
          <t>Adjustment allows for fine tuning of income projections. Alternatively, it allows one to adjust pay levels based on cost of living (COLA).</t>
        </r>
        <r>
          <rPr>
            <sz val="9"/>
            <color indexed="81"/>
            <rFont val="Tahoma"/>
            <family val="2"/>
          </rPr>
          <t xml:space="preserve">
</t>
        </r>
      </text>
    </comment>
    <comment ref="H14" authorId="0" shapeId="0" xr:uid="{00000000-0006-0000-0400-000005000000}">
      <text>
        <r>
          <rPr>
            <b/>
            <sz val="9"/>
            <color indexed="81"/>
            <rFont val="Tahoma"/>
            <family val="2"/>
          </rPr>
          <t>The tax rate is an estimate based on the government figures sheet.</t>
        </r>
      </text>
    </comment>
    <comment ref="I14" authorId="0" shapeId="0" xr:uid="{00000000-0006-0000-0400-000006000000}">
      <text>
        <r>
          <rPr>
            <b/>
            <sz val="9"/>
            <color indexed="81"/>
            <rFont val="Tahoma"/>
            <family val="2"/>
          </rPr>
          <t>Monthly pay is the pre-tax estimated wage.</t>
        </r>
      </text>
    </comment>
    <comment ref="L14" authorId="0" shapeId="0" xr:uid="{00000000-0006-0000-0400-000007000000}">
      <text>
        <r>
          <rPr>
            <b/>
            <sz val="9"/>
            <color indexed="81"/>
            <rFont val="Tahoma"/>
            <family val="2"/>
          </rPr>
          <t>Adjustment allows for fine tuning of income projections. Alternatively, it allows one to adjust pay levels based on cost of living (COLA).</t>
        </r>
      </text>
    </comment>
    <comment ref="M14" authorId="0" shapeId="0" xr:uid="{00000000-0006-0000-0400-000008000000}">
      <text>
        <r>
          <rPr>
            <b/>
            <sz val="9"/>
            <color indexed="81"/>
            <rFont val="Tahoma"/>
            <family val="2"/>
          </rPr>
          <t>The tax rate is an estimate based on the government figures sheet.</t>
        </r>
      </text>
    </comment>
    <comment ref="N14" authorId="0" shapeId="0" xr:uid="{00000000-0006-0000-0400-000009000000}">
      <text>
        <r>
          <rPr>
            <b/>
            <sz val="9"/>
            <color indexed="81"/>
            <rFont val="Tahoma"/>
            <family val="2"/>
          </rPr>
          <t>Monthly pay is the pre-tax estimated wage.</t>
        </r>
      </text>
    </comment>
  </commentList>
</comments>
</file>

<file path=xl/sharedStrings.xml><?xml version="1.0" encoding="utf-8"?>
<sst xmlns="http://schemas.openxmlformats.org/spreadsheetml/2006/main" count="496" uniqueCount="347">
  <si>
    <t>https://wmich.edu/businessnews/mattross.html</t>
  </si>
  <si>
    <t>Step 1 - Enter your information.</t>
  </si>
  <si>
    <t>First Name</t>
  </si>
  <si>
    <t>Last Name</t>
  </si>
  <si>
    <t>Career with College (Bachelor's Degree)</t>
  </si>
  <si>
    <t>Career with no College</t>
  </si>
  <si>
    <t>Step 2 - Enter two jobs with corresponding median annual pay.</t>
  </si>
  <si>
    <t>Bureau of Labor Statistics</t>
  </si>
  <si>
    <t>College</t>
  </si>
  <si>
    <t>No College</t>
  </si>
  <si>
    <t xml:space="preserve">Step 3 - Enter expected annual figures during college years beginning at high school graduation. </t>
  </si>
  <si>
    <t>Part-time work</t>
  </si>
  <si>
    <t>Gifts</t>
  </si>
  <si>
    <t>Scholarships &amp; student grants</t>
  </si>
  <si>
    <t>Annual tuition (Lower division)</t>
  </si>
  <si>
    <t>Annual tuition (Upper division)</t>
  </si>
  <si>
    <t>Step 4 - Estimate the monthly student loan payment. Go to the Data tab, select What-If Analysis, choose Goal Seek. Then set the loan balance to zero by changing the monthly payment.</t>
  </si>
  <si>
    <t>Loan Balance</t>
  </si>
  <si>
    <t>Monthly Payment</t>
  </si>
  <si>
    <t>Monthly Raw Dollar Value</t>
  </si>
  <si>
    <t>Initial Monthly Discretionary</t>
  </si>
  <si>
    <t>Lifetime Discretionary</t>
  </si>
  <si>
    <t>Lifetime Net Present Value</t>
  </si>
  <si>
    <t>What is the difference?</t>
  </si>
  <si>
    <t>Rate Estimates</t>
  </si>
  <si>
    <t>Annual Tuition Increase</t>
  </si>
  <si>
    <t>Annual Inflation</t>
  </si>
  <si>
    <t>Unsubsidized Loan Rate</t>
  </si>
  <si>
    <t>2017 Tax Rates and Exemptions</t>
  </si>
  <si>
    <t>Standard Deduction</t>
  </si>
  <si>
    <t>Standard Exemption</t>
  </si>
  <si>
    <t>Marginal Rate</t>
  </si>
  <si>
    <t>Single Filers</t>
  </si>
  <si>
    <t>Subtractions plus bracket</t>
  </si>
  <si>
    <t>Estimated Federal Tax</t>
  </si>
  <si>
    <t>IRS Rules for Social Security and Medicare</t>
  </si>
  <si>
    <t>Social Security Rate</t>
  </si>
  <si>
    <t>Expected pay</t>
  </si>
  <si>
    <t>Social Security Max</t>
  </si>
  <si>
    <t>Social Security</t>
  </si>
  <si>
    <t>Medicare Tax</t>
  </si>
  <si>
    <t>Medicare</t>
  </si>
  <si>
    <t>Additional Medicare Tax</t>
  </si>
  <si>
    <t>Additional Medicare</t>
  </si>
  <si>
    <t>Additional Medicare Min</t>
  </si>
  <si>
    <t>Interest deduction</t>
  </si>
  <si>
    <t>Taxable</t>
  </si>
  <si>
    <t>Federal tax</t>
  </si>
  <si>
    <t>State Income Tax Rate</t>
  </si>
  <si>
    <t>State tax</t>
  </si>
  <si>
    <t>Local Income Tax Rate</t>
  </si>
  <si>
    <t>Local tax (if any)</t>
  </si>
  <si>
    <t>Pay after taxes</t>
  </si>
  <si>
    <t>Monthly after tax pay</t>
  </si>
  <si>
    <t>Effective tax rate =&gt;</t>
  </si>
  <si>
    <t>Model parameters</t>
  </si>
  <si>
    <t>Model Output</t>
  </si>
  <si>
    <t>m</t>
  </si>
  <si>
    <t>monthly</t>
  </si>
  <si>
    <t>College years total</t>
  </si>
  <si>
    <t>Monthly at graduation</t>
  </si>
  <si>
    <t>Semester</t>
  </si>
  <si>
    <t>Total due</t>
  </si>
  <si>
    <t>Cost of living</t>
  </si>
  <si>
    <t>c</t>
  </si>
  <si>
    <t>Months after HS graduation</t>
  </si>
  <si>
    <t>Saved</t>
  </si>
  <si>
    <t>College wage</t>
  </si>
  <si>
    <t>C</t>
  </si>
  <si>
    <t>Months until college graduation</t>
  </si>
  <si>
    <t>Lending flag</t>
  </si>
  <si>
    <t>No college wage</t>
  </si>
  <si>
    <t>College Track</t>
  </si>
  <si>
    <t>Non College Track</t>
  </si>
  <si>
    <t>Non college</t>
  </si>
  <si>
    <t>Term</t>
  </si>
  <si>
    <t>Term name</t>
  </si>
  <si>
    <t>Scholarships &amp; grants</t>
  </si>
  <si>
    <t>Tuition</t>
  </si>
  <si>
    <t>Total borrowed</t>
  </si>
  <si>
    <t>Principal plus interest at graduation</t>
  </si>
  <si>
    <t>Non-college adjustment to earnings</t>
  </si>
  <si>
    <t>Estimated Income Tax Rate</t>
  </si>
  <si>
    <t>After tax earnings</t>
  </si>
  <si>
    <t>Savings</t>
  </si>
  <si>
    <t>Savings plus interest</t>
  </si>
  <si>
    <t>Loan amount</t>
  </si>
  <si>
    <t>Loan limit</t>
  </si>
  <si>
    <t>Lending limit flag</t>
  </si>
  <si>
    <t>Years exceeded lending limit</t>
  </si>
  <si>
    <t>Exceeds federal lending limit</t>
  </si>
  <si>
    <t>Cost of living per month</t>
  </si>
  <si>
    <t>Inflation adjusted BT earning estimate</t>
  </si>
  <si>
    <t>Only if quarter terms are selected:</t>
  </si>
  <si>
    <t>x</t>
  </si>
  <si>
    <t>t</t>
  </si>
  <si>
    <t>Working months after graduation</t>
  </si>
  <si>
    <t>T</t>
  </si>
  <si>
    <t>Amount at T-C</t>
  </si>
  <si>
    <t>Sum at T</t>
  </si>
  <si>
    <t>Principal</t>
  </si>
  <si>
    <t>Interest</t>
  </si>
  <si>
    <t>Balance of College Loans</t>
  </si>
  <si>
    <t>Adjustment</t>
  </si>
  <si>
    <t>Tax Rate</t>
  </si>
  <si>
    <t>Monthly Raw</t>
  </si>
  <si>
    <t>Discretionary</t>
  </si>
  <si>
    <t>Discounted $</t>
  </si>
  <si>
    <t>Other Identification</t>
  </si>
  <si>
    <t>Year of high school graduation</t>
  </si>
  <si>
    <t>Cash 'n' Careers: Valuation of Human Capital</t>
  </si>
  <si>
    <t>Quarter</t>
  </si>
  <si>
    <t>is planning to "Strike Gold"</t>
  </si>
  <si>
    <t xml:space="preserve">This worksheet provides monthly values including the amoritzed student loan schedule. The final output values shown in the Career Comparison sheet can be reassigned based on career estimates from this sheet. </t>
  </si>
  <si>
    <t>Copyright © 2018 Matthew M. Ross. All Rights Reserved.</t>
  </si>
  <si>
    <t>Minimum Cost of Living Budget Estimates</t>
  </si>
  <si>
    <t>Cost of Living is an important but difficult figure to estimate. It will vary over time, location, and with living situation. To simplify the model, we assume costs for only the user with no dependants. The goal is to compare one career track with another so the discretionary income can be used for living expenses beyond basic neccessities for the individual identified on the first sheet.</t>
  </si>
  <si>
    <t>Food</t>
  </si>
  <si>
    <t>Housing</t>
  </si>
  <si>
    <t>Transportation</t>
  </si>
  <si>
    <t>Category</t>
  </si>
  <si>
    <t>Annual</t>
  </si>
  <si>
    <t>Total</t>
  </si>
  <si>
    <t>Twelve-Month Academic Year</t>
  </si>
  <si>
    <t>Low Budget Academic Year</t>
  </si>
  <si>
    <t>Federal Poverty Level</t>
  </si>
  <si>
    <t>Child care</t>
  </si>
  <si>
    <t>Health Care</t>
  </si>
  <si>
    <t>Taxes</t>
  </si>
  <si>
    <t>Other Necessities</t>
  </si>
  <si>
    <t>Monthly</t>
  </si>
  <si>
    <t>Annual tuition</t>
  </si>
  <si>
    <t>Student loans</t>
  </si>
  <si>
    <t>Maximu tax within bracket</t>
  </si>
  <si>
    <t>Cash 'n' Careers</t>
  </si>
  <si>
    <t>Government policy impacts key variables in the Cash 'n' Careers model. Some of these projections can be adjusted on this worksheet. The Federal Reserve System controls the rate of inflation. The US Congress and the US Department of Education impact how much the tuition rate increases depart from inflation. They also determine student loan subsidies. The US Congress also dictates effective tax rates which are estimated near the bottom of the page. This model includes many simplifying assumptions. For example, the annual student loan interest rate deduction (cell H28) is determined using the initial year of loan payments. While this overestimates annual tax deductions for student loans in future years, college graduates are more likely to have greater home loan interest tax deductions. This model implicitly assumes the student loan tax deduction overestimate negates the home loan interest tax deduction underestimate.</t>
  </si>
  <si>
    <t>Discount rate (time preference)</t>
  </si>
  <si>
    <t>Cost of Living</t>
  </si>
  <si>
    <t>Months after college</t>
  </si>
  <si>
    <t xml:space="preserve">This worksheet provides estimates for a semester or quarter schedule during college years assuming no classes or tuition during the summer terms. This schedule can be manually adjusted to create an individualized college schedule. </t>
  </si>
  <si>
    <t>Annual tuition (lower division)</t>
  </si>
  <si>
    <t>Months in lower division</t>
  </si>
  <si>
    <r>
      <t>term(m</t>
    </r>
    <r>
      <rPr>
        <vertAlign val="subscript"/>
        <sz val="10"/>
        <color theme="1"/>
        <rFont val="Times New Roman"/>
        <family val="1"/>
      </rPr>
      <t>c</t>
    </r>
    <r>
      <rPr>
        <sz val="10"/>
        <color theme="1"/>
        <rFont val="Times New Roman"/>
        <family val="1"/>
      </rPr>
      <t>)</t>
    </r>
  </si>
  <si>
    <t>Starting Row</t>
  </si>
  <si>
    <t>Term selection</t>
  </si>
  <si>
    <t>Per year</t>
  </si>
  <si>
    <t>Supplementary worksheet parameters</t>
  </si>
  <si>
    <t>Annual Cost of Living Estimates</t>
  </si>
  <si>
    <t>Panel A: Career Comparison</t>
  </si>
  <si>
    <t>Parameter</t>
  </si>
  <si>
    <t>Variable</t>
  </si>
  <si>
    <t>Default Value</t>
  </si>
  <si>
    <t>Source</t>
  </si>
  <si>
    <t>Specific</t>
  </si>
  <si>
    <t>Notes</t>
  </si>
  <si>
    <t>Link to source</t>
  </si>
  <si>
    <t>N/A</t>
  </si>
  <si>
    <t>Median Bachelor 25-29</t>
  </si>
  <si>
    <t>Ma, Pender, and Welch (2016)</t>
  </si>
  <si>
    <t xml:space="preserve"> Figure 2.7</t>
  </si>
  <si>
    <t>Table lookup</t>
  </si>
  <si>
    <r>
      <t>I</t>
    </r>
    <r>
      <rPr>
        <i/>
        <vertAlign val="subscript"/>
        <sz val="11"/>
        <color theme="1"/>
        <rFont val="Times New Roman"/>
        <family val="1"/>
      </rPr>
      <t>A,0</t>
    </r>
  </si>
  <si>
    <t>https://nces.ed.gov/fastfacts/display.asp?id=77</t>
  </si>
  <si>
    <t>Median HS diploma 25-29</t>
  </si>
  <si>
    <r>
      <t>I</t>
    </r>
    <r>
      <rPr>
        <i/>
        <vertAlign val="subscript"/>
        <sz val="11"/>
        <color theme="1"/>
        <rFont val="Times New Roman"/>
        <family val="1"/>
      </rPr>
      <t>B,0</t>
    </r>
  </si>
  <si>
    <r>
      <t>L</t>
    </r>
    <r>
      <rPr>
        <i/>
        <vertAlign val="subscript"/>
        <sz val="11"/>
        <color theme="1"/>
        <rFont val="Times New Roman"/>
        <family val="1"/>
      </rPr>
      <t>0</t>
    </r>
  </si>
  <si>
    <t>Living Expense Budgets (2016)</t>
  </si>
  <si>
    <r>
      <t>G</t>
    </r>
    <r>
      <rPr>
        <i/>
        <vertAlign val="subscript"/>
        <sz val="11"/>
        <color theme="1"/>
        <rFont val="Times New Roman"/>
        <family val="1"/>
      </rPr>
      <t>0</t>
    </r>
  </si>
  <si>
    <t>Wightman, Schoeni, and Robinson (2012)</t>
  </si>
  <si>
    <t>7500*(1+.02)^8</t>
  </si>
  <si>
    <r>
      <t>W</t>
    </r>
    <r>
      <rPr>
        <i/>
        <vertAlign val="subscript"/>
        <sz val="11"/>
        <color theme="1"/>
        <rFont val="Times New Roman"/>
        <family val="1"/>
      </rPr>
      <t>A</t>
    </r>
    <r>
      <rPr>
        <i/>
        <sz val="11"/>
        <color theme="1"/>
        <rFont val="Times New Roman"/>
        <family val="1"/>
      </rPr>
      <t>,</t>
    </r>
    <r>
      <rPr>
        <i/>
        <vertAlign val="subscript"/>
        <sz val="11"/>
        <color theme="1"/>
        <rFont val="Times New Roman"/>
        <family val="1"/>
      </rPr>
      <t>0</t>
    </r>
  </si>
  <si>
    <t>US Department of Labor (2016a)</t>
  </si>
  <si>
    <r>
      <t>S</t>
    </r>
    <r>
      <rPr>
        <i/>
        <vertAlign val="subscript"/>
        <sz val="11"/>
        <color theme="1"/>
        <rFont val="Times New Roman"/>
        <family val="1"/>
      </rPr>
      <t>A</t>
    </r>
    <r>
      <rPr>
        <i/>
        <sz val="11"/>
        <color theme="1"/>
        <rFont val="Times New Roman"/>
        <family val="1"/>
      </rPr>
      <t>,</t>
    </r>
    <r>
      <rPr>
        <i/>
        <vertAlign val="subscript"/>
        <sz val="11"/>
        <color theme="1"/>
        <rFont val="Times New Roman"/>
        <family val="1"/>
      </rPr>
      <t>0</t>
    </r>
  </si>
  <si>
    <t>Trends in Student Aid (2016)</t>
  </si>
  <si>
    <t>Table 3</t>
  </si>
  <si>
    <t>Trends in College Pricing (2016)</t>
  </si>
  <si>
    <t>Table 2</t>
  </si>
  <si>
    <t>College Board (2016a)</t>
  </si>
  <si>
    <t>College Measures (2016)</t>
  </si>
  <si>
    <t>Cataldi et al. (2011)</t>
  </si>
  <si>
    <t>Terms per year</t>
  </si>
  <si>
    <r>
      <t>m</t>
    </r>
    <r>
      <rPr>
        <i/>
        <vertAlign val="subscript"/>
        <sz val="11"/>
        <color theme="1"/>
        <rFont val="Times New Roman"/>
        <family val="1"/>
      </rPr>
      <t>C</t>
    </r>
  </si>
  <si>
    <t>Davis (1972)</t>
  </si>
  <si>
    <t>US Department of Education (2016b)</t>
  </si>
  <si>
    <t>Estimated discount rate</t>
  </si>
  <si>
    <t>d</t>
  </si>
  <si>
    <r>
      <t>h</t>
    </r>
    <r>
      <rPr>
        <i/>
        <vertAlign val="subscript"/>
        <sz val="11"/>
        <color theme="1"/>
        <rFont val="Times New Roman"/>
        <family val="1"/>
      </rPr>
      <t>C</t>
    </r>
  </si>
  <si>
    <t>h</t>
  </si>
  <si>
    <t>University of Michigan (2017)</t>
  </si>
  <si>
    <t>r</t>
  </si>
  <si>
    <t>US Department of Education (2016a)</t>
  </si>
  <si>
    <r>
      <t>T</t>
    </r>
    <r>
      <rPr>
        <i/>
        <vertAlign val="subscript"/>
        <sz val="11"/>
        <color theme="1"/>
        <rFont val="Times New Roman"/>
        <family val="1"/>
      </rPr>
      <t>D</t>
    </r>
  </si>
  <si>
    <t>Pomerleau (2016)</t>
  </si>
  <si>
    <r>
      <t>T</t>
    </r>
    <r>
      <rPr>
        <i/>
        <vertAlign val="subscript"/>
        <sz val="11"/>
        <color theme="1"/>
        <rFont val="Times New Roman"/>
        <family val="1"/>
      </rPr>
      <t>E</t>
    </r>
  </si>
  <si>
    <r>
      <t>TR</t>
    </r>
    <r>
      <rPr>
        <i/>
        <vertAlign val="subscript"/>
        <sz val="11"/>
        <color theme="1"/>
        <rFont val="Times New Roman"/>
        <family val="1"/>
      </rPr>
      <t>M</t>
    </r>
  </si>
  <si>
    <t>Progressive, 0% to 39.6%</t>
  </si>
  <si>
    <r>
      <t>TR</t>
    </r>
    <r>
      <rPr>
        <i/>
        <vertAlign val="subscript"/>
        <sz val="11"/>
        <color theme="1"/>
        <rFont val="Times New Roman"/>
        <family val="1"/>
      </rPr>
      <t>SS</t>
    </r>
  </si>
  <si>
    <t>Internal Revenue Service (2016)</t>
  </si>
  <si>
    <t>Social Security Cap</t>
  </si>
  <si>
    <r>
      <t>TC</t>
    </r>
    <r>
      <rPr>
        <i/>
        <vertAlign val="subscript"/>
        <sz val="11"/>
        <color theme="1"/>
        <rFont val="Times New Roman"/>
        <family val="1"/>
      </rPr>
      <t>SS</t>
    </r>
  </si>
  <si>
    <r>
      <t>TR</t>
    </r>
    <r>
      <rPr>
        <i/>
        <vertAlign val="subscript"/>
        <sz val="11"/>
        <color theme="1"/>
        <rFont val="Times New Roman"/>
        <family val="1"/>
      </rPr>
      <t>M,1</t>
    </r>
  </si>
  <si>
    <t>Additional Medicare Cap</t>
  </si>
  <si>
    <r>
      <t>TC</t>
    </r>
    <r>
      <rPr>
        <i/>
        <vertAlign val="subscript"/>
        <sz val="11"/>
        <color theme="1"/>
        <rFont val="Times New Roman"/>
        <family val="1"/>
      </rPr>
      <t>M,1</t>
    </r>
  </si>
  <si>
    <r>
      <t>TR</t>
    </r>
    <r>
      <rPr>
        <i/>
        <vertAlign val="subscript"/>
        <sz val="11"/>
        <color theme="1"/>
        <rFont val="Times New Roman"/>
        <family val="1"/>
      </rPr>
      <t>M,2</t>
    </r>
  </si>
  <si>
    <r>
      <t>T</t>
    </r>
    <r>
      <rPr>
        <i/>
        <vertAlign val="subscript"/>
        <sz val="11"/>
        <color theme="1"/>
        <rFont val="Times New Roman"/>
        <family val="1"/>
      </rPr>
      <t>S</t>
    </r>
  </si>
  <si>
    <t>Scarboro (2017)</t>
  </si>
  <si>
    <r>
      <t>T</t>
    </r>
    <r>
      <rPr>
        <i/>
        <vertAlign val="subscript"/>
        <sz val="11"/>
        <color theme="1"/>
        <rFont val="Times New Roman"/>
        <family val="1"/>
      </rPr>
      <t>L</t>
    </r>
  </si>
  <si>
    <t>Moreno (2017)</t>
  </si>
  <si>
    <t>Other values</t>
  </si>
  <si>
    <t>Mean debt at graduation</t>
  </si>
  <si>
    <t>Cochrane and Cheng (2016)</t>
  </si>
  <si>
    <t>Ross and DeMello (2017)</t>
  </si>
  <si>
    <t>Bronco information</t>
  </si>
  <si>
    <t>Western Michigan University (2016)</t>
  </si>
  <si>
    <t>Table 2: Examples</t>
  </si>
  <si>
    <t>This table provides examples comparing selected college vs. non-college career paths. Annual income is the Bureau of Labor Statistics or research indicated figure. Columns titled "Assets at graduation" and "Net Present Value" are based on the model default settings shown in Table 1.</t>
  </si>
  <si>
    <t>Track</t>
  </si>
  <si>
    <t>Job Title</t>
  </si>
  <si>
    <t>Annual Income</t>
  </si>
  <si>
    <t>Assets at graduation</t>
  </si>
  <si>
    <t>Net Present Value</t>
  </si>
  <si>
    <t>Average</t>
  </si>
  <si>
    <t>Table 1</t>
  </si>
  <si>
    <t>Non-college</t>
  </si>
  <si>
    <t>Difference</t>
  </si>
  <si>
    <t>Healthcare</t>
  </si>
  <si>
    <t>Nurse (RN)</t>
  </si>
  <si>
    <t>http://www.bls.gov/ooh/healthcare/registered-nurses.htm</t>
  </si>
  <si>
    <t>Pharmacy Technician</t>
  </si>
  <si>
    <t>https://www.bls.gov/ooh/healthcare/pharmacy-technicians.htm</t>
  </si>
  <si>
    <t>Finance</t>
  </si>
  <si>
    <t>Financial Analyst</t>
  </si>
  <si>
    <t>http://www.bls.gov/ooh/business-and-financial/financial-analysts.htm</t>
  </si>
  <si>
    <t>Bank Teller</t>
  </si>
  <si>
    <t>http://www.bls.gov/ooh/office-and-administrative-support/mobile/tellers.htm</t>
  </si>
  <si>
    <t>Hazard Mitigation</t>
  </si>
  <si>
    <t>Substance Abuse Counselor</t>
  </si>
  <si>
    <t>https://www.bls.gov/ooh/community-and-social-service/substance-abuse-and-behavioral-disorder-counselors.htm</t>
  </si>
  <si>
    <t>Safety Technician</t>
  </si>
  <si>
    <t>https://www.bls.gov/ooh/healthcare/occupational-health-and-safety-technicians.htm</t>
  </si>
  <si>
    <t>2*inflation</t>
  </si>
  <si>
    <t>Maximum repay schedule</t>
  </si>
  <si>
    <t>Most use semester schedule</t>
  </si>
  <si>
    <t>From paper</t>
  </si>
  <si>
    <t>From website</t>
  </si>
  <si>
    <t>Federal Reserve (2017)</t>
  </si>
  <si>
    <t>Lookup</t>
  </si>
  <si>
    <t>Select Michigan</t>
  </si>
  <si>
    <t>Select no city tax</t>
  </si>
  <si>
    <t>Annual cost of living</t>
  </si>
  <si>
    <t>Panel B: Government Figures, Cost of Living, College Schedule, and Career Schedule</t>
  </si>
  <si>
    <t>Average $30100 in 2015 scaled by 3.5% for 6 years</t>
  </si>
  <si>
    <t>Lookup moderate budget</t>
  </si>
  <si>
    <t>$8394 is the undergrad average scaled by 2% for two years</t>
  </si>
  <si>
    <t>Table lookup scaled by 2% for a year</t>
  </si>
  <si>
    <t>10*900</t>
  </si>
  <si>
    <r>
      <t>CT</t>
    </r>
    <r>
      <rPr>
        <i/>
        <vertAlign val="subscript"/>
        <sz val="11"/>
        <color theme="1"/>
        <rFont val="Times New Roman"/>
        <family val="1"/>
      </rPr>
      <t>A</t>
    </r>
    <r>
      <rPr>
        <i/>
        <sz val="11"/>
        <color theme="1"/>
        <rFont val="Times New Roman"/>
        <family val="1"/>
      </rPr>
      <t>,</t>
    </r>
    <r>
      <rPr>
        <i/>
        <vertAlign val="subscript"/>
        <sz val="11"/>
        <color theme="1"/>
        <rFont val="Times New Roman"/>
        <family val="1"/>
      </rPr>
      <t>c</t>
    </r>
  </si>
  <si>
    <t>Table 1: 2017 Model Parameters</t>
  </si>
  <si>
    <r>
      <t xml:space="preserve">Table 1 provides the 2017 model parameters, variable names, default values, and sources. The default value is based on the stated source where numberical values are scaled by inflation, </t>
    </r>
    <r>
      <rPr>
        <i/>
        <sz val="11"/>
        <color theme="1"/>
        <rFont val="Times New Roman"/>
        <family val="1"/>
      </rPr>
      <t>h</t>
    </r>
    <r>
      <rPr>
        <sz val="11"/>
        <color theme="1"/>
        <rFont val="Times New Roman"/>
        <family val="1"/>
      </rPr>
      <t>, except college tuition, CT</t>
    </r>
    <r>
      <rPr>
        <vertAlign val="subscript"/>
        <sz val="11"/>
        <color theme="1"/>
        <rFont val="Times New Roman"/>
        <family val="1"/>
      </rPr>
      <t>A</t>
    </r>
    <r>
      <rPr>
        <sz val="11"/>
        <color theme="1"/>
        <rFont val="Times New Roman"/>
        <family val="1"/>
      </rPr>
      <t>, which is scaled by the annual tuition increase, h</t>
    </r>
    <r>
      <rPr>
        <vertAlign val="subscript"/>
        <sz val="11"/>
        <color theme="1"/>
        <rFont val="Times New Roman"/>
        <family val="1"/>
      </rPr>
      <t>C</t>
    </r>
    <r>
      <rPr>
        <sz val="11"/>
        <color theme="1"/>
        <rFont val="Times New Roman"/>
        <family val="1"/>
      </rPr>
      <t>.</t>
    </r>
  </si>
  <si>
    <t>College-Track</t>
  </si>
  <si>
    <t>Pay-per-year:</t>
  </si>
  <si>
    <t>Non-College-Track</t>
  </si>
  <si>
    <t>Expected college graduation date net wealth estimate.</t>
  </si>
  <si>
    <t>months</t>
  </si>
  <si>
    <t>Post-College Comparison:</t>
  </si>
  <si>
    <t>Months of loan after graduation</t>
  </si>
  <si>
    <t>Alternative source</t>
  </si>
  <si>
    <t xml:space="preserve">The semester is used by about 70% of colleges. The source was not confirmed. </t>
  </si>
  <si>
    <t>Career Comparison worksheet calculation</t>
  </si>
  <si>
    <t>Minimum</t>
  </si>
  <si>
    <t>No-debt</t>
  </si>
  <si>
    <t>Panel A: General Scenarios</t>
  </si>
  <si>
    <t>Subsistence Level Income</t>
  </si>
  <si>
    <t>Panel B: Specific Scenarios</t>
  </si>
  <si>
    <t>Spreadsheet password</t>
  </si>
  <si>
    <t>cashandcareers</t>
  </si>
  <si>
    <r>
      <t>F</t>
    </r>
    <r>
      <rPr>
        <i/>
        <vertAlign val="subscript"/>
        <sz val="11"/>
        <color theme="1"/>
        <rFont val="Times New Roman"/>
        <family val="1"/>
      </rPr>
      <t>A</t>
    </r>
  </si>
  <si>
    <t>Loan Repayment Months</t>
  </si>
  <si>
    <t>P</t>
  </si>
  <si>
    <t>Department of Education Repayment periods</t>
  </si>
  <si>
    <t>Years</t>
  </si>
  <si>
    <t>Less Than</t>
  </si>
  <si>
    <t>At Least</t>
  </si>
  <si>
    <t>Repayment Months</t>
  </si>
  <si>
    <t>Age 62 is the earliest for benefits.</t>
  </si>
  <si>
    <t>Social Security Administration (2017)</t>
  </si>
  <si>
    <t>Multiple worksheet edits (Career comparison and career schedule)</t>
  </si>
  <si>
    <t>Crossover Point</t>
  </si>
  <si>
    <t>exceeds federal loan limits</t>
  </si>
  <si>
    <t>12.8% Discount Rate</t>
  </si>
  <si>
    <t>Break-even Salary</t>
  </si>
  <si>
    <t>Break-even Debt</t>
  </si>
  <si>
    <t>$44,100 is the average from 2010-2014 in 2014 dollars, scale at 2% for 4 years</t>
  </si>
  <si>
    <t>$28600 is the average from 2010-2014 in 2014 dollars, scale at 2% for 4 years</t>
  </si>
  <si>
    <t>Working paper</t>
  </si>
  <si>
    <t>Wage rate</t>
  </si>
  <si>
    <t>College Board pay</t>
  </si>
  <si>
    <t>College Board aid</t>
  </si>
  <si>
    <t>College Board pricing</t>
  </si>
  <si>
    <t>Federal Reserve</t>
  </si>
  <si>
    <t>Student loan rates</t>
  </si>
  <si>
    <t>Tax brackets</t>
  </si>
  <si>
    <t>Social programs</t>
  </si>
  <si>
    <t>Michigan rates</t>
  </si>
  <si>
    <t>City tax</t>
  </si>
  <si>
    <t>College Board living expense</t>
  </si>
  <si>
    <t>Time to graduation</t>
  </si>
  <si>
    <t>Student loan repayment</t>
  </si>
  <si>
    <t>Working lifetime</t>
  </si>
  <si>
    <t>College Board costs</t>
  </si>
  <si>
    <t>Academic terms</t>
  </si>
  <si>
    <t>Inflation history</t>
  </si>
  <si>
    <t>Link to alternative source</t>
  </si>
  <si>
    <t>Michigan college cost table</t>
  </si>
  <si>
    <t>Academic paper</t>
  </si>
  <si>
    <t>WMU Facts</t>
  </si>
  <si>
    <t>Warner and Pleeter (2001)</t>
  </si>
  <si>
    <t>American Economic Review article</t>
  </si>
  <si>
    <t>Fname</t>
  </si>
  <si>
    <t>Test</t>
  </si>
  <si>
    <t>Lname</t>
  </si>
  <si>
    <t>Last</t>
  </si>
  <si>
    <t>ColName</t>
  </si>
  <si>
    <t>WMU</t>
  </si>
  <si>
    <t>High School Diploma</t>
  </si>
  <si>
    <t>ColPay</t>
  </si>
  <si>
    <t>noColPay</t>
  </si>
  <si>
    <t>partTimeWork</t>
  </si>
  <si>
    <t>gifts</t>
  </si>
  <si>
    <t>scholarships</t>
  </si>
  <si>
    <t>tuition</t>
  </si>
  <si>
    <t>studentloan</t>
  </si>
  <si>
    <t>savings</t>
  </si>
  <si>
    <t>loanBal</t>
  </si>
  <si>
    <t>monthlyPayment</t>
  </si>
  <si>
    <t>colMonthlyRaw</t>
  </si>
  <si>
    <t>colNPV</t>
  </si>
  <si>
    <t>HSMonthlyRaw</t>
  </si>
  <si>
    <t>HSInitMonthlyDisc</t>
  </si>
  <si>
    <t>HSLifetimeDisc</t>
  </si>
  <si>
    <t>HSNPV</t>
  </si>
  <si>
    <t>colInitMonthlyDisc</t>
  </si>
  <si>
    <t>colLifetimeDisc</t>
  </si>
  <si>
    <t>DiffMonthly</t>
  </si>
  <si>
    <t>DiffInitMonthly</t>
  </si>
  <si>
    <t>DiffLifetime</t>
  </si>
  <si>
    <t>DiffNPV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</si>
</sst>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quot;$&quot;#,##0"/>
    <numFmt numFmtId="166" formatCode="0.000"/>
    <numFmt numFmtId="167" formatCode="&quot;$&quot;#,##0.00"/>
  </numFmts>
  <fonts count="29" x14ac:knownFonts="1">
    <font>
      <sz val="11"/>
      <color theme="1"/>
      <name val="Calibri"/>
      <family val="2"/>
      <scheme val="minor"/>
    </font>
    <font>
      <sz val="11"/>
      <color theme="1"/>
      <name val="Calibri"/>
      <family val="2"/>
      <scheme val="minor"/>
    </font>
    <font>
      <sz val="11"/>
      <color theme="1"/>
      <name val="Times New Roman"/>
      <family val="1"/>
    </font>
    <font>
      <u/>
      <sz val="11"/>
      <color theme="10"/>
      <name val="Calibri"/>
      <family val="2"/>
      <scheme val="minor"/>
    </font>
    <font>
      <sz val="11"/>
      <name val="Arial"/>
      <family val="2"/>
    </font>
    <font>
      <sz val="11"/>
      <color indexed="8"/>
      <name val="Times New Roman"/>
      <family val="1"/>
    </font>
    <font>
      <b/>
      <sz val="11"/>
      <color indexed="8"/>
      <name val="Times New Roman"/>
      <family val="1"/>
    </font>
    <font>
      <b/>
      <sz val="11"/>
      <name val="Times New Roman"/>
      <family val="1"/>
    </font>
    <font>
      <u/>
      <sz val="11"/>
      <color theme="10"/>
      <name val="Times New Roman"/>
      <family val="1"/>
    </font>
    <font>
      <b/>
      <sz val="11"/>
      <color theme="1"/>
      <name val="Times New Roman"/>
      <family val="1"/>
    </font>
    <font>
      <sz val="11"/>
      <name val="Times New Roman"/>
      <family val="1"/>
    </font>
    <font>
      <b/>
      <sz val="18"/>
      <color theme="1"/>
      <name val="Times New Roman"/>
      <family val="1"/>
    </font>
    <font>
      <sz val="12"/>
      <color theme="1"/>
      <name val="Times New Roman"/>
      <family val="1"/>
    </font>
    <font>
      <sz val="22"/>
      <color theme="1"/>
      <name val="Times New Roman"/>
      <family val="1"/>
    </font>
    <font>
      <sz val="22"/>
      <color indexed="8"/>
      <name val="Times New Roman"/>
      <family val="1"/>
    </font>
    <font>
      <b/>
      <sz val="22"/>
      <name val="Times New Roman"/>
      <family val="1"/>
    </font>
    <font>
      <sz val="22"/>
      <name val="Times New Roman"/>
      <family val="1"/>
    </font>
    <font>
      <sz val="9"/>
      <color indexed="81"/>
      <name val="Tahoma"/>
      <family val="2"/>
    </font>
    <font>
      <b/>
      <sz val="9"/>
      <color indexed="81"/>
      <name val="Tahoma"/>
      <family val="2"/>
    </font>
    <font>
      <vertAlign val="subscript"/>
      <sz val="11"/>
      <color theme="1"/>
      <name val="Times New Roman"/>
      <family val="1"/>
    </font>
    <font>
      <b/>
      <sz val="20"/>
      <color theme="1"/>
      <name val="Times New Roman"/>
      <family val="1"/>
    </font>
    <font>
      <sz val="11"/>
      <color rgb="FFFF0000"/>
      <name val="Times New Roman"/>
      <family val="1"/>
    </font>
    <font>
      <sz val="10"/>
      <color theme="1"/>
      <name val="Times New Roman"/>
      <family val="1"/>
    </font>
    <font>
      <b/>
      <sz val="10"/>
      <color theme="1"/>
      <name val="Times New Roman"/>
      <family val="1"/>
    </font>
    <font>
      <u/>
      <sz val="10"/>
      <color theme="10"/>
      <name val="Times New Roman"/>
      <family val="1"/>
    </font>
    <font>
      <u/>
      <sz val="10"/>
      <color theme="10"/>
      <name val="Calibri"/>
      <family val="2"/>
      <scheme val="minor"/>
    </font>
    <font>
      <vertAlign val="subscript"/>
      <sz val="10"/>
      <color theme="1"/>
      <name val="Times New Roman"/>
      <family val="1"/>
    </font>
    <font>
      <i/>
      <sz val="11"/>
      <color theme="1"/>
      <name val="Times New Roman"/>
      <family val="1"/>
    </font>
    <font>
      <i/>
      <vertAlign val="subscript"/>
      <sz val="11"/>
      <color theme="1"/>
      <name val="Times New Roman"/>
      <family val="1"/>
    </font>
  </fonts>
  <fills count="9">
    <fill>
      <patternFill patternType="none"/>
    </fill>
    <fill>
      <patternFill patternType="gray125"/>
    </fill>
    <fill>
      <patternFill patternType="solid">
        <fgColor indexed="21"/>
      </patternFill>
    </fill>
    <fill>
      <patternFill patternType="solid">
        <fgColor theme="0"/>
        <bgColor indexed="64"/>
      </patternFill>
    </fill>
    <fill>
      <patternFill patternType="solid">
        <fgColor theme="6" tint="0.39997558519241921"/>
        <bgColor indexed="64"/>
      </patternFill>
    </fill>
    <fill>
      <patternFill patternType="solid">
        <fgColor rgb="FFDDDDDD"/>
        <bgColor indexed="64"/>
      </patternFill>
    </fill>
    <fill>
      <patternFill patternType="solid">
        <fgColor rgb="FFFF9900"/>
        <bgColor indexed="64"/>
      </patternFill>
    </fill>
    <fill>
      <patternFill patternType="solid">
        <fgColor rgb="FFB2B2B2"/>
        <bgColor indexed="64"/>
      </patternFill>
    </fill>
    <fill>
      <patternFill patternType="solid">
        <fgColor rgb="FFFF99FF"/>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2" borderId="0"/>
    <xf numFmtId="43" fontId="1" fillId="0" borderId="0" applyFont="0" applyFill="0" applyBorder="0" applyAlignment="0" applyProtection="0"/>
  </cellStyleXfs>
  <cellXfs count="401">
    <xf numFmtId="0" fontId="0" fillId="0" borderId="0" xfId="0"/>
    <xf numFmtId="44" fontId="2" fillId="0" borderId="0" xfId="1" applyFont="1"/>
    <xf numFmtId="0" fontId="2" fillId="0" borderId="0" xfId="0" applyFont="1"/>
    <xf numFmtId="0" fontId="2" fillId="0" borderId="0" xfId="0" applyFont="1" applyFill="1" applyBorder="1"/>
    <xf numFmtId="44" fontId="2" fillId="0" borderId="0" xfId="1" applyFont="1" applyBorder="1"/>
    <xf numFmtId="0" fontId="2" fillId="0" borderId="0" xfId="0" applyFont="1" applyBorder="1"/>
    <xf numFmtId="44" fontId="2" fillId="0" borderId="0" xfId="1" applyFont="1" applyFill="1" applyBorder="1"/>
    <xf numFmtId="0" fontId="2" fillId="0" borderId="0" xfId="0" applyFont="1" applyFill="1"/>
    <xf numFmtId="0" fontId="2" fillId="3" borderId="0" xfId="0" applyFont="1" applyFill="1"/>
    <xf numFmtId="44" fontId="2" fillId="3" borderId="0" xfId="1" applyFont="1" applyFill="1"/>
    <xf numFmtId="0" fontId="10" fillId="3" borderId="0" xfId="0" applyFont="1" applyFill="1"/>
    <xf numFmtId="0" fontId="10" fillId="0" borderId="0" xfId="0" applyFont="1" applyFill="1"/>
    <xf numFmtId="44" fontId="2" fillId="0" borderId="0" xfId="0" applyNumberFormat="1" applyFont="1"/>
    <xf numFmtId="44" fontId="2" fillId="0" borderId="0" xfId="0" applyNumberFormat="1" applyFont="1" applyAlignment="1"/>
    <xf numFmtId="0" fontId="13" fillId="3" borderId="0" xfId="0" applyFont="1" applyFill="1"/>
    <xf numFmtId="0" fontId="13" fillId="0" borderId="0" xfId="0" applyFont="1" applyFill="1"/>
    <xf numFmtId="0" fontId="16" fillId="0" borderId="0" xfId="0" applyFont="1" applyFill="1"/>
    <xf numFmtId="0" fontId="10" fillId="0" borderId="0" xfId="0" applyFont="1" applyFill="1" applyAlignment="1"/>
    <xf numFmtId="0" fontId="12" fillId="0" borderId="0" xfId="0" applyFont="1" applyFill="1" applyBorder="1" applyAlignment="1">
      <alignment vertical="top"/>
    </xf>
    <xf numFmtId="0" fontId="13" fillId="0" borderId="0" xfId="0" applyFont="1" applyFill="1" applyBorder="1" applyAlignment="1">
      <alignment vertical="top"/>
    </xf>
    <xf numFmtId="0" fontId="2" fillId="0" borderId="0" xfId="0" applyFont="1" applyFill="1" applyBorder="1" applyAlignment="1">
      <alignment vertical="top"/>
    </xf>
    <xf numFmtId="0" fontId="2" fillId="3" borderId="0" xfId="0" applyFont="1" applyFill="1" applyBorder="1"/>
    <xf numFmtId="44" fontId="2" fillId="3" borderId="0" xfId="1" applyFont="1" applyFill="1" applyBorder="1"/>
    <xf numFmtId="0" fontId="13" fillId="3" borderId="0" xfId="0" applyFont="1" applyFill="1" applyBorder="1"/>
    <xf numFmtId="0" fontId="13" fillId="0" borderId="0" xfId="0" applyFont="1" applyFill="1" applyBorder="1"/>
    <xf numFmtId="49" fontId="13" fillId="0" borderId="0" xfId="0" applyNumberFormat="1" applyFont="1" applyFill="1"/>
    <xf numFmtId="49" fontId="2" fillId="0" borderId="0" xfId="0" applyNumberFormat="1" applyFont="1" applyFill="1" applyAlignment="1">
      <alignment vertical="top"/>
    </xf>
    <xf numFmtId="49" fontId="2" fillId="0" borderId="0" xfId="0" applyNumberFormat="1" applyFont="1" applyFill="1"/>
    <xf numFmtId="49" fontId="2" fillId="0" borderId="0" xfId="0" applyNumberFormat="1" applyFont="1"/>
    <xf numFmtId="49" fontId="14" fillId="0" borderId="0" xfId="0" applyNumberFormat="1" applyFont="1" applyFill="1" applyProtection="1"/>
    <xf numFmtId="49" fontId="5" fillId="0" borderId="0" xfId="0" applyNumberFormat="1" applyFont="1" applyFill="1" applyProtection="1"/>
    <xf numFmtId="49" fontId="5" fillId="0" borderId="0" xfId="0" applyNumberFormat="1" applyFont="1" applyProtection="1"/>
    <xf numFmtId="49" fontId="2" fillId="3" borderId="0" xfId="0" applyNumberFormat="1" applyFont="1" applyFill="1"/>
    <xf numFmtId="49" fontId="2" fillId="0" borderId="0" xfId="0" applyNumberFormat="1" applyFont="1" applyBorder="1"/>
    <xf numFmtId="49" fontId="12" fillId="0" borderId="0" xfId="0" applyNumberFormat="1" applyFont="1" applyFill="1" applyBorder="1" applyAlignment="1">
      <alignment vertical="top"/>
    </xf>
    <xf numFmtId="49" fontId="15" fillId="0" borderId="0" xfId="0" applyNumberFormat="1" applyFont="1" applyFill="1"/>
    <xf numFmtId="49" fontId="7" fillId="0" borderId="0" xfId="0" applyNumberFormat="1" applyFont="1" applyFill="1"/>
    <xf numFmtId="49" fontId="7" fillId="3" borderId="0" xfId="0" applyNumberFormat="1" applyFont="1" applyFill="1"/>
    <xf numFmtId="49" fontId="16" fillId="0" borderId="0" xfId="0" applyNumberFormat="1" applyFont="1" applyFill="1"/>
    <xf numFmtId="49" fontId="10" fillId="0" borderId="0" xfId="0" applyNumberFormat="1" applyFont="1" applyFill="1"/>
    <xf numFmtId="49" fontId="10" fillId="0" borderId="0" xfId="0" applyNumberFormat="1" applyFont="1" applyFill="1" applyAlignment="1"/>
    <xf numFmtId="49" fontId="10" fillId="3" borderId="0" xfId="0" applyNumberFormat="1" applyFont="1" applyFill="1"/>
    <xf numFmtId="49" fontId="2" fillId="3" borderId="0" xfId="0" applyNumberFormat="1" applyFont="1" applyFill="1" applyBorder="1"/>
    <xf numFmtId="49" fontId="2" fillId="3" borderId="0" xfId="1" applyNumberFormat="1" applyFont="1" applyFill="1" applyBorder="1"/>
    <xf numFmtId="49" fontId="13" fillId="3" borderId="0" xfId="0" applyNumberFormat="1" applyFont="1" applyFill="1" applyBorder="1"/>
    <xf numFmtId="49" fontId="13" fillId="0" borderId="0" xfId="0" applyNumberFormat="1" applyFont="1" applyFill="1" applyBorder="1"/>
    <xf numFmtId="49" fontId="13" fillId="0" borderId="0" xfId="0" applyNumberFormat="1" applyFont="1" applyFill="1" applyBorder="1" applyAlignment="1">
      <alignment vertical="top"/>
    </xf>
    <xf numFmtId="49" fontId="0" fillId="0" borderId="0" xfId="0" applyNumberFormat="1" applyFill="1" applyBorder="1" applyAlignment="1">
      <alignment vertical="top"/>
    </xf>
    <xf numFmtId="49" fontId="2" fillId="0" borderId="0" xfId="0" applyNumberFormat="1" applyFont="1" applyFill="1" applyBorder="1" applyAlignment="1">
      <alignment vertical="top"/>
    </xf>
    <xf numFmtId="49" fontId="2" fillId="0" borderId="0" xfId="0" applyNumberFormat="1" applyFont="1" applyFill="1" applyBorder="1"/>
    <xf numFmtId="49" fontId="9" fillId="0" borderId="0" xfId="0" applyNumberFormat="1" applyFont="1" applyFill="1" applyBorder="1" applyAlignment="1">
      <alignment vertical="top"/>
    </xf>
    <xf numFmtId="49" fontId="9" fillId="0" borderId="0" xfId="0" applyNumberFormat="1" applyFont="1" applyFill="1" applyBorder="1"/>
    <xf numFmtId="49" fontId="9" fillId="0" borderId="0" xfId="0" applyNumberFormat="1" applyFont="1" applyBorder="1"/>
    <xf numFmtId="0" fontId="2" fillId="0" borderId="0" xfId="0" applyFont="1" applyFill="1" applyAlignment="1">
      <alignment horizontal="center"/>
    </xf>
    <xf numFmtId="44" fontId="2" fillId="0" borderId="0" xfId="0" applyNumberFormat="1" applyFont="1" applyAlignment="1">
      <alignment horizontal="center"/>
    </xf>
    <xf numFmtId="0" fontId="20" fillId="0" borderId="0" xfId="0" applyFont="1"/>
    <xf numFmtId="44" fontId="2" fillId="0" borderId="0" xfId="0" applyNumberFormat="1" applyFont="1" applyFill="1" applyAlignment="1">
      <alignment horizontal="center"/>
    </xf>
    <xf numFmtId="0" fontId="11" fillId="0" borderId="0" xfId="0" applyFont="1" applyFill="1" applyBorder="1" applyAlignment="1">
      <alignment vertical="center"/>
    </xf>
    <xf numFmtId="44" fontId="2" fillId="0" borderId="0" xfId="1" applyFont="1" applyFill="1" applyBorder="1" applyAlignment="1">
      <alignment vertical="center"/>
    </xf>
    <xf numFmtId="0" fontId="2" fillId="0" borderId="0" xfId="0" applyFont="1" applyFill="1" applyBorder="1" applyAlignment="1">
      <alignment vertical="top" wrapText="1"/>
    </xf>
    <xf numFmtId="9" fontId="2" fillId="0" borderId="0" xfId="0" applyNumberFormat="1" applyFont="1"/>
    <xf numFmtId="10" fontId="2" fillId="0" borderId="0" xfId="0" applyNumberFormat="1" applyFont="1"/>
    <xf numFmtId="49" fontId="2" fillId="5" borderId="6" xfId="0" applyNumberFormat="1" applyFont="1" applyFill="1" applyBorder="1"/>
    <xf numFmtId="49" fontId="11" fillId="5" borderId="7" xfId="0" applyNumberFormat="1" applyFont="1" applyFill="1" applyBorder="1" applyAlignment="1">
      <alignment vertical="center"/>
    </xf>
    <xf numFmtId="49" fontId="2" fillId="5" borderId="8" xfId="0" applyNumberFormat="1" applyFont="1" applyFill="1" applyBorder="1"/>
    <xf numFmtId="49" fontId="2" fillId="5" borderId="0" xfId="0" applyNumberFormat="1" applyFont="1" applyFill="1" applyBorder="1" applyAlignment="1">
      <alignment vertical="center"/>
    </xf>
    <xf numFmtId="49" fontId="2" fillId="5" borderId="0" xfId="1" applyNumberFormat="1" applyFont="1" applyFill="1" applyBorder="1" applyAlignment="1">
      <alignment vertical="center"/>
    </xf>
    <xf numFmtId="49" fontId="2" fillId="5" borderId="9" xfId="1" applyNumberFormat="1" applyFont="1" applyFill="1" applyBorder="1"/>
    <xf numFmtId="49" fontId="5" fillId="5" borderId="8" xfId="0" applyNumberFormat="1" applyFont="1" applyFill="1" applyBorder="1" applyProtection="1"/>
    <xf numFmtId="49" fontId="5" fillId="5" borderId="9" xfId="0" applyNumberFormat="1" applyFont="1" applyFill="1" applyBorder="1" applyProtection="1"/>
    <xf numFmtId="49" fontId="5" fillId="5" borderId="0" xfId="4" applyNumberFormat="1" applyFont="1" applyFill="1" applyBorder="1" applyAlignment="1" applyProtection="1">
      <alignment vertical="center"/>
    </xf>
    <xf numFmtId="49" fontId="5" fillId="5" borderId="0" xfId="0" applyNumberFormat="1" applyFont="1" applyFill="1" applyBorder="1" applyAlignment="1" applyProtection="1">
      <alignment vertical="center"/>
    </xf>
    <xf numFmtId="49" fontId="2" fillId="5" borderId="0" xfId="1" applyNumberFormat="1" applyFont="1" applyFill="1" applyBorder="1" applyAlignment="1">
      <alignment horizontal="center" vertical="center"/>
    </xf>
    <xf numFmtId="49" fontId="10" fillId="5" borderId="0" xfId="3" applyNumberFormat="1" applyFont="1" applyFill="1" applyBorder="1" applyAlignment="1">
      <alignment vertical="center"/>
    </xf>
    <xf numFmtId="49" fontId="2" fillId="5" borderId="0" xfId="0" applyNumberFormat="1" applyFont="1" applyFill="1" applyBorder="1" applyAlignment="1">
      <alignment horizontal="center"/>
    </xf>
    <xf numFmtId="0" fontId="2" fillId="5" borderId="8" xfId="0" applyFont="1" applyFill="1" applyBorder="1"/>
    <xf numFmtId="44" fontId="2" fillId="5" borderId="0" xfId="1" applyFont="1" applyFill="1" applyBorder="1" applyAlignment="1">
      <alignment horizontal="center" vertical="center"/>
    </xf>
    <xf numFmtId="0" fontId="10" fillId="5" borderId="0" xfId="3" applyFont="1" applyFill="1" applyBorder="1" applyAlignment="1">
      <alignment vertical="center"/>
    </xf>
    <xf numFmtId="44" fontId="2" fillId="5" borderId="0" xfId="1" applyFont="1" applyFill="1" applyBorder="1" applyAlignment="1">
      <alignment vertical="center"/>
    </xf>
    <xf numFmtId="44" fontId="2" fillId="5" borderId="9" xfId="1" applyFont="1" applyFill="1" applyBorder="1"/>
    <xf numFmtId="0" fontId="2" fillId="5" borderId="0" xfId="1" applyNumberFormat="1" applyFont="1" applyFill="1" applyBorder="1" applyAlignment="1">
      <alignment horizontal="center" vertical="center"/>
    </xf>
    <xf numFmtId="0" fontId="2" fillId="5" borderId="0" xfId="1" applyNumberFormat="1" applyFont="1" applyFill="1" applyBorder="1" applyAlignment="1">
      <alignment horizontal="left" vertical="center"/>
    </xf>
    <xf numFmtId="0" fontId="2" fillId="5" borderId="0" xfId="0" applyFont="1" applyFill="1" applyBorder="1" applyAlignment="1">
      <alignment vertical="center"/>
    </xf>
    <xf numFmtId="0" fontId="9" fillId="5" borderId="0" xfId="1" applyNumberFormat="1" applyFont="1" applyFill="1" applyBorder="1" applyAlignment="1">
      <alignment horizontal="left" vertical="center"/>
    </xf>
    <xf numFmtId="0" fontId="9" fillId="5" borderId="0" xfId="1" applyNumberFormat="1" applyFont="1" applyFill="1" applyBorder="1" applyAlignment="1">
      <alignment vertical="center"/>
    </xf>
    <xf numFmtId="164" fontId="2" fillId="5" borderId="0" xfId="1" applyNumberFormat="1" applyFont="1" applyFill="1" applyBorder="1" applyAlignment="1">
      <alignment vertical="center"/>
    </xf>
    <xf numFmtId="49" fontId="10" fillId="5" borderId="0" xfId="0" applyNumberFormat="1" applyFont="1" applyFill="1" applyBorder="1" applyAlignment="1">
      <alignment vertical="center"/>
    </xf>
    <xf numFmtId="49" fontId="7" fillId="5" borderId="8" xfId="0" applyNumberFormat="1" applyFont="1" applyFill="1" applyBorder="1" applyAlignment="1">
      <alignment horizontal="center"/>
    </xf>
    <xf numFmtId="49" fontId="7" fillId="5" borderId="0" xfId="1" applyNumberFormat="1" applyFont="1" applyFill="1" applyBorder="1" applyAlignment="1">
      <alignment vertical="center"/>
    </xf>
    <xf numFmtId="49" fontId="7" fillId="5" borderId="0" xfId="0" applyNumberFormat="1" applyFont="1" applyFill="1" applyBorder="1" applyAlignment="1">
      <alignment vertical="center"/>
    </xf>
    <xf numFmtId="49" fontId="7" fillId="5" borderId="0" xfId="1" applyNumberFormat="1" applyFont="1" applyFill="1" applyBorder="1" applyAlignment="1">
      <alignment horizontal="center" vertical="center"/>
    </xf>
    <xf numFmtId="49" fontId="7" fillId="5" borderId="9" xfId="1" applyNumberFormat="1" applyFont="1" applyFill="1" applyBorder="1"/>
    <xf numFmtId="0" fontId="10" fillId="5" borderId="8" xfId="0" applyFont="1" applyFill="1" applyBorder="1"/>
    <xf numFmtId="0" fontId="10" fillId="5" borderId="0" xfId="0" applyFont="1" applyFill="1" applyBorder="1" applyAlignment="1">
      <alignment vertical="center"/>
    </xf>
    <xf numFmtId="44" fontId="10" fillId="5" borderId="0" xfId="1" applyFont="1" applyFill="1" applyBorder="1" applyAlignment="1">
      <alignment vertical="center"/>
    </xf>
    <xf numFmtId="44" fontId="10" fillId="5" borderId="9" xfId="1" applyFont="1" applyFill="1" applyBorder="1"/>
    <xf numFmtId="0" fontId="10" fillId="5" borderId="0" xfId="0" applyFont="1" applyFill="1" applyBorder="1" applyAlignment="1">
      <alignment horizontal="center" vertical="center"/>
    </xf>
    <xf numFmtId="44" fontId="10" fillId="5" borderId="0" xfId="3" applyNumberFormat="1" applyFont="1" applyFill="1" applyBorder="1" applyAlignment="1">
      <alignment vertical="center"/>
    </xf>
    <xf numFmtId="0" fontId="2" fillId="5" borderId="0" xfId="0" applyNumberFormat="1" applyFont="1" applyFill="1" applyBorder="1" applyAlignment="1">
      <alignment vertical="center"/>
    </xf>
    <xf numFmtId="49" fontId="10" fillId="5" borderId="8" xfId="0" applyNumberFormat="1" applyFont="1" applyFill="1" applyBorder="1"/>
    <xf numFmtId="49" fontId="10" fillId="5" borderId="9" xfId="1" applyNumberFormat="1" applyFont="1" applyFill="1" applyBorder="1"/>
    <xf numFmtId="0" fontId="2" fillId="5" borderId="9" xfId="0" applyNumberFormat="1" applyFont="1" applyFill="1" applyBorder="1" applyAlignment="1"/>
    <xf numFmtId="164" fontId="8" fillId="5" borderId="0" xfId="3" applyNumberFormat="1" applyFont="1" applyFill="1" applyBorder="1" applyAlignment="1">
      <alignment vertical="center"/>
    </xf>
    <xf numFmtId="0" fontId="8" fillId="5" borderId="0" xfId="3" applyFont="1" applyFill="1" applyBorder="1" applyAlignment="1">
      <alignment vertical="center"/>
    </xf>
    <xf numFmtId="164" fontId="2" fillId="5" borderId="0" xfId="0" applyNumberFormat="1" applyFont="1" applyFill="1" applyBorder="1" applyAlignment="1">
      <alignment vertical="center"/>
    </xf>
    <xf numFmtId="164" fontId="2" fillId="5" borderId="9" xfId="1" applyNumberFormat="1" applyFont="1" applyFill="1" applyBorder="1"/>
    <xf numFmtId="164" fontId="9" fillId="5" borderId="0" xfId="0" applyNumberFormat="1" applyFont="1" applyFill="1" applyBorder="1" applyAlignment="1">
      <alignment vertical="center"/>
    </xf>
    <xf numFmtId="0" fontId="2" fillId="5" borderId="10" xfId="0" applyFont="1" applyFill="1" applyBorder="1"/>
    <xf numFmtId="10" fontId="2" fillId="5" borderId="5" xfId="2" applyNumberFormat="1" applyFont="1" applyFill="1" applyBorder="1" applyAlignment="1">
      <alignment horizontal="center"/>
    </xf>
    <xf numFmtId="44" fontId="2" fillId="5" borderId="5" xfId="2" applyNumberFormat="1" applyFont="1" applyFill="1" applyBorder="1"/>
    <xf numFmtId="164" fontId="2" fillId="5" borderId="5" xfId="1" applyNumberFormat="1" applyFont="1" applyFill="1" applyBorder="1"/>
    <xf numFmtId="164" fontId="2" fillId="5" borderId="11" xfId="1" applyNumberFormat="1" applyFont="1" applyFill="1" applyBorder="1"/>
    <xf numFmtId="49" fontId="2" fillId="5" borderId="0" xfId="0" applyNumberFormat="1" applyFont="1" applyFill="1" applyBorder="1"/>
    <xf numFmtId="49" fontId="12" fillId="5" borderId="0" xfId="0" applyNumberFormat="1" applyFont="1" applyFill="1" applyBorder="1" applyAlignment="1">
      <alignment vertical="top"/>
    </xf>
    <xf numFmtId="49" fontId="9" fillId="5" borderId="0" xfId="0" applyNumberFormat="1" applyFont="1" applyFill="1" applyBorder="1"/>
    <xf numFmtId="49" fontId="2" fillId="5" borderId="0" xfId="1" applyNumberFormat="1" applyFont="1" applyFill="1" applyBorder="1"/>
    <xf numFmtId="49" fontId="13" fillId="5" borderId="0" xfId="0" applyNumberFormat="1" applyFont="1" applyFill="1" applyBorder="1"/>
    <xf numFmtId="49" fontId="2" fillId="5" borderId="0" xfId="0" applyNumberFormat="1" applyFont="1" applyFill="1"/>
    <xf numFmtId="0" fontId="2" fillId="5" borderId="0" xfId="0" applyFont="1" applyFill="1"/>
    <xf numFmtId="0" fontId="2" fillId="5" borderId="0" xfId="0" applyFont="1" applyFill="1" applyAlignment="1">
      <alignment horizontal="left" vertical="top" wrapText="1"/>
    </xf>
    <xf numFmtId="49" fontId="2" fillId="5" borderId="5" xfId="0" applyNumberFormat="1" applyFont="1" applyFill="1" applyBorder="1" applyAlignment="1">
      <alignment horizontal="center"/>
    </xf>
    <xf numFmtId="49" fontId="2" fillId="5" borderId="5" xfId="0" applyNumberFormat="1" applyFont="1" applyFill="1" applyBorder="1" applyAlignment="1">
      <alignment horizontal="centerContinuous"/>
    </xf>
    <xf numFmtId="49" fontId="2" fillId="5" borderId="5" xfId="0" applyNumberFormat="1" applyFont="1" applyFill="1" applyBorder="1" applyAlignment="1">
      <alignment horizontal="centerContinuous" vertical="distributed"/>
    </xf>
    <xf numFmtId="44" fontId="2" fillId="5" borderId="0" xfId="1" applyFont="1" applyFill="1"/>
    <xf numFmtId="49" fontId="8" fillId="5" borderId="0" xfId="3" applyNumberFormat="1" applyFont="1" applyFill="1"/>
    <xf numFmtId="0" fontId="2" fillId="5" borderId="5" xfId="0" applyFont="1" applyFill="1" applyBorder="1"/>
    <xf numFmtId="44" fontId="9" fillId="5" borderId="5" xfId="0" applyNumberFormat="1" applyFont="1" applyFill="1" applyBorder="1"/>
    <xf numFmtId="44" fontId="2" fillId="5" borderId="0" xfId="1" applyNumberFormat="1" applyFont="1" applyFill="1" applyBorder="1" applyAlignment="1">
      <alignment horizontal="center" vertical="center" wrapText="1"/>
    </xf>
    <xf numFmtId="0" fontId="9" fillId="5" borderId="0" xfId="1" applyNumberFormat="1" applyFont="1" applyFill="1" applyBorder="1" applyAlignment="1">
      <alignment horizontal="center" wrapText="1"/>
    </xf>
    <xf numFmtId="0" fontId="2" fillId="5" borderId="0" xfId="0" applyFont="1" applyFill="1" applyBorder="1"/>
    <xf numFmtId="44" fontId="2" fillId="5" borderId="0" xfId="1" applyFont="1" applyFill="1" applyBorder="1"/>
    <xf numFmtId="0" fontId="2" fillId="5" borderId="0" xfId="0" applyFont="1" applyFill="1" applyAlignment="1"/>
    <xf numFmtId="0" fontId="9" fillId="5" borderId="5" xfId="0" applyFont="1" applyFill="1" applyBorder="1" applyAlignment="1">
      <alignment horizontal="center"/>
    </xf>
    <xf numFmtId="0" fontId="9" fillId="5" borderId="5" xfId="0" applyFont="1" applyFill="1" applyBorder="1" applyAlignment="1">
      <alignment horizontal="center" wrapText="1"/>
    </xf>
    <xf numFmtId="44" fontId="9" fillId="5" borderId="5" xfId="1" applyFont="1" applyFill="1" applyBorder="1" applyAlignment="1">
      <alignment horizontal="center" wrapText="1"/>
    </xf>
    <xf numFmtId="0" fontId="2" fillId="5" borderId="0" xfId="0" applyFont="1" applyFill="1" applyBorder="1" applyAlignment="1">
      <alignment horizontal="center"/>
    </xf>
    <xf numFmtId="0" fontId="2" fillId="5" borderId="5" xfId="0" applyFont="1" applyFill="1" applyBorder="1" applyAlignment="1">
      <alignment horizontal="center"/>
    </xf>
    <xf numFmtId="44" fontId="2" fillId="5" borderId="5" xfId="1" applyFont="1" applyFill="1" applyBorder="1"/>
    <xf numFmtId="0" fontId="20" fillId="5" borderId="0" xfId="0" applyFont="1" applyFill="1"/>
    <xf numFmtId="0" fontId="20" fillId="5" borderId="0" xfId="0" applyFont="1" applyFill="1" applyBorder="1"/>
    <xf numFmtId="44" fontId="20" fillId="5" borderId="0" xfId="1" applyFont="1" applyFill="1" applyBorder="1"/>
    <xf numFmtId="0" fontId="11" fillId="5" borderId="0" xfId="0" applyFont="1" applyFill="1" applyBorder="1" applyAlignment="1">
      <alignment vertical="center"/>
    </xf>
    <xf numFmtId="0" fontId="8" fillId="5" borderId="0" xfId="3" applyFont="1" applyFill="1"/>
    <xf numFmtId="0" fontId="2" fillId="5" borderId="0" xfId="0" applyFont="1" applyFill="1" applyAlignment="1">
      <alignment wrapText="1"/>
    </xf>
    <xf numFmtId="0" fontId="0" fillId="5" borderId="0" xfId="0" applyFill="1"/>
    <xf numFmtId="9" fontId="2" fillId="5" borderId="0" xfId="2" applyFont="1" applyFill="1" applyAlignment="1">
      <alignment horizontal="center"/>
    </xf>
    <xf numFmtId="44" fontId="2" fillId="5" borderId="0" xfId="0" applyNumberFormat="1" applyFont="1" applyFill="1" applyAlignment="1">
      <alignment horizontal="left" vertical="top" wrapText="1"/>
    </xf>
    <xf numFmtId="164" fontId="2" fillId="0" borderId="0" xfId="1" applyNumberFormat="1" applyFont="1" applyFill="1" applyBorder="1" applyAlignment="1">
      <alignment vertical="center"/>
    </xf>
    <xf numFmtId="164" fontId="2" fillId="0" borderId="0" xfId="0" applyNumberFormat="1" applyFont="1" applyFill="1"/>
    <xf numFmtId="44" fontId="2" fillId="5" borderId="11" xfId="0" applyNumberFormat="1" applyFont="1" applyFill="1" applyBorder="1" applyAlignment="1">
      <alignment vertical="center"/>
    </xf>
    <xf numFmtId="0" fontId="2" fillId="5" borderId="10" xfId="1" applyNumberFormat="1" applyFont="1" applyFill="1" applyBorder="1" applyAlignment="1">
      <alignment horizontal="center" vertical="center"/>
    </xf>
    <xf numFmtId="0" fontId="2" fillId="5" borderId="5" xfId="1" applyNumberFormat="1" applyFont="1" applyFill="1" applyBorder="1" applyAlignment="1">
      <alignment horizontal="center" vertical="center"/>
    </xf>
    <xf numFmtId="49" fontId="8" fillId="4" borderId="0" xfId="3" applyNumberFormat="1" applyFont="1" applyFill="1" applyBorder="1" applyAlignment="1">
      <alignment horizontal="center" vertical="center" wrapText="1"/>
    </xf>
    <xf numFmtId="0" fontId="2" fillId="5" borderId="0" xfId="0" applyFont="1" applyFill="1" applyAlignment="1">
      <alignment horizontal="center"/>
    </xf>
    <xf numFmtId="0" fontId="2" fillId="5" borderId="0" xfId="0" applyFont="1" applyFill="1" applyAlignment="1">
      <alignment horizontal="center"/>
    </xf>
    <xf numFmtId="164" fontId="21" fillId="0" borderId="0" xfId="1" applyNumberFormat="1" applyFont="1" applyFill="1" applyBorder="1" applyAlignment="1">
      <alignment horizontal="left" vertical="center"/>
    </xf>
    <xf numFmtId="49" fontId="2" fillId="5" borderId="5" xfId="0" applyNumberFormat="1" applyFont="1" applyFill="1" applyBorder="1" applyAlignment="1">
      <alignment wrapText="1"/>
    </xf>
    <xf numFmtId="49" fontId="2" fillId="5" borderId="5" xfId="0" applyNumberFormat="1" applyFont="1" applyFill="1" applyBorder="1" applyAlignment="1">
      <alignment horizontal="center" vertical="center" wrapText="1"/>
    </xf>
    <xf numFmtId="49" fontId="10" fillId="5" borderId="5" xfId="3" applyNumberFormat="1" applyFont="1" applyFill="1" applyBorder="1" applyAlignment="1">
      <alignment horizontal="center" vertical="center" wrapText="1"/>
    </xf>
    <xf numFmtId="49" fontId="2" fillId="5" borderId="5" xfId="1" applyNumberFormat="1" applyFont="1" applyFill="1" applyBorder="1" applyAlignment="1">
      <alignment horizontal="center" vertical="center" wrapText="1"/>
    </xf>
    <xf numFmtId="10" fontId="2" fillId="8" borderId="0" xfId="2" applyNumberFormat="1" applyFont="1" applyFill="1"/>
    <xf numFmtId="49" fontId="2" fillId="5" borderId="0" xfId="0" applyNumberFormat="1" applyFont="1" applyFill="1" applyAlignment="1"/>
    <xf numFmtId="1" fontId="2" fillId="8" borderId="0" xfId="0" applyNumberFormat="1" applyFont="1" applyFill="1" applyAlignment="1">
      <alignment horizontal="center"/>
    </xf>
    <xf numFmtId="0" fontId="2" fillId="8" borderId="0" xfId="0" applyFont="1" applyFill="1" applyAlignment="1">
      <alignment horizontal="center"/>
    </xf>
    <xf numFmtId="164" fontId="21" fillId="0" borderId="0" xfId="1" applyNumberFormat="1" applyFont="1" applyFill="1" applyBorder="1" applyAlignment="1">
      <alignment vertical="center"/>
    </xf>
    <xf numFmtId="49" fontId="2" fillId="0" borderId="0" xfId="0" applyNumberFormat="1" applyFont="1" applyFill="1" applyAlignment="1"/>
    <xf numFmtId="49" fontId="2" fillId="5" borderId="0" xfId="2" applyNumberFormat="1" applyFont="1" applyFill="1" applyBorder="1" applyAlignment="1">
      <alignment horizontal="center" vertical="center"/>
    </xf>
    <xf numFmtId="0" fontId="2" fillId="5" borderId="0" xfId="0" applyFont="1" applyFill="1" applyAlignment="1">
      <alignment horizontal="center"/>
    </xf>
    <xf numFmtId="49" fontId="7" fillId="5" borderId="0" xfId="3" applyNumberFormat="1" applyFont="1" applyFill="1" applyBorder="1" applyAlignment="1">
      <alignment horizontal="center" vertical="center"/>
    </xf>
    <xf numFmtId="164" fontId="2" fillId="5" borderId="0" xfId="1" applyNumberFormat="1" applyFont="1" applyFill="1" applyBorder="1" applyAlignment="1">
      <alignment horizontal="center" vertical="center"/>
    </xf>
    <xf numFmtId="0" fontId="2" fillId="5" borderId="0" xfId="0" applyFont="1" applyFill="1" applyAlignment="1">
      <alignment horizontal="center"/>
    </xf>
    <xf numFmtId="44" fontId="2" fillId="0" borderId="0" xfId="0" applyNumberFormat="1" applyFont="1" applyFill="1"/>
    <xf numFmtId="10" fontId="2" fillId="5" borderId="0" xfId="0" applyNumberFormat="1" applyFont="1" applyFill="1" applyBorder="1" applyAlignment="1">
      <alignment horizontal="center" vertical="center"/>
    </xf>
    <xf numFmtId="49" fontId="3" fillId="5" borderId="0" xfId="3" applyNumberFormat="1" applyFill="1" applyBorder="1" applyAlignment="1">
      <alignment horizontal="center" vertical="center" wrapText="1"/>
    </xf>
    <xf numFmtId="165" fontId="10" fillId="8" borderId="0" xfId="3" applyNumberFormat="1" applyFont="1" applyFill="1" applyBorder="1" applyAlignment="1">
      <alignment vertical="center"/>
    </xf>
    <xf numFmtId="165" fontId="10" fillId="8" borderId="0" xfId="1" applyNumberFormat="1" applyFont="1" applyFill="1" applyBorder="1" applyAlignment="1">
      <alignment vertical="center"/>
    </xf>
    <xf numFmtId="165" fontId="2" fillId="8" borderId="0" xfId="0" applyNumberFormat="1" applyFont="1" applyFill="1" applyBorder="1" applyAlignment="1">
      <alignment vertical="center"/>
    </xf>
    <xf numFmtId="165" fontId="2" fillId="8" borderId="0" xfId="1" applyNumberFormat="1" applyFont="1" applyFill="1" applyBorder="1" applyAlignment="1">
      <alignment vertical="center"/>
    </xf>
    <xf numFmtId="1" fontId="2" fillId="5" borderId="0" xfId="0" applyNumberFormat="1" applyFont="1" applyFill="1" applyAlignment="1">
      <alignment horizontal="center"/>
    </xf>
    <xf numFmtId="44" fontId="2" fillId="5" borderId="0" xfId="0" applyNumberFormat="1" applyFont="1" applyFill="1" applyAlignment="1">
      <alignment horizontal="center"/>
    </xf>
    <xf numFmtId="49" fontId="2" fillId="5" borderId="5" xfId="0" applyNumberFormat="1" applyFont="1" applyFill="1" applyBorder="1" applyAlignment="1">
      <alignment horizontal="center" wrapText="1"/>
    </xf>
    <xf numFmtId="49" fontId="9" fillId="5" borderId="5" xfId="0" applyNumberFormat="1" applyFont="1" applyFill="1" applyBorder="1" applyAlignment="1">
      <alignment horizontal="center" wrapText="1"/>
    </xf>
    <xf numFmtId="49" fontId="2" fillId="5" borderId="0" xfId="0" applyNumberFormat="1" applyFont="1" applyFill="1" applyAlignment="1">
      <alignment horizontal="center" vertical="center"/>
    </xf>
    <xf numFmtId="0" fontId="11" fillId="7" borderId="0" xfId="0" applyFont="1" applyFill="1" applyBorder="1" applyAlignment="1">
      <alignment vertical="center"/>
    </xf>
    <xf numFmtId="49" fontId="2" fillId="3" borderId="0" xfId="0" applyNumberFormat="1" applyFont="1" applyFill="1" applyBorder="1" applyAlignment="1">
      <alignment vertical="top"/>
    </xf>
    <xf numFmtId="49" fontId="2" fillId="5" borderId="0" xfId="0" applyNumberFormat="1" applyFont="1" applyFill="1" applyBorder="1" applyAlignment="1">
      <alignment vertical="top"/>
    </xf>
    <xf numFmtId="0" fontId="12" fillId="5" borderId="0" xfId="0" applyFont="1" applyFill="1" applyAlignment="1">
      <alignment vertical="top" wrapText="1"/>
    </xf>
    <xf numFmtId="10" fontId="2" fillId="5" borderId="0" xfId="2" applyNumberFormat="1" applyFont="1" applyFill="1" applyAlignment="1">
      <alignment horizontal="center" vertical="center"/>
    </xf>
    <xf numFmtId="49" fontId="23" fillId="5" borderId="8" xfId="0" applyNumberFormat="1" applyFont="1" applyFill="1" applyBorder="1"/>
    <xf numFmtId="49" fontId="23" fillId="5" borderId="9" xfId="0" applyNumberFormat="1" applyFont="1" applyFill="1" applyBorder="1" applyAlignment="1">
      <alignment vertical="center"/>
    </xf>
    <xf numFmtId="49" fontId="23" fillId="0" borderId="0" xfId="0" applyNumberFormat="1" applyFont="1" applyFill="1"/>
    <xf numFmtId="49" fontId="23" fillId="0" borderId="0" xfId="0" applyNumberFormat="1" applyFont="1"/>
    <xf numFmtId="0" fontId="23" fillId="5" borderId="0" xfId="0" applyFont="1" applyFill="1" applyBorder="1"/>
    <xf numFmtId="0" fontId="22" fillId="7" borderId="0" xfId="0" applyFont="1" applyFill="1" applyBorder="1" applyAlignment="1">
      <alignment vertical="center"/>
    </xf>
    <xf numFmtId="0" fontId="22" fillId="5" borderId="0" xfId="0" applyFont="1" applyFill="1" applyBorder="1" applyAlignment="1">
      <alignment vertical="center"/>
    </xf>
    <xf numFmtId="0" fontId="22" fillId="0" borderId="0" xfId="0" applyFont="1" applyFill="1" applyBorder="1" applyAlignment="1">
      <alignment vertical="center"/>
    </xf>
    <xf numFmtId="0" fontId="23" fillId="0" borderId="0" xfId="0" applyFont="1" applyFill="1" applyBorder="1"/>
    <xf numFmtId="0" fontId="22" fillId="0" borderId="0" xfId="0" applyFont="1" applyFill="1" applyBorder="1" applyAlignment="1">
      <alignment vertical="top"/>
    </xf>
    <xf numFmtId="0" fontId="23" fillId="0" borderId="0" xfId="0" applyFont="1" applyFill="1" applyBorder="1" applyAlignment="1">
      <alignment vertical="top"/>
    </xf>
    <xf numFmtId="0" fontId="23" fillId="0" borderId="0" xfId="0" applyFont="1" applyBorder="1"/>
    <xf numFmtId="0" fontId="24" fillId="7" borderId="0" xfId="3" applyFont="1" applyFill="1" applyBorder="1" applyAlignment="1">
      <alignment vertical="center"/>
    </xf>
    <xf numFmtId="0" fontId="24" fillId="5" borderId="0" xfId="3" applyFont="1" applyFill="1" applyBorder="1" applyAlignment="1">
      <alignment vertical="center"/>
    </xf>
    <xf numFmtId="0" fontId="24" fillId="0" borderId="0" xfId="3" applyFont="1" applyFill="1" applyBorder="1" applyAlignment="1">
      <alignment vertical="center"/>
    </xf>
    <xf numFmtId="49" fontId="3" fillId="4" borderId="0" xfId="3" applyNumberFormat="1" applyFill="1" applyAlignment="1">
      <alignment horizontal="center" vertical="center" wrapText="1"/>
    </xf>
    <xf numFmtId="0" fontId="22" fillId="5" borderId="0" xfId="0" applyFont="1" applyFill="1" applyAlignment="1">
      <alignment horizontal="center"/>
    </xf>
    <xf numFmtId="0" fontId="22" fillId="5" borderId="0" xfId="0" applyFont="1" applyFill="1"/>
    <xf numFmtId="49" fontId="3" fillId="4" borderId="0" xfId="3" applyNumberFormat="1" applyFill="1" applyBorder="1" applyAlignment="1">
      <alignment horizontal="center" vertical="center" wrapText="1"/>
    </xf>
    <xf numFmtId="0" fontId="3" fillId="4" borderId="0" xfId="3" applyFill="1" applyBorder="1" applyAlignment="1">
      <alignment horizontal="center" vertical="center"/>
    </xf>
    <xf numFmtId="0" fontId="3" fillId="4" borderId="0" xfId="3" applyFill="1" applyBorder="1" applyAlignment="1">
      <alignment horizontal="center" vertical="center" wrapText="1"/>
    </xf>
    <xf numFmtId="0" fontId="3" fillId="4" borderId="0" xfId="3" applyFill="1" applyBorder="1" applyAlignment="1">
      <alignment horizontal="left" vertical="center"/>
    </xf>
    <xf numFmtId="0" fontId="2" fillId="3" borderId="0" xfId="0" applyFont="1" applyFill="1" applyBorder="1" applyAlignment="1">
      <alignment horizontal="center" vertical="center"/>
    </xf>
    <xf numFmtId="0" fontId="2" fillId="3" borderId="0" xfId="0" applyFont="1" applyFill="1" applyBorder="1" applyAlignment="1">
      <alignment vertical="center"/>
    </xf>
    <xf numFmtId="44" fontId="2" fillId="3" borderId="0" xfId="1" applyFont="1" applyFill="1" applyBorder="1" applyAlignment="1">
      <alignment vertical="center"/>
    </xf>
    <xf numFmtId="0" fontId="2" fillId="0" borderId="0" xfId="0" applyFont="1" applyFill="1" applyAlignment="1">
      <alignment vertical="top" wrapText="1"/>
    </xf>
    <xf numFmtId="0" fontId="2" fillId="3" borderId="0" xfId="0" applyFont="1" applyFill="1" applyAlignment="1">
      <alignment vertical="center"/>
    </xf>
    <xf numFmtId="0" fontId="2" fillId="0" borderId="0" xfId="0" applyFont="1" applyFill="1" applyBorder="1" applyAlignment="1">
      <alignment vertical="center"/>
    </xf>
    <xf numFmtId="0" fontId="2" fillId="0" borderId="0" xfId="0" applyFont="1" applyFill="1" applyAlignment="1">
      <alignment vertical="center"/>
    </xf>
    <xf numFmtId="49" fontId="2" fillId="3" borderId="0" xfId="0" applyNumberFormat="1" applyFont="1" applyFill="1" applyAlignment="1">
      <alignment horizontal="center" vertical="center"/>
    </xf>
    <xf numFmtId="0" fontId="3" fillId="0" borderId="0" xfId="3" applyFill="1" applyBorder="1" applyAlignment="1">
      <alignment vertical="center"/>
    </xf>
    <xf numFmtId="0" fontId="27" fillId="3" borderId="0" xfId="0" applyFont="1" applyFill="1" applyAlignment="1">
      <alignment horizontal="center" vertical="center"/>
    </xf>
    <xf numFmtId="164" fontId="2" fillId="3" borderId="0" xfId="1" applyNumberFormat="1" applyFont="1" applyFill="1" applyAlignment="1">
      <alignment horizontal="center" vertical="center"/>
    </xf>
    <xf numFmtId="2" fontId="2" fillId="3" borderId="0" xfId="0" applyNumberFormat="1" applyFont="1" applyFill="1" applyAlignment="1">
      <alignment horizontal="center" vertical="center" wrapText="1"/>
    </xf>
    <xf numFmtId="0" fontId="2" fillId="0" borderId="0" xfId="0" applyFont="1" applyFill="1" applyAlignment="1">
      <alignment horizontal="center" vertic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vertical="center" wrapText="1"/>
    </xf>
    <xf numFmtId="0" fontId="3" fillId="0" borderId="0" xfId="3" applyFill="1" applyAlignment="1">
      <alignment vertical="center"/>
    </xf>
    <xf numFmtId="0" fontId="27" fillId="3" borderId="0" xfId="0" applyFont="1" applyFill="1" applyAlignment="1">
      <alignment horizontal="center" vertical="center" wrapText="1"/>
    </xf>
    <xf numFmtId="49" fontId="27" fillId="3" borderId="0" xfId="0" applyNumberFormat="1" applyFont="1" applyFill="1" applyAlignment="1">
      <alignment horizontal="center" vertical="center"/>
    </xf>
    <xf numFmtId="9" fontId="2" fillId="3" borderId="0" xfId="1" applyNumberFormat="1" applyFont="1" applyFill="1" applyAlignment="1">
      <alignment horizontal="center" vertical="center"/>
    </xf>
    <xf numFmtId="10" fontId="2" fillId="3" borderId="0" xfId="0" applyNumberFormat="1" applyFont="1" applyFill="1" applyAlignment="1">
      <alignment horizontal="center" vertical="center"/>
    </xf>
    <xf numFmtId="164" fontId="2" fillId="3" borderId="0" xfId="0" applyNumberFormat="1" applyFont="1" applyFill="1" applyAlignment="1">
      <alignment horizontal="center" vertical="center"/>
    </xf>
    <xf numFmtId="0" fontId="11" fillId="3" borderId="0" xfId="0" applyFont="1" applyFill="1" applyAlignment="1">
      <alignment vertical="center"/>
    </xf>
    <xf numFmtId="0" fontId="11" fillId="3" borderId="0" xfId="0" applyFont="1" applyFill="1" applyAlignment="1">
      <alignment horizontal="center" vertical="center"/>
    </xf>
    <xf numFmtId="165" fontId="11" fillId="3" borderId="0" xfId="1" applyNumberFormat="1" applyFont="1" applyFill="1" applyAlignment="1">
      <alignment horizontal="center" vertical="center"/>
    </xf>
    <xf numFmtId="0" fontId="11" fillId="0" borderId="0" xfId="0" applyFont="1" applyFill="1" applyAlignment="1">
      <alignment vertical="center"/>
    </xf>
    <xf numFmtId="6" fontId="2" fillId="3" borderId="0" xfId="0" applyNumberFormat="1" applyFont="1" applyFill="1" applyAlignment="1">
      <alignment horizontal="center" vertical="center"/>
    </xf>
    <xf numFmtId="165" fontId="2" fillId="3" borderId="0" xfId="1" applyNumberFormat="1" applyFont="1" applyFill="1" applyAlignment="1">
      <alignment horizontal="center" vertical="center"/>
    </xf>
    <xf numFmtId="164" fontId="2" fillId="3" borderId="0" xfId="1" applyNumberFormat="1" applyFont="1" applyFill="1" applyBorder="1" applyAlignment="1">
      <alignment horizontal="center" vertical="center"/>
    </xf>
    <xf numFmtId="0" fontId="3" fillId="0" borderId="0" xfId="3" applyFill="1" applyBorder="1" applyAlignment="1">
      <alignment vertical="center" wrapText="1"/>
    </xf>
    <xf numFmtId="0" fontId="2" fillId="3" borderId="0" xfId="0" applyFont="1" applyFill="1" applyAlignment="1">
      <alignment horizontal="center" vertical="center"/>
    </xf>
    <xf numFmtId="0" fontId="2" fillId="0" borderId="0" xfId="0" applyFont="1" applyFill="1" applyBorder="1" applyAlignment="1">
      <alignment horizontal="center" vertical="center" wrapText="1"/>
    </xf>
    <xf numFmtId="0" fontId="2" fillId="5" borderId="12" xfId="0" applyFont="1" applyFill="1" applyBorder="1" applyAlignment="1"/>
    <xf numFmtId="0" fontId="2" fillId="3" borderId="0" xfId="0" applyFont="1" applyFill="1" applyAlignment="1">
      <alignment horizontal="center" vertical="center"/>
    </xf>
    <xf numFmtId="0" fontId="3" fillId="0" borderId="0" xfId="3" applyFill="1" applyAlignment="1">
      <alignment horizontal="left" vertical="center"/>
    </xf>
    <xf numFmtId="0" fontId="8" fillId="0" borderId="0" xfId="3" applyFont="1" applyFill="1" applyBorder="1" applyAlignment="1">
      <alignment vertical="center"/>
    </xf>
    <xf numFmtId="0" fontId="2" fillId="0" borderId="0" xfId="0" applyFont="1" applyFill="1" applyBorder="1" applyAlignment="1"/>
    <xf numFmtId="0" fontId="3" fillId="0" borderId="0" xfId="3" applyFill="1" applyBorder="1"/>
    <xf numFmtId="0" fontId="2" fillId="0" borderId="0" xfId="0" applyFont="1" applyFill="1" applyAlignment="1">
      <alignment horizontal="left" vertical="top" wrapText="1"/>
    </xf>
    <xf numFmtId="49" fontId="2" fillId="0" borderId="0" xfId="1" applyNumberFormat="1" applyFont="1" applyFill="1" applyBorder="1" applyAlignment="1">
      <alignment horizontal="centerContinuous" vertical="center"/>
    </xf>
    <xf numFmtId="49" fontId="2" fillId="0" borderId="0" xfId="0" applyNumberFormat="1" applyFont="1" applyFill="1" applyBorder="1" applyAlignment="1">
      <alignment horizontal="center"/>
    </xf>
    <xf numFmtId="44" fontId="2" fillId="0" borderId="0" xfId="1" applyFont="1" applyFill="1" applyBorder="1" applyAlignment="1">
      <alignment horizontal="center" vertical="center"/>
    </xf>
    <xf numFmtId="0" fontId="10" fillId="0" borderId="0" xfId="3" applyFont="1" applyFill="1" applyBorder="1" applyAlignment="1">
      <alignment vertical="center"/>
    </xf>
    <xf numFmtId="164" fontId="2" fillId="0" borderId="0" xfId="1" applyNumberFormat="1" applyFont="1" applyFill="1" applyBorder="1" applyAlignment="1">
      <alignment horizontal="left" vertical="center"/>
    </xf>
    <xf numFmtId="0" fontId="2" fillId="0" borderId="0" xfId="1" applyNumberFormat="1" applyFont="1" applyFill="1" applyBorder="1" applyAlignment="1">
      <alignment horizontal="left" vertical="center"/>
    </xf>
    <xf numFmtId="0" fontId="2" fillId="0" borderId="0" xfId="1" applyNumberFormat="1" applyFont="1" applyFill="1" applyBorder="1" applyAlignment="1">
      <alignment horizontal="center" vertical="center"/>
    </xf>
    <xf numFmtId="2" fontId="2" fillId="0" borderId="0" xfId="0" applyNumberFormat="1" applyFont="1" applyFill="1"/>
    <xf numFmtId="0" fontId="8" fillId="0" borderId="0" xfId="3" applyFont="1" applyFill="1"/>
    <xf numFmtId="3" fontId="2" fillId="0" borderId="0" xfId="0" applyNumberFormat="1" applyFont="1" applyFill="1"/>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164" fontId="2" fillId="3" borderId="0" xfId="1" applyNumberFormat="1" applyFont="1" applyFill="1"/>
    <xf numFmtId="165" fontId="2" fillId="3" borderId="0" xfId="0" applyNumberFormat="1" applyFont="1" applyFill="1"/>
    <xf numFmtId="165" fontId="2" fillId="3" borderId="0" xfId="1" applyNumberFormat="1" applyFont="1" applyFill="1"/>
    <xf numFmtId="0" fontId="2" fillId="0" borderId="5" xfId="0" applyFont="1" applyFill="1" applyBorder="1" applyAlignment="1">
      <alignment horizontal="left" vertical="top" wrapText="1"/>
    </xf>
    <xf numFmtId="0" fontId="2" fillId="3" borderId="0" xfId="0" applyFont="1" applyFill="1" applyAlignment="1">
      <alignment horizontal="center"/>
    </xf>
    <xf numFmtId="165" fontId="10" fillId="8" borderId="0" xfId="3" applyNumberFormat="1" applyFont="1" applyFill="1" applyBorder="1" applyAlignment="1" applyProtection="1">
      <alignment vertical="center"/>
      <protection locked="0"/>
    </xf>
    <xf numFmtId="10" fontId="2" fillId="6" borderId="0" xfId="0" applyNumberFormat="1" applyFont="1" applyFill="1" applyBorder="1" applyAlignment="1" applyProtection="1">
      <alignment horizontal="center" vertical="center"/>
      <protection locked="0"/>
    </xf>
    <xf numFmtId="10" fontId="2" fillId="6" borderId="0" xfId="2" applyNumberFormat="1" applyFont="1" applyFill="1" applyAlignment="1" applyProtection="1">
      <alignment horizontal="center" vertical="center"/>
      <protection locked="0"/>
    </xf>
    <xf numFmtId="0" fontId="2" fillId="6" borderId="0" xfId="0" applyFont="1" applyFill="1" applyProtection="1">
      <protection locked="0"/>
    </xf>
    <xf numFmtId="10" fontId="2" fillId="6" borderId="0" xfId="2" applyNumberFormat="1" applyFont="1" applyFill="1" applyProtection="1">
      <protection locked="0"/>
    </xf>
    <xf numFmtId="0" fontId="2" fillId="6" borderId="0" xfId="0" applyFont="1" applyFill="1" applyAlignment="1" applyProtection="1">
      <alignment horizontal="center"/>
      <protection locked="0"/>
    </xf>
    <xf numFmtId="165" fontId="2" fillId="6" borderId="0" xfId="1" applyNumberFormat="1" applyFont="1" applyFill="1" applyBorder="1" applyAlignment="1" applyProtection="1">
      <alignment horizontal="center" vertical="center"/>
      <protection locked="0"/>
    </xf>
    <xf numFmtId="0" fontId="2" fillId="6" borderId="12" xfId="0" applyFont="1" applyFill="1" applyBorder="1" applyAlignment="1" applyProtection="1">
      <alignment horizontal="center" vertical="center"/>
      <protection locked="0"/>
    </xf>
    <xf numFmtId="1" fontId="2" fillId="6" borderId="0" xfId="0" applyNumberFormat="1" applyFont="1" applyFill="1" applyAlignment="1" applyProtection="1">
      <alignment horizontal="center"/>
      <protection locked="0"/>
    </xf>
    <xf numFmtId="0" fontId="2" fillId="5" borderId="0" xfId="0" applyFont="1" applyFill="1" applyProtection="1">
      <protection locked="0"/>
    </xf>
    <xf numFmtId="0" fontId="2" fillId="5" borderId="0" xfId="0" applyFont="1" applyFill="1" applyAlignment="1" applyProtection="1">
      <alignment horizontal="center"/>
      <protection locked="0"/>
    </xf>
    <xf numFmtId="0" fontId="2" fillId="5" borderId="0" xfId="0" applyFont="1" applyFill="1" applyBorder="1" applyAlignment="1" applyProtection="1">
      <alignment horizontal="center"/>
      <protection locked="0"/>
    </xf>
    <xf numFmtId="44" fontId="2" fillId="5" borderId="0" xfId="1" applyFont="1" applyFill="1" applyBorder="1" applyProtection="1">
      <protection locked="0"/>
    </xf>
    <xf numFmtId="2" fontId="2" fillId="5" borderId="0" xfId="1" applyNumberFormat="1" applyFont="1" applyFill="1" applyBorder="1" applyProtection="1">
      <protection locked="0"/>
    </xf>
    <xf numFmtId="166" fontId="2" fillId="5" borderId="0" xfId="1" applyNumberFormat="1" applyFont="1" applyFill="1" applyBorder="1" applyProtection="1">
      <protection locked="0"/>
    </xf>
    <xf numFmtId="1" fontId="2" fillId="5" borderId="0" xfId="5" applyNumberFormat="1" applyFont="1" applyFill="1" applyProtection="1">
      <protection locked="0"/>
    </xf>
    <xf numFmtId="0" fontId="2" fillId="0" borderId="0" xfId="0" applyFont="1" applyProtection="1">
      <protection locked="0"/>
    </xf>
    <xf numFmtId="0" fontId="2" fillId="5" borderId="0" xfId="0" applyFont="1" applyFill="1" applyBorder="1" applyProtection="1">
      <protection locked="0"/>
    </xf>
    <xf numFmtId="44" fontId="2" fillId="0" borderId="0" xfId="0" applyNumberFormat="1" applyFont="1" applyProtection="1">
      <protection locked="0"/>
    </xf>
    <xf numFmtId="0" fontId="2" fillId="5" borderId="5" xfId="0" applyFont="1" applyFill="1" applyBorder="1" applyAlignment="1" applyProtection="1">
      <alignment horizontal="center"/>
      <protection locked="0"/>
    </xf>
    <xf numFmtId="44" fontId="2" fillId="5" borderId="5" xfId="1" applyFont="1" applyFill="1" applyBorder="1" applyProtection="1">
      <protection locked="0"/>
    </xf>
    <xf numFmtId="0" fontId="2" fillId="6" borderId="0" xfId="0" applyFont="1" applyFill="1" applyAlignment="1" applyProtection="1">
      <alignment horizontal="center" vertical="center"/>
      <protection locked="0"/>
    </xf>
    <xf numFmtId="0" fontId="0" fillId="5" borderId="0" xfId="0" applyFill="1" applyProtection="1">
      <protection locked="0"/>
    </xf>
    <xf numFmtId="0" fontId="0" fillId="0" borderId="0" xfId="0" applyProtection="1">
      <protection locked="0"/>
    </xf>
    <xf numFmtId="166" fontId="2" fillId="8" borderId="0" xfId="1" applyNumberFormat="1" applyFont="1" applyFill="1" applyBorder="1" applyProtection="1">
      <protection locked="0"/>
    </xf>
    <xf numFmtId="0" fontId="2" fillId="0" borderId="0" xfId="0" applyFont="1" applyFill="1" applyAlignment="1" applyProtection="1">
      <alignment horizontal="center"/>
      <protection locked="0"/>
    </xf>
    <xf numFmtId="0" fontId="2" fillId="0" borderId="0" xfId="0" applyFont="1" applyFill="1" applyProtection="1">
      <protection locked="0"/>
    </xf>
    <xf numFmtId="0" fontId="0" fillId="0" borderId="0" xfId="0" applyFill="1" applyProtection="1">
      <protection locked="0"/>
    </xf>
    <xf numFmtId="167" fontId="2" fillId="5" borderId="0" xfId="0" applyNumberFormat="1" applyFont="1" applyFill="1"/>
    <xf numFmtId="167" fontId="2" fillId="5" borderId="0" xfId="0" applyNumberFormat="1" applyFont="1" applyFill="1" applyProtection="1">
      <protection locked="0"/>
    </xf>
    <xf numFmtId="165" fontId="2" fillId="6" borderId="0" xfId="0" applyNumberFormat="1" applyFont="1" applyFill="1" applyProtection="1">
      <protection locked="0"/>
    </xf>
    <xf numFmtId="165" fontId="2" fillId="5" borderId="0" xfId="0" applyNumberFormat="1" applyFont="1" applyFill="1"/>
    <xf numFmtId="165" fontId="2" fillId="5" borderId="0" xfId="0" applyNumberFormat="1" applyFont="1" applyFill="1" applyProtection="1">
      <protection locked="0"/>
    </xf>
    <xf numFmtId="165" fontId="2" fillId="8" borderId="0" xfId="0" applyNumberFormat="1" applyFont="1" applyFill="1"/>
    <xf numFmtId="165" fontId="2" fillId="5" borderId="0" xfId="0" applyNumberFormat="1" applyFont="1" applyFill="1" applyAlignment="1"/>
    <xf numFmtId="165" fontId="2" fillId="6" borderId="0" xfId="1" applyNumberFormat="1" applyFont="1" applyFill="1" applyProtection="1">
      <protection locked="0"/>
    </xf>
    <xf numFmtId="167" fontId="2" fillId="5" borderId="0" xfId="1" applyNumberFormat="1" applyFont="1" applyFill="1"/>
    <xf numFmtId="165" fontId="2" fillId="5" borderId="0" xfId="1" applyNumberFormat="1" applyFont="1" applyFill="1"/>
    <xf numFmtId="167" fontId="2" fillId="8" borderId="0" xfId="0" applyNumberFormat="1" applyFont="1" applyFill="1" applyAlignment="1">
      <alignment horizontal="center"/>
    </xf>
    <xf numFmtId="167" fontId="2" fillId="5" borderId="0" xfId="1" applyNumberFormat="1" applyFont="1" applyFill="1" applyBorder="1" applyProtection="1">
      <protection locked="0"/>
    </xf>
    <xf numFmtId="167" fontId="2" fillId="5" borderId="5" xfId="1" applyNumberFormat="1" applyFont="1" applyFill="1" applyBorder="1"/>
    <xf numFmtId="167" fontId="2" fillId="5" borderId="0" xfId="1" applyNumberFormat="1" applyFont="1" applyFill="1" applyBorder="1"/>
    <xf numFmtId="167" fontId="20" fillId="5" borderId="0" xfId="1" applyNumberFormat="1" applyFont="1" applyFill="1" applyBorder="1"/>
    <xf numFmtId="167" fontId="2" fillId="5" borderId="5" xfId="1" applyNumberFormat="1" applyFont="1" applyFill="1" applyBorder="1" applyProtection="1">
      <protection locked="0"/>
    </xf>
    <xf numFmtId="167" fontId="2" fillId="5" borderId="0" xfId="1" applyNumberFormat="1" applyFont="1" applyFill="1" applyProtection="1">
      <protection locked="0"/>
    </xf>
    <xf numFmtId="167" fontId="2" fillId="5" borderId="0" xfId="1" applyNumberFormat="1" applyFont="1" applyFill="1" applyBorder="1" applyAlignment="1" applyProtection="1">
      <alignment horizontal="center" vertical="center" wrapText="1"/>
      <protection locked="0"/>
    </xf>
    <xf numFmtId="167" fontId="9" fillId="5" borderId="0" xfId="1" applyNumberFormat="1" applyFont="1" applyFill="1" applyBorder="1" applyAlignment="1" applyProtection="1">
      <alignment horizontal="center" wrapText="1"/>
      <protection locked="0"/>
    </xf>
    <xf numFmtId="167" fontId="2" fillId="5" borderId="0" xfId="0" applyNumberFormat="1" applyFont="1" applyFill="1" applyBorder="1" applyProtection="1">
      <protection locked="0"/>
    </xf>
    <xf numFmtId="167" fontId="20" fillId="5" borderId="0" xfId="0" applyNumberFormat="1" applyFont="1" applyFill="1"/>
    <xf numFmtId="167" fontId="2" fillId="0" borderId="0" xfId="0" applyNumberFormat="1" applyFont="1"/>
    <xf numFmtId="167" fontId="2" fillId="8" borderId="0" xfId="0" applyNumberFormat="1" applyFont="1" applyFill="1" applyBorder="1" applyProtection="1">
      <protection locked="0"/>
    </xf>
    <xf numFmtId="167" fontId="2" fillId="8" borderId="0" xfId="1" applyNumberFormat="1" applyFont="1" applyFill="1" applyBorder="1" applyProtection="1">
      <protection locked="0"/>
    </xf>
    <xf numFmtId="167" fontId="2" fillId="5" borderId="0" xfId="5" applyNumberFormat="1" applyFont="1" applyFill="1"/>
    <xf numFmtId="167" fontId="2" fillId="8" borderId="0" xfId="1" applyNumberFormat="1" applyFont="1" applyFill="1"/>
    <xf numFmtId="0" fontId="2" fillId="3" borderId="0" xfId="0" applyFont="1" applyFill="1" applyAlignment="1">
      <alignment horizontal="center" vertical="center"/>
    </xf>
    <xf numFmtId="0" fontId="2" fillId="3" borderId="0" xfId="0" applyFont="1" applyFill="1" applyBorder="1" applyAlignment="1">
      <alignment horizontal="center" vertical="center"/>
    </xf>
    <xf numFmtId="165" fontId="2" fillId="6" borderId="0" xfId="1" applyNumberFormat="1" applyFont="1" applyFill="1"/>
    <xf numFmtId="0" fontId="2" fillId="6" borderId="0" xfId="0" applyFont="1" applyFill="1"/>
    <xf numFmtId="0" fontId="2" fillId="0" borderId="12" xfId="0" applyFont="1" applyBorder="1" applyAlignment="1">
      <alignment horizontal="center"/>
    </xf>
    <xf numFmtId="0" fontId="3" fillId="0" borderId="0" xfId="3" applyFill="1" applyBorder="1" applyAlignment="1">
      <alignment vertical="top"/>
    </xf>
    <xf numFmtId="0" fontId="2" fillId="0" borderId="12" xfId="0" applyFont="1" applyBorder="1"/>
    <xf numFmtId="165" fontId="2" fillId="0" borderId="0" xfId="0" applyNumberFormat="1" applyFont="1"/>
    <xf numFmtId="0" fontId="2" fillId="0" borderId="12" xfId="0" applyFont="1" applyFill="1" applyBorder="1" applyAlignment="1">
      <alignment vertical="top"/>
    </xf>
    <xf numFmtId="0" fontId="2" fillId="8" borderId="0" xfId="0" applyFont="1" applyFill="1" applyAlignment="1" applyProtection="1">
      <alignment horizontal="center" vertical="center"/>
      <protection locked="0"/>
    </xf>
    <xf numFmtId="0" fontId="3" fillId="0" borderId="0" xfId="3" applyFill="1"/>
    <xf numFmtId="165" fontId="2" fillId="0" borderId="0" xfId="0" applyNumberFormat="1" applyFont="1" applyFill="1"/>
    <xf numFmtId="10" fontId="2" fillId="8" borderId="0" xfId="2" applyNumberFormat="1" applyFont="1" applyFill="1" applyAlignment="1" applyProtection="1">
      <alignment horizontal="center"/>
      <protection locked="0"/>
    </xf>
    <xf numFmtId="165" fontId="2" fillId="5" borderId="0" xfId="1" applyNumberFormat="1" applyFont="1" applyFill="1" applyBorder="1" applyAlignment="1" applyProtection="1">
      <alignment horizontal="center" vertical="center"/>
      <protection locked="0"/>
    </xf>
    <xf numFmtId="49" fontId="7" fillId="5" borderId="2" xfId="3" applyNumberFormat="1" applyFont="1" applyFill="1" applyBorder="1" applyAlignment="1">
      <alignment horizontal="center" vertical="center"/>
    </xf>
    <xf numFmtId="49" fontId="7" fillId="5" borderId="3" xfId="3" applyNumberFormat="1" applyFont="1" applyFill="1" applyBorder="1" applyAlignment="1">
      <alignment horizontal="center" vertical="center"/>
    </xf>
    <xf numFmtId="49" fontId="9" fillId="5" borderId="1" xfId="1" applyNumberFormat="1" applyFont="1" applyFill="1" applyBorder="1" applyAlignment="1">
      <alignment horizontal="center" vertical="center"/>
    </xf>
    <xf numFmtId="49" fontId="9" fillId="5" borderId="2" xfId="1" applyNumberFormat="1" applyFont="1" applyFill="1" applyBorder="1" applyAlignment="1">
      <alignment horizontal="center" vertical="center"/>
    </xf>
    <xf numFmtId="49" fontId="9" fillId="5" borderId="3" xfId="1" applyNumberFormat="1" applyFont="1" applyFill="1" applyBorder="1" applyAlignment="1">
      <alignment horizontal="center" vertical="center"/>
    </xf>
    <xf numFmtId="49" fontId="2" fillId="5" borderId="0" xfId="2" applyNumberFormat="1" applyFont="1" applyFill="1" applyBorder="1" applyAlignment="1">
      <alignment horizontal="center" vertical="center"/>
    </xf>
    <xf numFmtId="49" fontId="9" fillId="5" borderId="0" xfId="0" applyNumberFormat="1" applyFont="1" applyFill="1" applyBorder="1" applyAlignment="1">
      <alignment horizontal="center" vertical="center"/>
    </xf>
    <xf numFmtId="49" fontId="2" fillId="5" borderId="0" xfId="0" applyNumberFormat="1" applyFont="1" applyFill="1" applyBorder="1" applyAlignment="1">
      <alignment horizontal="center" vertical="center"/>
    </xf>
    <xf numFmtId="49" fontId="9" fillId="0" borderId="0" xfId="1" applyNumberFormat="1" applyFont="1" applyFill="1" applyBorder="1" applyAlignment="1">
      <alignment horizontal="left" vertical="center" wrapText="1"/>
    </xf>
    <xf numFmtId="164" fontId="10" fillId="5" borderId="4" xfId="1" applyNumberFormat="1" applyFont="1" applyFill="1" applyBorder="1" applyAlignment="1">
      <alignment horizontal="center" vertical="center" wrapText="1"/>
    </xf>
    <xf numFmtId="164" fontId="10" fillId="5" borderId="0" xfId="1" applyNumberFormat="1" applyFont="1" applyFill="1" applyBorder="1" applyAlignment="1">
      <alignment horizontal="center" vertical="center" wrapText="1"/>
    </xf>
    <xf numFmtId="0" fontId="9" fillId="0" borderId="0" xfId="1" applyNumberFormat="1" applyFont="1" applyFill="1" applyBorder="1" applyAlignment="1">
      <alignment horizontal="left" vertical="center" wrapText="1"/>
    </xf>
    <xf numFmtId="49" fontId="9" fillId="0" borderId="0" xfId="1" applyNumberFormat="1" applyFont="1" applyFill="1" applyBorder="1" applyAlignment="1">
      <alignment horizontal="left" vertical="center"/>
    </xf>
    <xf numFmtId="49" fontId="10" fillId="5" borderId="5" xfId="0" applyNumberFormat="1" applyFont="1" applyFill="1" applyBorder="1" applyAlignment="1">
      <alignment horizontal="center" vertical="center"/>
    </xf>
    <xf numFmtId="49" fontId="11" fillId="7" borderId="4" xfId="0" applyNumberFormat="1" applyFont="1" applyFill="1" applyBorder="1" applyAlignment="1">
      <alignment horizontal="center" vertical="center"/>
    </xf>
    <xf numFmtId="49" fontId="22" fillId="7" borderId="0" xfId="0" applyNumberFormat="1" applyFont="1" applyFill="1" applyBorder="1" applyAlignment="1">
      <alignment horizontal="center" vertical="center"/>
    </xf>
    <xf numFmtId="49" fontId="24" fillId="7" borderId="0" xfId="3" applyNumberFormat="1" applyFont="1" applyFill="1" applyBorder="1" applyAlignment="1">
      <alignment horizontal="center" vertical="center"/>
    </xf>
    <xf numFmtId="49" fontId="9" fillId="5" borderId="0" xfId="1" applyNumberFormat="1" applyFont="1" applyFill="1" applyBorder="1" applyAlignment="1">
      <alignment horizontal="center" vertical="center"/>
    </xf>
    <xf numFmtId="49" fontId="7" fillId="5" borderId="0" xfId="3" applyNumberFormat="1" applyFont="1" applyFill="1" applyBorder="1" applyAlignment="1">
      <alignment horizontal="center" vertical="center"/>
    </xf>
    <xf numFmtId="49" fontId="10" fillId="6" borderId="0" xfId="3" applyNumberFormat="1" applyFont="1" applyFill="1" applyBorder="1" applyAlignment="1" applyProtection="1">
      <alignment horizontal="center" vertical="center"/>
      <protection locked="0"/>
    </xf>
    <xf numFmtId="49" fontId="6" fillId="0" borderId="0" xfId="0" applyNumberFormat="1" applyFont="1" applyFill="1" applyBorder="1" applyAlignment="1" applyProtection="1">
      <alignment horizontal="left" vertical="center"/>
    </xf>
    <xf numFmtId="49" fontId="3" fillId="4" borderId="0" xfId="3" applyNumberFormat="1" applyFill="1" applyAlignment="1">
      <alignment horizontal="center" vertical="center" wrapText="1"/>
    </xf>
    <xf numFmtId="0" fontId="2" fillId="5" borderId="0" xfId="0" applyFont="1" applyFill="1" applyAlignment="1">
      <alignment horizontal="center"/>
    </xf>
    <xf numFmtId="0" fontId="12" fillId="5" borderId="0" xfId="0" applyFont="1" applyFill="1" applyAlignment="1">
      <alignment horizontal="left" vertical="top" wrapText="1"/>
    </xf>
    <xf numFmtId="49" fontId="25" fillId="7" borderId="0" xfId="3" applyNumberFormat="1" applyFont="1" applyFill="1" applyBorder="1" applyAlignment="1">
      <alignment horizontal="center" vertical="center"/>
    </xf>
    <xf numFmtId="49" fontId="11" fillId="7" borderId="0" xfId="0" applyNumberFormat="1" applyFont="1" applyFill="1" applyBorder="1" applyAlignment="1">
      <alignment horizontal="center" vertical="center" wrapText="1"/>
    </xf>
    <xf numFmtId="0" fontId="11" fillId="7" borderId="0" xfId="0" applyFont="1" applyFill="1" applyBorder="1" applyAlignment="1">
      <alignment horizontal="center" vertical="center" wrapText="1"/>
    </xf>
    <xf numFmtId="0" fontId="22" fillId="7" borderId="0" xfId="0" applyFont="1" applyFill="1" applyBorder="1" applyAlignment="1">
      <alignment horizontal="center" vertical="center"/>
    </xf>
    <xf numFmtId="0" fontId="24" fillId="7" borderId="0" xfId="3" applyFont="1" applyFill="1" applyBorder="1" applyAlignment="1">
      <alignment horizontal="center" vertical="center"/>
    </xf>
    <xf numFmtId="0" fontId="2" fillId="5" borderId="0" xfId="0" applyFont="1" applyFill="1" applyBorder="1" applyAlignment="1">
      <alignment horizontal="left" vertical="top" wrapText="1"/>
    </xf>
    <xf numFmtId="0" fontId="2" fillId="5" borderId="12" xfId="0" applyFont="1" applyFill="1" applyBorder="1" applyAlignment="1">
      <alignment horizontal="left"/>
    </xf>
    <xf numFmtId="0" fontId="2" fillId="0" borderId="0" xfId="0" applyFont="1" applyBorder="1" applyAlignment="1">
      <alignment horizontal="center" vertical="center" wrapText="1"/>
    </xf>
    <xf numFmtId="0" fontId="2" fillId="0" borderId="12" xfId="0" applyFont="1" applyBorder="1" applyAlignment="1">
      <alignment horizontal="center" vertical="center" wrapText="1"/>
    </xf>
    <xf numFmtId="0" fontId="23" fillId="0" borderId="0" xfId="0" applyFont="1" applyFill="1" applyBorder="1" applyAlignment="1">
      <alignment horizontal="center"/>
    </xf>
    <xf numFmtId="0" fontId="2" fillId="5" borderId="0" xfId="0" applyFont="1" applyFill="1" applyAlignment="1">
      <alignment horizontal="center" wrapText="1"/>
    </xf>
    <xf numFmtId="0" fontId="2" fillId="5" borderId="0" xfId="0" applyFont="1" applyFill="1" applyAlignment="1">
      <alignment horizontal="left"/>
    </xf>
    <xf numFmtId="0" fontId="3" fillId="4" borderId="0" xfId="3"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5" borderId="12" xfId="0" applyFont="1" applyFill="1" applyBorder="1" applyAlignment="1">
      <alignment horizontal="center"/>
    </xf>
    <xf numFmtId="0" fontId="2" fillId="5" borderId="13" xfId="0" applyFont="1" applyFill="1" applyBorder="1" applyAlignment="1">
      <alignment horizontal="center"/>
    </xf>
    <xf numFmtId="0" fontId="2" fillId="5" borderId="0" xfId="0" applyFont="1" applyFill="1" applyBorder="1" applyAlignment="1">
      <alignment horizontal="center" wrapText="1"/>
    </xf>
    <xf numFmtId="167" fontId="2" fillId="5" borderId="4" xfId="1" applyNumberFormat="1" applyFont="1" applyFill="1" applyBorder="1" applyAlignment="1" applyProtection="1">
      <alignment horizontal="center"/>
      <protection locked="0"/>
    </xf>
    <xf numFmtId="44" fontId="2" fillId="5" borderId="6" xfId="0" applyNumberFormat="1" applyFont="1" applyFill="1" applyBorder="1" applyAlignment="1">
      <alignment horizontal="center" vertical="center" wrapText="1"/>
    </xf>
    <xf numFmtId="44" fontId="2" fillId="5" borderId="4" xfId="0" applyNumberFormat="1" applyFont="1" applyFill="1" applyBorder="1" applyAlignment="1">
      <alignment horizontal="center" vertical="center" wrapText="1"/>
    </xf>
    <xf numFmtId="44" fontId="2" fillId="5" borderId="7" xfId="0" applyNumberFormat="1" applyFont="1" applyFill="1" applyBorder="1" applyAlignment="1">
      <alignment horizontal="center" vertical="center" wrapText="1"/>
    </xf>
    <xf numFmtId="0" fontId="2" fillId="5" borderId="4" xfId="1" applyNumberFormat="1" applyFont="1" applyFill="1" applyBorder="1" applyAlignment="1">
      <alignment horizontal="center" vertical="center" wrapText="1"/>
    </xf>
    <xf numFmtId="0" fontId="2" fillId="5" borderId="7" xfId="1" applyNumberFormat="1" applyFont="1" applyFill="1" applyBorder="1" applyAlignment="1">
      <alignment horizontal="center" vertical="center" wrapText="1"/>
    </xf>
    <xf numFmtId="0" fontId="2" fillId="5" borderId="0" xfId="0" applyNumberFormat="1" applyFont="1" applyFill="1" applyBorder="1" applyAlignment="1">
      <alignment horizontal="center" vertical="center" wrapText="1"/>
    </xf>
    <xf numFmtId="0" fontId="2" fillId="5" borderId="5" xfId="0" applyNumberFormat="1" applyFont="1" applyFill="1" applyBorder="1" applyAlignment="1">
      <alignment horizontal="center" vertical="center" wrapText="1"/>
    </xf>
    <xf numFmtId="0" fontId="9" fillId="5" borderId="5" xfId="1" applyNumberFormat="1" applyFont="1" applyFill="1" applyBorder="1" applyAlignment="1">
      <alignment horizontal="center" wrapText="1"/>
    </xf>
    <xf numFmtId="164" fontId="2" fillId="5" borderId="0" xfId="1" applyNumberFormat="1" applyFont="1" applyFill="1" applyBorder="1" applyAlignment="1">
      <alignment horizontal="center" vertical="center"/>
    </xf>
    <xf numFmtId="164" fontId="2" fillId="5" borderId="5" xfId="1" applyNumberFormat="1" applyFont="1" applyFill="1" applyBorder="1" applyAlignment="1">
      <alignment horizontal="center" vertical="center"/>
    </xf>
    <xf numFmtId="164" fontId="2" fillId="5" borderId="0" xfId="1" applyNumberFormat="1" applyFont="1" applyFill="1" applyBorder="1" applyAlignment="1">
      <alignment horizontal="center" vertical="center" wrapText="1"/>
    </xf>
    <xf numFmtId="164" fontId="2" fillId="5" borderId="5" xfId="1" applyNumberFormat="1" applyFont="1" applyFill="1" applyBorder="1" applyAlignment="1">
      <alignment horizontal="center" vertical="center" wrapText="1"/>
    </xf>
    <xf numFmtId="0" fontId="2" fillId="3" borderId="0" xfId="0" applyFont="1" applyFill="1" applyAlignment="1">
      <alignment horizontal="center" vertical="center"/>
    </xf>
    <xf numFmtId="0" fontId="11" fillId="3" borderId="0" xfId="0" applyFont="1" applyFill="1" applyBorder="1" applyAlignment="1">
      <alignment horizontal="center" vertical="center"/>
    </xf>
    <xf numFmtId="0" fontId="2" fillId="3" borderId="0" xfId="0" applyFont="1" applyFill="1" applyAlignment="1">
      <alignment horizontal="left" vertical="top" wrapText="1"/>
    </xf>
    <xf numFmtId="0" fontId="2" fillId="3" borderId="0" xfId="0" applyFont="1" applyFill="1" applyBorder="1" applyAlignment="1">
      <alignment horizontal="center" vertical="center"/>
    </xf>
    <xf numFmtId="0" fontId="2" fillId="3" borderId="0" xfId="0" applyFont="1" applyFill="1" applyBorder="1" applyAlignment="1">
      <alignment horizontal="center" vertical="center" wrapText="1"/>
    </xf>
    <xf numFmtId="0" fontId="2" fillId="3" borderId="5" xfId="0" applyFont="1" applyFill="1" applyBorder="1" applyAlignment="1">
      <alignment horizontal="center" vertical="center"/>
    </xf>
    <xf numFmtId="0" fontId="2" fillId="3" borderId="5" xfId="0" applyFont="1" applyFill="1" applyBorder="1" applyAlignment="1">
      <alignment horizontal="center" vertical="center" wrapText="1"/>
    </xf>
    <xf numFmtId="164" fontId="2" fillId="6" borderId="0" xfId="1" applyNumberFormat="1" applyFont="1" applyFill="1" applyBorder="1" applyAlignment="1" applyProtection="1">
      <alignment horizontal="center" vertical="center"/>
      <protection locked="0"/>
    </xf>
    <xf numFmtId="164" fontId="2" fillId="6" borderId="0" xfId="1" applyNumberFormat="1" applyFont="1" applyFill="1" applyBorder="1" applyAlignment="1" applyProtection="1">
      <alignment horizontal="center" vertical="center"/>
      <protection locked="0"/>
    </xf>
    <xf numFmtId="0" fontId="2" fillId="6" borderId="0" xfId="1" applyNumberFormat="1" applyFont="1" applyFill="1" applyBorder="1" applyAlignment="1" applyProtection="1">
      <alignment horizontal="center" vertical="center"/>
      <protection locked="0"/>
    </xf>
    <xf numFmtId="0" fontId="10" fillId="6" borderId="0" xfId="3" applyNumberFormat="1" applyFont="1" applyFill="1" applyBorder="1" applyAlignment="1" applyProtection="1">
      <alignment horizontal="center" vertical="center"/>
      <protection locked="0"/>
    </xf>
    <xf numFmtId="0" fontId="2" fillId="6" borderId="0" xfId="1" applyNumberFormat="1" applyFont="1" applyFill="1" applyBorder="1" applyAlignment="1" applyProtection="1">
      <alignment horizontal="center" vertical="center"/>
      <protection locked="0"/>
    </xf>
    <xf numFmtId="1" fontId="0" fillId="0" borderId="0" xfId="0" applyNumberFormat="1"/>
  </cellXfs>
  <cellStyles count="6">
    <cellStyle name="Comma" xfId="5" builtinId="3"/>
    <cellStyle name="Currency" xfId="1" builtinId="4"/>
    <cellStyle name="Hyperlink" xfId="3" builtinId="8"/>
    <cellStyle name="Normal" xfId="0" builtinId="0"/>
    <cellStyle name="Normal 2" xfId="4" xr:uid="{00000000-0005-0000-0000-000004000000}"/>
    <cellStyle name="Percent" xfId="2" builtinId="5"/>
  </cellStyles>
  <dxfs count="0"/>
  <tableStyles count="0" defaultTableStyle="TableStyleMedium2" defaultPivotStyle="PivotStyleLight16"/>
  <colors>
    <mruColors>
      <color rgb="FFDDDDDD"/>
      <color rgb="FFFF99FF"/>
      <color rgb="FFFF9900"/>
      <color rgb="FFFF66CC"/>
      <color rgb="FFFFCCFF"/>
      <color rgb="FFB2B2B2"/>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oneCellAnchor>
    <xdr:from>
      <xdr:col>1</xdr:col>
      <xdr:colOff>0</xdr:colOff>
      <xdr:row>5</xdr:row>
      <xdr:rowOff>0</xdr:rowOff>
    </xdr:from>
    <xdr:ext cx="184731" cy="264560"/>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74420" y="182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0</xdr:colOff>
      <xdr:row>11</xdr:row>
      <xdr:rowOff>0</xdr:rowOff>
    </xdr:from>
    <xdr:ext cx="184731" cy="264560"/>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0" y="895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0</xdr:colOff>
      <xdr:row>5</xdr:row>
      <xdr:rowOff>0</xdr:rowOff>
    </xdr:from>
    <xdr:ext cx="184731" cy="264560"/>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0" y="89876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11</xdr:row>
      <xdr:rowOff>0</xdr:rowOff>
    </xdr:from>
    <xdr:ext cx="184731" cy="264560"/>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0" y="89876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11</xdr:row>
      <xdr:rowOff>0</xdr:rowOff>
    </xdr:from>
    <xdr:ext cx="184731" cy="264560"/>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0" y="89876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11</xdr:row>
      <xdr:rowOff>0</xdr:rowOff>
    </xdr:from>
    <xdr:ext cx="184731" cy="264560"/>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112346" y="89876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11</xdr:row>
      <xdr:rowOff>0</xdr:rowOff>
    </xdr:from>
    <xdr:ext cx="184731" cy="264560"/>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1064846" y="89876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11</xdr:row>
      <xdr:rowOff>0</xdr:rowOff>
    </xdr:from>
    <xdr:ext cx="184731" cy="264560"/>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1064846" y="89876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0</xdr:colOff>
      <xdr:row>6</xdr:row>
      <xdr:rowOff>0</xdr:rowOff>
    </xdr:from>
    <xdr:ext cx="184731" cy="264560"/>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2017346" y="89876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0</xdr:colOff>
      <xdr:row>7</xdr:row>
      <xdr:rowOff>0</xdr:rowOff>
    </xdr:from>
    <xdr:ext cx="184731" cy="264560"/>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112346" y="222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0</xdr:colOff>
      <xdr:row>7</xdr:row>
      <xdr:rowOff>0</xdr:rowOff>
    </xdr:from>
    <xdr:ext cx="184731" cy="264560"/>
    <xdr:sp macro="" textlink="">
      <xdr:nvSpPr>
        <xdr:cNvPr id="12" name="TextBox 11">
          <a:extLst>
            <a:ext uri="{FF2B5EF4-FFF2-40B4-BE49-F238E27FC236}">
              <a16:creationId xmlns:a16="http://schemas.microsoft.com/office/drawing/2014/main" id="{00000000-0008-0000-0200-00000C000000}"/>
            </a:ext>
          </a:extLst>
        </xdr:cNvPr>
        <xdr:cNvSpPr txBox="1"/>
      </xdr:nvSpPr>
      <xdr:spPr>
        <a:xfrm>
          <a:off x="112346" y="222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0</xdr:colOff>
      <xdr:row>9</xdr:row>
      <xdr:rowOff>0</xdr:rowOff>
    </xdr:from>
    <xdr:ext cx="184731" cy="264560"/>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12346" y="222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0</xdr:colOff>
      <xdr:row>9</xdr:row>
      <xdr:rowOff>0</xdr:rowOff>
    </xdr:from>
    <xdr:ext cx="184731" cy="264560"/>
    <xdr:sp macro="" textlink="">
      <xdr:nvSpPr>
        <xdr:cNvPr id="14" name="TextBox 13">
          <a:extLst>
            <a:ext uri="{FF2B5EF4-FFF2-40B4-BE49-F238E27FC236}">
              <a16:creationId xmlns:a16="http://schemas.microsoft.com/office/drawing/2014/main" id="{00000000-0008-0000-0200-00000E000000}"/>
            </a:ext>
          </a:extLst>
        </xdr:cNvPr>
        <xdr:cNvSpPr txBox="1"/>
      </xdr:nvSpPr>
      <xdr:spPr>
        <a:xfrm>
          <a:off x="112346" y="222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0</xdr:colOff>
      <xdr:row>10</xdr:row>
      <xdr:rowOff>0</xdr:rowOff>
    </xdr:from>
    <xdr:ext cx="184731" cy="264560"/>
    <xdr:sp macro="" textlink="">
      <xdr:nvSpPr>
        <xdr:cNvPr id="15" name="TextBox 14">
          <a:extLst>
            <a:ext uri="{FF2B5EF4-FFF2-40B4-BE49-F238E27FC236}">
              <a16:creationId xmlns:a16="http://schemas.microsoft.com/office/drawing/2014/main" id="{00000000-0008-0000-0200-00000F000000}"/>
            </a:ext>
          </a:extLst>
        </xdr:cNvPr>
        <xdr:cNvSpPr txBox="1"/>
      </xdr:nvSpPr>
      <xdr:spPr>
        <a:xfrm>
          <a:off x="112346" y="245207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0</xdr:colOff>
      <xdr:row>10</xdr:row>
      <xdr:rowOff>0</xdr:rowOff>
    </xdr:from>
    <xdr:ext cx="184731" cy="264560"/>
    <xdr:sp macro="" textlink="">
      <xdr:nvSpPr>
        <xdr:cNvPr id="16" name="TextBox 15">
          <a:extLst>
            <a:ext uri="{FF2B5EF4-FFF2-40B4-BE49-F238E27FC236}">
              <a16:creationId xmlns:a16="http://schemas.microsoft.com/office/drawing/2014/main" id="{00000000-0008-0000-0200-000010000000}"/>
            </a:ext>
          </a:extLst>
        </xdr:cNvPr>
        <xdr:cNvSpPr txBox="1"/>
      </xdr:nvSpPr>
      <xdr:spPr>
        <a:xfrm>
          <a:off x="112346" y="245207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0</xdr:colOff>
      <xdr:row>10</xdr:row>
      <xdr:rowOff>0</xdr:rowOff>
    </xdr:from>
    <xdr:ext cx="184731" cy="264560"/>
    <xdr:sp macro="" textlink="">
      <xdr:nvSpPr>
        <xdr:cNvPr id="17" name="TextBox 16">
          <a:extLst>
            <a:ext uri="{FF2B5EF4-FFF2-40B4-BE49-F238E27FC236}">
              <a16:creationId xmlns:a16="http://schemas.microsoft.com/office/drawing/2014/main" id="{00000000-0008-0000-0200-000011000000}"/>
            </a:ext>
          </a:extLst>
        </xdr:cNvPr>
        <xdr:cNvSpPr txBox="1"/>
      </xdr:nvSpPr>
      <xdr:spPr>
        <a:xfrm>
          <a:off x="112346" y="288680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0</xdr:colOff>
      <xdr:row>10</xdr:row>
      <xdr:rowOff>0</xdr:rowOff>
    </xdr:from>
    <xdr:ext cx="184731" cy="264560"/>
    <xdr:sp macro="" textlink="">
      <xdr:nvSpPr>
        <xdr:cNvPr id="18" name="TextBox 17">
          <a:extLst>
            <a:ext uri="{FF2B5EF4-FFF2-40B4-BE49-F238E27FC236}">
              <a16:creationId xmlns:a16="http://schemas.microsoft.com/office/drawing/2014/main" id="{00000000-0008-0000-0200-000012000000}"/>
            </a:ext>
          </a:extLst>
        </xdr:cNvPr>
        <xdr:cNvSpPr txBox="1"/>
      </xdr:nvSpPr>
      <xdr:spPr>
        <a:xfrm>
          <a:off x="112346" y="288680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0</xdr:colOff>
      <xdr:row>11</xdr:row>
      <xdr:rowOff>0</xdr:rowOff>
    </xdr:from>
    <xdr:ext cx="184731" cy="264560"/>
    <xdr:sp macro="" textlink="">
      <xdr:nvSpPr>
        <xdr:cNvPr id="19" name="TextBox 18">
          <a:extLst>
            <a:ext uri="{FF2B5EF4-FFF2-40B4-BE49-F238E27FC236}">
              <a16:creationId xmlns:a16="http://schemas.microsoft.com/office/drawing/2014/main" id="{00000000-0008-0000-0200-000013000000}"/>
            </a:ext>
          </a:extLst>
        </xdr:cNvPr>
        <xdr:cNvSpPr txBox="1"/>
      </xdr:nvSpPr>
      <xdr:spPr>
        <a:xfrm>
          <a:off x="112346" y="309196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0</xdr:colOff>
      <xdr:row>11</xdr:row>
      <xdr:rowOff>0</xdr:rowOff>
    </xdr:from>
    <xdr:ext cx="184731" cy="264560"/>
    <xdr:sp macro="" textlink="">
      <xdr:nvSpPr>
        <xdr:cNvPr id="20" name="TextBox 19">
          <a:extLst>
            <a:ext uri="{FF2B5EF4-FFF2-40B4-BE49-F238E27FC236}">
              <a16:creationId xmlns:a16="http://schemas.microsoft.com/office/drawing/2014/main" id="{00000000-0008-0000-0200-000014000000}"/>
            </a:ext>
          </a:extLst>
        </xdr:cNvPr>
        <xdr:cNvSpPr txBox="1"/>
      </xdr:nvSpPr>
      <xdr:spPr>
        <a:xfrm>
          <a:off x="112346" y="309196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0</xdr:colOff>
      <xdr:row>10</xdr:row>
      <xdr:rowOff>0</xdr:rowOff>
    </xdr:from>
    <xdr:ext cx="184731" cy="264560"/>
    <xdr:sp macro="" textlink="">
      <xdr:nvSpPr>
        <xdr:cNvPr id="21" name="TextBox 20">
          <a:extLst>
            <a:ext uri="{FF2B5EF4-FFF2-40B4-BE49-F238E27FC236}">
              <a16:creationId xmlns:a16="http://schemas.microsoft.com/office/drawing/2014/main" id="{00000000-0008-0000-0200-000015000000}"/>
            </a:ext>
          </a:extLst>
        </xdr:cNvPr>
        <xdr:cNvSpPr txBox="1"/>
      </xdr:nvSpPr>
      <xdr:spPr>
        <a:xfrm>
          <a:off x="112346" y="288680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0</xdr:colOff>
      <xdr:row>10</xdr:row>
      <xdr:rowOff>0</xdr:rowOff>
    </xdr:from>
    <xdr:ext cx="184731" cy="264560"/>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112346" y="288680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0</xdr:colOff>
      <xdr:row>11</xdr:row>
      <xdr:rowOff>0</xdr:rowOff>
    </xdr:from>
    <xdr:ext cx="184731" cy="264560"/>
    <xdr:sp macro="" textlink="">
      <xdr:nvSpPr>
        <xdr:cNvPr id="23" name="TextBox 22">
          <a:extLst>
            <a:ext uri="{FF2B5EF4-FFF2-40B4-BE49-F238E27FC236}">
              <a16:creationId xmlns:a16="http://schemas.microsoft.com/office/drawing/2014/main" id="{00000000-0008-0000-0200-000017000000}"/>
            </a:ext>
          </a:extLst>
        </xdr:cNvPr>
        <xdr:cNvSpPr txBox="1"/>
      </xdr:nvSpPr>
      <xdr:spPr>
        <a:xfrm>
          <a:off x="112346" y="309196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0</xdr:colOff>
      <xdr:row>11</xdr:row>
      <xdr:rowOff>0</xdr:rowOff>
    </xdr:from>
    <xdr:ext cx="184731" cy="264560"/>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112346" y="309196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0</xdr:colOff>
      <xdr:row>11</xdr:row>
      <xdr:rowOff>0</xdr:rowOff>
    </xdr:from>
    <xdr:ext cx="184731" cy="264560"/>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112346" y="309196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0</xdr:colOff>
      <xdr:row>11</xdr:row>
      <xdr:rowOff>0</xdr:rowOff>
    </xdr:from>
    <xdr:ext cx="184731" cy="264560"/>
    <xdr:sp macro="" textlink="">
      <xdr:nvSpPr>
        <xdr:cNvPr id="26" name="TextBox 25">
          <a:extLst>
            <a:ext uri="{FF2B5EF4-FFF2-40B4-BE49-F238E27FC236}">
              <a16:creationId xmlns:a16="http://schemas.microsoft.com/office/drawing/2014/main" id="{00000000-0008-0000-0200-00001A000000}"/>
            </a:ext>
          </a:extLst>
        </xdr:cNvPr>
        <xdr:cNvSpPr txBox="1"/>
      </xdr:nvSpPr>
      <xdr:spPr>
        <a:xfrm>
          <a:off x="112346" y="309196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0</xdr:colOff>
      <xdr:row>11</xdr:row>
      <xdr:rowOff>0</xdr:rowOff>
    </xdr:from>
    <xdr:ext cx="184731" cy="264560"/>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112346" y="309196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0</xdr:colOff>
      <xdr:row>11</xdr:row>
      <xdr:rowOff>0</xdr:rowOff>
    </xdr:from>
    <xdr:ext cx="184731" cy="264560"/>
    <xdr:sp macro="" textlink="">
      <xdr:nvSpPr>
        <xdr:cNvPr id="28" name="TextBox 27">
          <a:extLst>
            <a:ext uri="{FF2B5EF4-FFF2-40B4-BE49-F238E27FC236}">
              <a16:creationId xmlns:a16="http://schemas.microsoft.com/office/drawing/2014/main" id="{00000000-0008-0000-0200-00001C000000}"/>
            </a:ext>
          </a:extLst>
        </xdr:cNvPr>
        <xdr:cNvSpPr txBox="1"/>
      </xdr:nvSpPr>
      <xdr:spPr>
        <a:xfrm>
          <a:off x="112346" y="309196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0</xdr:colOff>
      <xdr:row>11</xdr:row>
      <xdr:rowOff>0</xdr:rowOff>
    </xdr:from>
    <xdr:ext cx="184731" cy="264560"/>
    <xdr:sp macro="" textlink="">
      <xdr:nvSpPr>
        <xdr:cNvPr id="29" name="TextBox 28">
          <a:extLst>
            <a:ext uri="{FF2B5EF4-FFF2-40B4-BE49-F238E27FC236}">
              <a16:creationId xmlns:a16="http://schemas.microsoft.com/office/drawing/2014/main" id="{00000000-0008-0000-0200-00001D000000}"/>
            </a:ext>
          </a:extLst>
        </xdr:cNvPr>
        <xdr:cNvSpPr txBox="1"/>
      </xdr:nvSpPr>
      <xdr:spPr>
        <a:xfrm>
          <a:off x="112346" y="309196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0</xdr:colOff>
      <xdr:row>11</xdr:row>
      <xdr:rowOff>0</xdr:rowOff>
    </xdr:from>
    <xdr:ext cx="184731" cy="264560"/>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112346" y="309196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0</xdr:colOff>
      <xdr:row>12</xdr:row>
      <xdr:rowOff>0</xdr:rowOff>
    </xdr:from>
    <xdr:ext cx="184731" cy="264560"/>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112346" y="329711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0</xdr:colOff>
      <xdr:row>12</xdr:row>
      <xdr:rowOff>0</xdr:rowOff>
    </xdr:from>
    <xdr:ext cx="184731" cy="264560"/>
    <xdr:sp macro="" textlink="">
      <xdr:nvSpPr>
        <xdr:cNvPr id="32" name="TextBox 31">
          <a:extLst>
            <a:ext uri="{FF2B5EF4-FFF2-40B4-BE49-F238E27FC236}">
              <a16:creationId xmlns:a16="http://schemas.microsoft.com/office/drawing/2014/main" id="{00000000-0008-0000-0200-000020000000}"/>
            </a:ext>
          </a:extLst>
        </xdr:cNvPr>
        <xdr:cNvSpPr txBox="1"/>
      </xdr:nvSpPr>
      <xdr:spPr>
        <a:xfrm>
          <a:off x="112346" y="329711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0</xdr:colOff>
      <xdr:row>11</xdr:row>
      <xdr:rowOff>0</xdr:rowOff>
    </xdr:from>
    <xdr:ext cx="184731" cy="264560"/>
    <xdr:sp macro="" textlink="">
      <xdr:nvSpPr>
        <xdr:cNvPr id="33" name="TextBox 32">
          <a:extLst>
            <a:ext uri="{FF2B5EF4-FFF2-40B4-BE49-F238E27FC236}">
              <a16:creationId xmlns:a16="http://schemas.microsoft.com/office/drawing/2014/main" id="{00000000-0008-0000-0200-000021000000}"/>
            </a:ext>
          </a:extLst>
        </xdr:cNvPr>
        <xdr:cNvSpPr txBox="1"/>
      </xdr:nvSpPr>
      <xdr:spPr>
        <a:xfrm>
          <a:off x="112346" y="309196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0</xdr:colOff>
      <xdr:row>11</xdr:row>
      <xdr:rowOff>0</xdr:rowOff>
    </xdr:from>
    <xdr:ext cx="184731" cy="264560"/>
    <xdr:sp macro="" textlink="">
      <xdr:nvSpPr>
        <xdr:cNvPr id="34" name="TextBox 33">
          <a:extLst>
            <a:ext uri="{FF2B5EF4-FFF2-40B4-BE49-F238E27FC236}">
              <a16:creationId xmlns:a16="http://schemas.microsoft.com/office/drawing/2014/main" id="{00000000-0008-0000-0200-000022000000}"/>
            </a:ext>
          </a:extLst>
        </xdr:cNvPr>
        <xdr:cNvSpPr txBox="1"/>
      </xdr:nvSpPr>
      <xdr:spPr>
        <a:xfrm>
          <a:off x="112346" y="309196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0</xdr:colOff>
      <xdr:row>12</xdr:row>
      <xdr:rowOff>0</xdr:rowOff>
    </xdr:from>
    <xdr:ext cx="184731" cy="264560"/>
    <xdr:sp macro="" textlink="">
      <xdr:nvSpPr>
        <xdr:cNvPr id="35" name="TextBox 34">
          <a:extLst>
            <a:ext uri="{FF2B5EF4-FFF2-40B4-BE49-F238E27FC236}">
              <a16:creationId xmlns:a16="http://schemas.microsoft.com/office/drawing/2014/main" id="{00000000-0008-0000-0200-000023000000}"/>
            </a:ext>
          </a:extLst>
        </xdr:cNvPr>
        <xdr:cNvSpPr txBox="1"/>
      </xdr:nvSpPr>
      <xdr:spPr>
        <a:xfrm>
          <a:off x="112346" y="329711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0</xdr:colOff>
      <xdr:row>12</xdr:row>
      <xdr:rowOff>0</xdr:rowOff>
    </xdr:from>
    <xdr:ext cx="184731" cy="264560"/>
    <xdr:sp macro="" textlink="">
      <xdr:nvSpPr>
        <xdr:cNvPr id="36" name="TextBox 35">
          <a:extLst>
            <a:ext uri="{FF2B5EF4-FFF2-40B4-BE49-F238E27FC236}">
              <a16:creationId xmlns:a16="http://schemas.microsoft.com/office/drawing/2014/main" id="{00000000-0008-0000-0200-000024000000}"/>
            </a:ext>
          </a:extLst>
        </xdr:cNvPr>
        <xdr:cNvSpPr txBox="1"/>
      </xdr:nvSpPr>
      <xdr:spPr>
        <a:xfrm>
          <a:off x="112346" y="329711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0</xdr:colOff>
      <xdr:row>12</xdr:row>
      <xdr:rowOff>0</xdr:rowOff>
    </xdr:from>
    <xdr:ext cx="184731" cy="264560"/>
    <xdr:sp macro="" textlink="">
      <xdr:nvSpPr>
        <xdr:cNvPr id="37" name="TextBox 36">
          <a:extLst>
            <a:ext uri="{FF2B5EF4-FFF2-40B4-BE49-F238E27FC236}">
              <a16:creationId xmlns:a16="http://schemas.microsoft.com/office/drawing/2014/main" id="{00000000-0008-0000-0200-000025000000}"/>
            </a:ext>
          </a:extLst>
        </xdr:cNvPr>
        <xdr:cNvSpPr txBox="1"/>
      </xdr:nvSpPr>
      <xdr:spPr>
        <a:xfrm>
          <a:off x="112346" y="329711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0</xdr:colOff>
      <xdr:row>12</xdr:row>
      <xdr:rowOff>0</xdr:rowOff>
    </xdr:from>
    <xdr:ext cx="184731" cy="264560"/>
    <xdr:sp macro="" textlink="">
      <xdr:nvSpPr>
        <xdr:cNvPr id="38" name="TextBox 37">
          <a:extLst>
            <a:ext uri="{FF2B5EF4-FFF2-40B4-BE49-F238E27FC236}">
              <a16:creationId xmlns:a16="http://schemas.microsoft.com/office/drawing/2014/main" id="{00000000-0008-0000-0200-000026000000}"/>
            </a:ext>
          </a:extLst>
        </xdr:cNvPr>
        <xdr:cNvSpPr txBox="1"/>
      </xdr:nvSpPr>
      <xdr:spPr>
        <a:xfrm>
          <a:off x="112346" y="329711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0</xdr:colOff>
      <xdr:row>6</xdr:row>
      <xdr:rowOff>0</xdr:rowOff>
    </xdr:from>
    <xdr:ext cx="184731" cy="264560"/>
    <xdr:sp macro="" textlink="">
      <xdr:nvSpPr>
        <xdr:cNvPr id="40" name="TextBox 39">
          <a:extLst>
            <a:ext uri="{FF2B5EF4-FFF2-40B4-BE49-F238E27FC236}">
              <a16:creationId xmlns:a16="http://schemas.microsoft.com/office/drawing/2014/main" id="{00000000-0008-0000-0200-000028000000}"/>
            </a:ext>
          </a:extLst>
        </xdr:cNvPr>
        <xdr:cNvSpPr txBox="1"/>
      </xdr:nvSpPr>
      <xdr:spPr>
        <a:xfrm>
          <a:off x="112346" y="222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0</xdr:colOff>
      <xdr:row>6</xdr:row>
      <xdr:rowOff>0</xdr:rowOff>
    </xdr:from>
    <xdr:ext cx="184731" cy="264560"/>
    <xdr:sp macro="" textlink="">
      <xdr:nvSpPr>
        <xdr:cNvPr id="41" name="TextBox 40">
          <a:extLst>
            <a:ext uri="{FF2B5EF4-FFF2-40B4-BE49-F238E27FC236}">
              <a16:creationId xmlns:a16="http://schemas.microsoft.com/office/drawing/2014/main" id="{00000000-0008-0000-0200-000029000000}"/>
            </a:ext>
          </a:extLst>
        </xdr:cNvPr>
        <xdr:cNvSpPr txBox="1"/>
      </xdr:nvSpPr>
      <xdr:spPr>
        <a:xfrm>
          <a:off x="112346" y="222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0</xdr:colOff>
      <xdr:row>6</xdr:row>
      <xdr:rowOff>0</xdr:rowOff>
    </xdr:from>
    <xdr:ext cx="184731" cy="264560"/>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112346" y="222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0</xdr:colOff>
      <xdr:row>6</xdr:row>
      <xdr:rowOff>0</xdr:rowOff>
    </xdr:from>
    <xdr:ext cx="184731" cy="264560"/>
    <xdr:sp macro="" textlink="">
      <xdr:nvSpPr>
        <xdr:cNvPr id="44" name="TextBox 43">
          <a:extLst>
            <a:ext uri="{FF2B5EF4-FFF2-40B4-BE49-F238E27FC236}">
              <a16:creationId xmlns:a16="http://schemas.microsoft.com/office/drawing/2014/main" id="{00000000-0008-0000-0200-00002C000000}"/>
            </a:ext>
          </a:extLst>
        </xdr:cNvPr>
        <xdr:cNvSpPr txBox="1"/>
      </xdr:nvSpPr>
      <xdr:spPr>
        <a:xfrm>
          <a:off x="112346" y="222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0</xdr:colOff>
      <xdr:row>5</xdr:row>
      <xdr:rowOff>0</xdr:rowOff>
    </xdr:from>
    <xdr:ext cx="184731" cy="264560"/>
    <xdr:sp macro="" textlink="">
      <xdr:nvSpPr>
        <xdr:cNvPr id="45" name="TextBox 44">
          <a:extLst>
            <a:ext uri="{FF2B5EF4-FFF2-40B4-BE49-F238E27FC236}">
              <a16:creationId xmlns:a16="http://schemas.microsoft.com/office/drawing/2014/main" id="{00000000-0008-0000-0200-00002D000000}"/>
            </a:ext>
          </a:extLst>
        </xdr:cNvPr>
        <xdr:cNvSpPr txBox="1"/>
      </xdr:nvSpPr>
      <xdr:spPr>
        <a:xfrm>
          <a:off x="112346" y="199292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0</xdr:colOff>
      <xdr:row>5</xdr:row>
      <xdr:rowOff>0</xdr:rowOff>
    </xdr:from>
    <xdr:ext cx="184731" cy="264560"/>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074420"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3</xdr:row>
      <xdr:rowOff>0</xdr:rowOff>
    </xdr:from>
    <xdr:ext cx="184731" cy="264560"/>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3225800" y="387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0</xdr:colOff>
      <xdr:row>3</xdr:row>
      <xdr:rowOff>0</xdr:rowOff>
    </xdr:from>
    <xdr:ext cx="184731"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3454400" y="387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COB-SRV3\Users1\mfd4967\Center%20for%20Financial%20Wellness%20and%20Planning\Cash%20n%20Careers\Cash%20'n'%20Careers%20Calculator%205APR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eer Comparison"/>
      <sheetName val="Government Figures"/>
      <sheetName val="College Schedule"/>
      <sheetName val="Career Schedule"/>
      <sheetName val="MI College Cost"/>
      <sheetName val="T1 Default Settings"/>
      <sheetName val="T2 Examples"/>
    </sheetNames>
    <sheetDataSet>
      <sheetData sheetId="0"/>
      <sheetData sheetId="1"/>
      <sheetData sheetId="2">
        <row r="11">
          <cell r="D11" t="str">
            <v>Months until college graduation</v>
          </cell>
        </row>
      </sheetData>
      <sheetData sheetId="3">
        <row r="8">
          <cell r="F8" t="str">
            <v>Working Months</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bls.gov/news.release/wkyeng.t06.htm" TargetMode="External"/><Relationship Id="rId7" Type="http://schemas.openxmlformats.org/officeDocument/2006/relationships/printerSettings" Target="../printerSettings/printerSettings1.bin"/><Relationship Id="rId2" Type="http://schemas.openxmlformats.org/officeDocument/2006/relationships/hyperlink" Target="https://studentaid.ed.gov/sa/types/grants-scholarships" TargetMode="External"/><Relationship Id="rId1" Type="http://schemas.openxmlformats.org/officeDocument/2006/relationships/hyperlink" Target="http://www.bls.gov/ooh/" TargetMode="External"/><Relationship Id="rId6" Type="http://schemas.openxmlformats.org/officeDocument/2006/relationships/hyperlink" Target="http://www.collegecalc.org/colleges/michigan/?view=all" TargetMode="External"/><Relationship Id="rId5" Type="http://schemas.openxmlformats.org/officeDocument/2006/relationships/hyperlink" Target="http://npc.umich.edu/publications/working_papers/?publication_id=239&amp;" TargetMode="External"/><Relationship Id="rId4" Type="http://schemas.openxmlformats.org/officeDocument/2006/relationships/hyperlink" Target="https://wmich.edu/businessnews/mattross.html"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taxfoundation.org/state-individual-income-tax-rates-brackets-2017/" TargetMode="External"/><Relationship Id="rId13" Type="http://schemas.openxmlformats.org/officeDocument/2006/relationships/comments" Target="../comments2.xml"/><Relationship Id="rId3" Type="http://schemas.openxmlformats.org/officeDocument/2006/relationships/hyperlink" Target="https://research.stlouisfed.org/fred2/series/MICH" TargetMode="External"/><Relationship Id="rId7" Type="http://schemas.openxmlformats.org/officeDocument/2006/relationships/hyperlink" Target="https://taxfoundation.org/2017-tax-brackets/" TargetMode="External"/><Relationship Id="rId12" Type="http://schemas.openxmlformats.org/officeDocument/2006/relationships/vmlDrawing" Target="../drawings/vmlDrawing2.vml"/><Relationship Id="rId2" Type="http://schemas.openxmlformats.org/officeDocument/2006/relationships/hyperlink" Target="http://taxfoundation.org/article/2016-tax-brackets" TargetMode="External"/><Relationship Id="rId1" Type="http://schemas.openxmlformats.org/officeDocument/2006/relationships/hyperlink" Target="https://www.irs.gov/taxtopics/tc751.html" TargetMode="External"/><Relationship Id="rId6" Type="http://schemas.openxmlformats.org/officeDocument/2006/relationships/hyperlink" Target="https://wmich.edu/businessnews/mattross.html" TargetMode="External"/><Relationship Id="rId11" Type="http://schemas.openxmlformats.org/officeDocument/2006/relationships/drawing" Target="../drawings/drawing1.xml"/><Relationship Id="rId5" Type="http://schemas.openxmlformats.org/officeDocument/2006/relationships/hyperlink" Target="https://studentaid.ed.gov/sa/types/loans/subsidized-unsubsidized" TargetMode="External"/><Relationship Id="rId10" Type="http://schemas.openxmlformats.org/officeDocument/2006/relationships/printerSettings" Target="../printerSettings/printerSettings2.bin"/><Relationship Id="rId4" Type="http://schemas.openxmlformats.org/officeDocument/2006/relationships/hyperlink" Target="http://trends.collegeboard.org/content/average-rates-growth-published-charges-decade-0" TargetMode="External"/><Relationship Id="rId9" Type="http://schemas.openxmlformats.org/officeDocument/2006/relationships/hyperlink" Target="https://www.thebalance.com/cities-that-levy-income-taxes-3193246"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epi.org/resources/budget/" TargetMode="External"/><Relationship Id="rId13" Type="http://schemas.openxmlformats.org/officeDocument/2006/relationships/comments" Target="../comments3.xml"/><Relationship Id="rId3" Type="http://schemas.openxmlformats.org/officeDocument/2006/relationships/hyperlink" Target="https://www.healthcare.gov/glossary/federal-poverty-level-FPL/" TargetMode="External"/><Relationship Id="rId7" Type="http://schemas.openxmlformats.org/officeDocument/2006/relationships/hyperlink" Target="http://www.epi.org/resources/budget/" TargetMode="External"/><Relationship Id="rId12" Type="http://schemas.openxmlformats.org/officeDocument/2006/relationships/vmlDrawing" Target="../drawings/vmlDrawing3.vml"/><Relationship Id="rId2" Type="http://schemas.openxmlformats.org/officeDocument/2006/relationships/hyperlink" Target="https://professionals.collegeboard.org/higher-ed/financial-aid/living-expense/12-month" TargetMode="External"/><Relationship Id="rId1" Type="http://schemas.openxmlformats.org/officeDocument/2006/relationships/hyperlink" Target="https://professionals.collegeboard.org/higher-ed/financial-aid/living-expense/12-month" TargetMode="External"/><Relationship Id="rId6" Type="http://schemas.openxmlformats.org/officeDocument/2006/relationships/hyperlink" Target="http://www.epi.org/resources/budget/" TargetMode="External"/><Relationship Id="rId11" Type="http://schemas.openxmlformats.org/officeDocument/2006/relationships/drawing" Target="../drawings/drawing2.xml"/><Relationship Id="rId5" Type="http://schemas.openxmlformats.org/officeDocument/2006/relationships/hyperlink" Target="http://www.epi.org/resources/budget/" TargetMode="External"/><Relationship Id="rId10" Type="http://schemas.openxmlformats.org/officeDocument/2006/relationships/printerSettings" Target="../printerSettings/printerSettings3.bin"/><Relationship Id="rId4" Type="http://schemas.openxmlformats.org/officeDocument/2006/relationships/hyperlink" Target="http://www.epi.org/resources/budget/" TargetMode="External"/><Relationship Id="rId9" Type="http://schemas.openxmlformats.org/officeDocument/2006/relationships/hyperlink" Target="https://wmich.edu/businessnews/mattross.html" TargetMode="External"/></Relationships>
</file>

<file path=xl/worksheets/_rels/sheet4.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http://www.collegecalc.org/colleges/michigan/?view=all" TargetMode="External"/><Relationship Id="rId7" Type="http://schemas.openxmlformats.org/officeDocument/2006/relationships/vmlDrawing" Target="../drawings/vmlDrawing4.vml"/><Relationship Id="rId2" Type="http://schemas.openxmlformats.org/officeDocument/2006/relationships/hyperlink" Target="https://studentaid.ed.gov/sa/types/loans/subsidized-unsubsidized" TargetMode="External"/><Relationship Id="rId1" Type="http://schemas.openxmlformats.org/officeDocument/2006/relationships/hyperlink" Target="https://wmich.edu/businessnews/mattross.html" TargetMode="External"/><Relationship Id="rId6" Type="http://schemas.openxmlformats.org/officeDocument/2006/relationships/drawing" Target="../drawings/drawing3.xml"/><Relationship Id="rId5" Type="http://schemas.openxmlformats.org/officeDocument/2006/relationships/printerSettings" Target="../printerSettings/printerSettings4.bin"/><Relationship Id="rId4" Type="http://schemas.openxmlformats.org/officeDocument/2006/relationships/hyperlink" Target="https://studentaid.ed.gov/sa/repay-loans/understand/plans/standard"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https://wmich.edu/businessnews/mattross.html" TargetMode="External"/><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8" Type="http://schemas.openxmlformats.org/officeDocument/2006/relationships/hyperlink" Target="https://wmich.edu/businessnews/mattross.html" TargetMode="External"/><Relationship Id="rId13" Type="http://schemas.openxmlformats.org/officeDocument/2006/relationships/hyperlink" Target="http://topwritingreviews.com/blog/semester-vs-quarter-system" TargetMode="External"/><Relationship Id="rId18" Type="http://schemas.openxmlformats.org/officeDocument/2006/relationships/hyperlink" Target="https://trends.collegeboard.org/sites/default/files/education-pays-2016-source-data.xls" TargetMode="External"/><Relationship Id="rId26" Type="http://schemas.openxmlformats.org/officeDocument/2006/relationships/hyperlink" Target="https://taxfoundation.org/2017-tax-brackets/" TargetMode="External"/><Relationship Id="rId3" Type="http://schemas.openxmlformats.org/officeDocument/2006/relationships/hyperlink" Target="http://collegemeasures.org/4-year_colleges/state/MI/compare-colleges/cost-per-student/" TargetMode="External"/><Relationship Id="rId21" Type="http://schemas.openxmlformats.org/officeDocument/2006/relationships/hyperlink" Target="https://trends.collegeboard.org/sites/default/files/2016-trends-student-aid-source-data_0.xls" TargetMode="External"/><Relationship Id="rId34" Type="http://schemas.openxmlformats.org/officeDocument/2006/relationships/hyperlink" Target="https://taxfoundation.org/state-individual-income-tax-rates-brackets-2017/" TargetMode="External"/><Relationship Id="rId7" Type="http://schemas.openxmlformats.org/officeDocument/2006/relationships/hyperlink" Target="http://ticas.org/sites/default/files/pub_files/classof2015.pdf" TargetMode="External"/><Relationship Id="rId12" Type="http://schemas.openxmlformats.org/officeDocument/2006/relationships/hyperlink" Target="https://fred.stlouisfed.org/series/MICH" TargetMode="External"/><Relationship Id="rId17" Type="http://schemas.openxmlformats.org/officeDocument/2006/relationships/hyperlink" Target="https://www.dol.gov/whd/minwage/america.htm" TargetMode="External"/><Relationship Id="rId25" Type="http://schemas.openxmlformats.org/officeDocument/2006/relationships/hyperlink" Target="https://studentaid.ed.gov/sa/types/loans/subsidized-unsubsidized" TargetMode="External"/><Relationship Id="rId33" Type="http://schemas.openxmlformats.org/officeDocument/2006/relationships/hyperlink" Target="https://www.irs.gov/taxtopics/tc751.html" TargetMode="External"/><Relationship Id="rId2" Type="http://schemas.openxmlformats.org/officeDocument/2006/relationships/hyperlink" Target="http://www.jstor.org/stable/2677897?seq=1" TargetMode="External"/><Relationship Id="rId16" Type="http://schemas.openxmlformats.org/officeDocument/2006/relationships/hyperlink" Target="http://npc.umich.edu/publications/working_papers/?publication_id=239&amp;" TargetMode="External"/><Relationship Id="rId20" Type="http://schemas.openxmlformats.org/officeDocument/2006/relationships/hyperlink" Target="https://trends.collegeboard.org/sites/default/files/education-pays-2016-source-data.xls" TargetMode="External"/><Relationship Id="rId29" Type="http://schemas.openxmlformats.org/officeDocument/2006/relationships/hyperlink" Target="https://www.irs.gov/taxtopics/tc751.html" TargetMode="External"/><Relationship Id="rId1" Type="http://schemas.openxmlformats.org/officeDocument/2006/relationships/hyperlink" Target="https://bigfuture.collegeboard.org/pay-for-college/college-costs/college-costs-faqs" TargetMode="External"/><Relationship Id="rId6" Type="http://schemas.openxmlformats.org/officeDocument/2006/relationships/hyperlink" Target="https://studentaid.ed.gov/sa/repay-loans/understand/plans/standard" TargetMode="External"/><Relationship Id="rId11" Type="http://schemas.openxmlformats.org/officeDocument/2006/relationships/hyperlink" Target="https://nces.ed.gov/fastfacts/display.asp?id=77" TargetMode="External"/><Relationship Id="rId24" Type="http://schemas.openxmlformats.org/officeDocument/2006/relationships/hyperlink" Target="https://trends.collegeboard.org/sites/default/files/2016-trends-college-pricing-source-data_0.xlsx" TargetMode="External"/><Relationship Id="rId32" Type="http://schemas.openxmlformats.org/officeDocument/2006/relationships/hyperlink" Target="https://www.irs.gov/taxtopics/tc751.html" TargetMode="External"/><Relationship Id="rId37" Type="http://schemas.openxmlformats.org/officeDocument/2006/relationships/drawing" Target="../drawings/drawing4.xml"/><Relationship Id="rId5" Type="http://schemas.openxmlformats.org/officeDocument/2006/relationships/hyperlink" Target="https://nces.ed.gov/pubs2011/2011236.pdf" TargetMode="External"/><Relationship Id="rId15" Type="http://schemas.openxmlformats.org/officeDocument/2006/relationships/hyperlink" Target="https://trends.collegeboard.org/sites/default/files/education-pays-2016-source-data.xls" TargetMode="External"/><Relationship Id="rId23" Type="http://schemas.openxmlformats.org/officeDocument/2006/relationships/hyperlink" Target="https://www.federalreserve.gov/faqs/money_12848.htm" TargetMode="External"/><Relationship Id="rId28" Type="http://schemas.openxmlformats.org/officeDocument/2006/relationships/hyperlink" Target="https://taxfoundation.org/2017-tax-brackets/" TargetMode="External"/><Relationship Id="rId36" Type="http://schemas.openxmlformats.org/officeDocument/2006/relationships/printerSettings" Target="../printerSettings/printerSettings6.bin"/><Relationship Id="rId10" Type="http://schemas.openxmlformats.org/officeDocument/2006/relationships/hyperlink" Target="https://professionals.collegeboard.org/higher-ed/financial-aid/living-expense/12-month" TargetMode="External"/><Relationship Id="rId19" Type="http://schemas.openxmlformats.org/officeDocument/2006/relationships/hyperlink" Target="https://trends.collegeboard.org/sites/default/files/education-pays-2016-source-data.xls" TargetMode="External"/><Relationship Id="rId31" Type="http://schemas.openxmlformats.org/officeDocument/2006/relationships/hyperlink" Target="https://www.irs.gov/taxtopics/tc751.html" TargetMode="External"/><Relationship Id="rId4" Type="http://schemas.openxmlformats.org/officeDocument/2006/relationships/hyperlink" Target="https://wmich.edu/about/facts" TargetMode="External"/><Relationship Id="rId9" Type="http://schemas.openxmlformats.org/officeDocument/2006/relationships/hyperlink" Target="https://www.thebalance.com/cities-that-levy-income-taxes-3193246" TargetMode="External"/><Relationship Id="rId14" Type="http://schemas.openxmlformats.org/officeDocument/2006/relationships/hyperlink" Target="https://www.ssa.gov/planners/retire/stopwork.html" TargetMode="External"/><Relationship Id="rId22" Type="http://schemas.openxmlformats.org/officeDocument/2006/relationships/hyperlink" Target="https://trends.collegeboard.org/sites/default/files/2016-trends-college-pricing-source-data_0.xlsx" TargetMode="External"/><Relationship Id="rId27" Type="http://schemas.openxmlformats.org/officeDocument/2006/relationships/hyperlink" Target="https://taxfoundation.org/2017-tax-brackets/" TargetMode="External"/><Relationship Id="rId30" Type="http://schemas.openxmlformats.org/officeDocument/2006/relationships/hyperlink" Target="https://www.irs.gov/taxtopics/tc751.html" TargetMode="External"/><Relationship Id="rId35" Type="http://schemas.openxmlformats.org/officeDocument/2006/relationships/hyperlink" Target="https://trends.collegeboard.org/sites/default/files/2016-trends-college-pricing-source-data_0.xlsx"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bls.gov/ooh/office-and-administrative-support/mobile/tellers.htm" TargetMode="External"/><Relationship Id="rId7" Type="http://schemas.openxmlformats.org/officeDocument/2006/relationships/drawing" Target="../drawings/drawing5.xml"/><Relationship Id="rId2" Type="http://schemas.openxmlformats.org/officeDocument/2006/relationships/hyperlink" Target="http://www.bls.gov/ooh/business-and-financial/financial-analysts.htm" TargetMode="External"/><Relationship Id="rId1" Type="http://schemas.openxmlformats.org/officeDocument/2006/relationships/hyperlink" Target="http://www.bls.gov/ooh/healthcare/registered-nurses.htm" TargetMode="External"/><Relationship Id="rId6" Type="http://schemas.openxmlformats.org/officeDocument/2006/relationships/printerSettings" Target="../printerSettings/printerSettings7.bin"/><Relationship Id="rId5" Type="http://schemas.openxmlformats.org/officeDocument/2006/relationships/hyperlink" Target="https://www.bls.gov/ooh/community-and-social-service/substance-abuse-and-behavioral-disorder-counselors.htm" TargetMode="External"/><Relationship Id="rId4" Type="http://schemas.openxmlformats.org/officeDocument/2006/relationships/hyperlink" Target="https://www.bls.gov/ooh/healthcare/pharmacy-technicians.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B246"/>
  <sheetViews>
    <sheetView zoomScale="150" zoomScaleNormal="150" workbookViewId="0">
      <selection activeCell="F24" sqref="F24"/>
    </sheetView>
  </sheetViews>
  <sheetFormatPr defaultColWidth="9.140625" defaultRowHeight="27.75" x14ac:dyDescent="0.4"/>
  <cols>
    <col min="1" max="1" width="1.5703125" style="8" customWidth="1"/>
    <col min="2" max="2" width="15.5703125" style="2" customWidth="1"/>
    <col min="3" max="7" width="15.5703125" style="1" customWidth="1"/>
    <col min="8" max="8" width="1.5703125" style="9" customWidth="1"/>
    <col min="9" max="9" width="1" style="15" customWidth="1"/>
    <col min="10" max="132" width="9.140625" style="7"/>
    <col min="133" max="16384" width="9.140625" style="2"/>
  </cols>
  <sheetData>
    <row r="1" spans="1:132" ht="3" customHeight="1" thickBot="1" x14ac:dyDescent="0.45">
      <c r="B1" s="8"/>
      <c r="C1" s="9"/>
      <c r="D1" s="9"/>
      <c r="E1" s="9"/>
      <c r="F1" s="9"/>
      <c r="G1" s="9"/>
      <c r="I1" s="14"/>
    </row>
    <row r="2" spans="1:132" s="28" customFormat="1" ht="24.6" customHeight="1" x14ac:dyDescent="0.4">
      <c r="A2" s="62"/>
      <c r="B2" s="347" t="s">
        <v>110</v>
      </c>
      <c r="C2" s="347"/>
      <c r="D2" s="347"/>
      <c r="E2" s="347"/>
      <c r="F2" s="347"/>
      <c r="G2" s="347"/>
      <c r="H2" s="63"/>
      <c r="I2" s="25"/>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27"/>
      <c r="BJ2" s="27"/>
      <c r="BK2" s="27"/>
      <c r="BL2" s="27"/>
      <c r="BM2" s="27"/>
      <c r="BN2" s="27"/>
      <c r="BO2" s="27"/>
      <c r="BP2" s="27"/>
      <c r="BQ2" s="27"/>
      <c r="BR2" s="27"/>
      <c r="BS2" s="27"/>
      <c r="BT2" s="27"/>
      <c r="BU2" s="27"/>
      <c r="BV2" s="27"/>
      <c r="BW2" s="27"/>
      <c r="BX2" s="27"/>
      <c r="BY2" s="27"/>
      <c r="BZ2" s="27"/>
      <c r="CA2" s="27"/>
      <c r="CB2" s="27"/>
      <c r="CC2" s="27"/>
      <c r="CD2" s="27"/>
      <c r="CE2" s="27"/>
      <c r="CF2" s="27"/>
      <c r="CG2" s="27"/>
      <c r="CH2" s="27"/>
      <c r="CI2" s="27"/>
      <c r="CJ2" s="27"/>
      <c r="CK2" s="27"/>
      <c r="CL2" s="27"/>
      <c r="CM2" s="27"/>
      <c r="CN2" s="27"/>
      <c r="CO2" s="27"/>
      <c r="CP2" s="27"/>
      <c r="CQ2" s="27"/>
      <c r="CR2" s="27"/>
      <c r="CS2" s="27"/>
      <c r="CT2" s="27"/>
      <c r="CU2" s="27"/>
      <c r="CV2" s="27"/>
      <c r="CW2" s="27"/>
      <c r="CX2" s="27"/>
      <c r="CY2" s="27"/>
      <c r="CZ2" s="27"/>
      <c r="DA2" s="27"/>
      <c r="DB2" s="27"/>
      <c r="DC2" s="27"/>
      <c r="DD2" s="27"/>
      <c r="DE2" s="27"/>
      <c r="DF2" s="27"/>
      <c r="DG2" s="27"/>
      <c r="DH2" s="27"/>
      <c r="DI2" s="27"/>
      <c r="DJ2" s="27"/>
      <c r="DK2" s="27"/>
      <c r="DL2" s="27"/>
      <c r="DM2" s="27"/>
      <c r="DN2" s="27"/>
      <c r="DO2" s="27"/>
      <c r="DP2" s="27"/>
      <c r="DQ2" s="27"/>
      <c r="DR2" s="27"/>
      <c r="DS2" s="27"/>
      <c r="DT2" s="27"/>
      <c r="DU2" s="27"/>
      <c r="DV2" s="27"/>
      <c r="DW2" s="27"/>
      <c r="DX2" s="27"/>
      <c r="DY2" s="27"/>
      <c r="DZ2" s="27"/>
      <c r="EA2" s="27"/>
      <c r="EB2" s="27"/>
    </row>
    <row r="3" spans="1:132" s="191" customFormat="1" ht="12" customHeight="1" x14ac:dyDescent="0.2">
      <c r="A3" s="188"/>
      <c r="B3" s="348" t="s">
        <v>114</v>
      </c>
      <c r="C3" s="348"/>
      <c r="D3" s="348"/>
      <c r="E3" s="348"/>
      <c r="F3" s="348"/>
      <c r="G3" s="348"/>
      <c r="H3" s="189"/>
      <c r="I3" s="190"/>
      <c r="J3" s="190"/>
      <c r="K3" s="190"/>
      <c r="L3" s="190"/>
      <c r="M3" s="190"/>
      <c r="N3" s="190"/>
      <c r="O3" s="190"/>
      <c r="P3" s="190"/>
      <c r="Q3" s="190"/>
      <c r="R3" s="190"/>
      <c r="S3" s="190"/>
      <c r="T3" s="190"/>
      <c r="U3" s="190"/>
      <c r="V3" s="190"/>
      <c r="W3" s="190"/>
      <c r="X3" s="190"/>
      <c r="Y3" s="190"/>
      <c r="Z3" s="190"/>
      <c r="AA3" s="190"/>
      <c r="AB3" s="190"/>
      <c r="AC3" s="190"/>
      <c r="AD3" s="190"/>
      <c r="AE3" s="190"/>
      <c r="AF3" s="190"/>
      <c r="AG3" s="190"/>
      <c r="AH3" s="190"/>
      <c r="AI3" s="190"/>
      <c r="AJ3" s="190"/>
      <c r="AK3" s="190"/>
      <c r="AL3" s="190"/>
      <c r="AM3" s="190"/>
      <c r="AN3" s="190"/>
      <c r="AO3" s="190"/>
      <c r="AP3" s="190"/>
      <c r="AQ3" s="190"/>
      <c r="AR3" s="190"/>
      <c r="AS3" s="190"/>
      <c r="AT3" s="190"/>
      <c r="AU3" s="190"/>
      <c r="AV3" s="190"/>
      <c r="AW3" s="190"/>
      <c r="AX3" s="190"/>
      <c r="AY3" s="190"/>
      <c r="AZ3" s="190"/>
      <c r="BA3" s="190"/>
      <c r="BB3" s="190"/>
      <c r="BC3" s="190"/>
      <c r="BD3" s="190"/>
      <c r="BE3" s="190"/>
      <c r="BF3" s="190"/>
      <c r="BG3" s="190"/>
      <c r="BH3" s="190"/>
      <c r="BI3" s="190"/>
      <c r="BJ3" s="190"/>
      <c r="BK3" s="190"/>
      <c r="BL3" s="190"/>
      <c r="BM3" s="190"/>
      <c r="BN3" s="190"/>
      <c r="BO3" s="190"/>
      <c r="BP3" s="190"/>
      <c r="BQ3" s="190"/>
      <c r="BR3" s="190"/>
      <c r="BS3" s="190"/>
      <c r="BT3" s="190"/>
      <c r="BU3" s="190"/>
      <c r="BV3" s="190"/>
      <c r="BW3" s="190"/>
      <c r="BX3" s="190"/>
      <c r="BY3" s="190"/>
      <c r="BZ3" s="190"/>
      <c r="CA3" s="190"/>
      <c r="CB3" s="190"/>
      <c r="CC3" s="190"/>
      <c r="CD3" s="190"/>
      <c r="CE3" s="190"/>
      <c r="CF3" s="190"/>
      <c r="CG3" s="190"/>
      <c r="CH3" s="190"/>
      <c r="CI3" s="190"/>
      <c r="CJ3" s="190"/>
      <c r="CK3" s="190"/>
      <c r="CL3" s="190"/>
      <c r="CM3" s="190"/>
      <c r="CN3" s="190"/>
      <c r="CO3" s="190"/>
      <c r="CP3" s="190"/>
      <c r="CQ3" s="190"/>
      <c r="CR3" s="190"/>
      <c r="CS3" s="190"/>
      <c r="CT3" s="190"/>
      <c r="CU3" s="190"/>
      <c r="CV3" s="190"/>
      <c r="CW3" s="190"/>
      <c r="CX3" s="190"/>
      <c r="CY3" s="190"/>
      <c r="CZ3" s="190"/>
      <c r="DA3" s="190"/>
      <c r="DB3" s="190"/>
      <c r="DC3" s="190"/>
      <c r="DD3" s="190"/>
      <c r="DE3" s="190"/>
      <c r="DF3" s="190"/>
      <c r="DG3" s="190"/>
      <c r="DH3" s="190"/>
      <c r="DI3" s="190"/>
      <c r="DJ3" s="190"/>
      <c r="DK3" s="190"/>
      <c r="DL3" s="190"/>
      <c r="DM3" s="190"/>
      <c r="DN3" s="190"/>
      <c r="DO3" s="190"/>
      <c r="DP3" s="190"/>
      <c r="DQ3" s="190"/>
      <c r="DR3" s="190"/>
      <c r="DS3" s="190"/>
      <c r="DT3" s="190"/>
      <c r="DU3" s="190"/>
      <c r="DV3" s="190"/>
      <c r="DW3" s="190"/>
      <c r="DX3" s="190"/>
      <c r="DY3" s="190"/>
      <c r="DZ3" s="190"/>
      <c r="EA3" s="190"/>
      <c r="EB3" s="190"/>
    </row>
    <row r="4" spans="1:132" s="191" customFormat="1" ht="12" customHeight="1" x14ac:dyDescent="0.2">
      <c r="A4" s="188"/>
      <c r="B4" s="349" t="s">
        <v>0</v>
      </c>
      <c r="C4" s="349"/>
      <c r="D4" s="349"/>
      <c r="E4" s="349"/>
      <c r="F4" s="349"/>
      <c r="G4" s="349"/>
      <c r="H4" s="189"/>
      <c r="I4" s="190"/>
      <c r="J4" s="190"/>
      <c r="K4" s="190"/>
      <c r="L4" s="190"/>
      <c r="M4" s="190"/>
      <c r="N4" s="190"/>
      <c r="O4" s="190"/>
      <c r="P4" s="190"/>
      <c r="Q4" s="190"/>
      <c r="R4" s="190"/>
      <c r="S4" s="190"/>
      <c r="T4" s="190"/>
      <c r="U4" s="190"/>
      <c r="V4" s="190"/>
      <c r="W4" s="190"/>
      <c r="X4" s="190"/>
      <c r="Y4" s="190"/>
      <c r="Z4" s="190"/>
      <c r="AA4" s="190"/>
      <c r="AB4" s="190"/>
      <c r="AC4" s="190"/>
      <c r="AD4" s="190"/>
      <c r="AE4" s="190"/>
      <c r="AF4" s="190"/>
      <c r="AG4" s="190"/>
      <c r="AH4" s="190"/>
      <c r="AI4" s="190"/>
      <c r="AJ4" s="190"/>
      <c r="AK4" s="190"/>
      <c r="AL4" s="190"/>
      <c r="AM4" s="190"/>
      <c r="AN4" s="190"/>
      <c r="AO4" s="190"/>
      <c r="AP4" s="190"/>
      <c r="AQ4" s="190"/>
      <c r="AR4" s="190"/>
      <c r="AS4" s="190"/>
      <c r="AT4" s="190"/>
      <c r="AU4" s="190"/>
      <c r="AV4" s="190"/>
      <c r="AW4" s="190"/>
      <c r="AX4" s="190"/>
      <c r="AY4" s="190"/>
      <c r="AZ4" s="190"/>
      <c r="BA4" s="190"/>
      <c r="BB4" s="190"/>
      <c r="BC4" s="190"/>
      <c r="BD4" s="190"/>
      <c r="BE4" s="190"/>
      <c r="BF4" s="190"/>
      <c r="BG4" s="190"/>
      <c r="BH4" s="190"/>
      <c r="BI4" s="190"/>
      <c r="BJ4" s="190"/>
      <c r="BK4" s="190"/>
      <c r="BL4" s="190"/>
      <c r="BM4" s="190"/>
      <c r="BN4" s="190"/>
      <c r="BO4" s="190"/>
      <c r="BP4" s="190"/>
      <c r="BQ4" s="190"/>
      <c r="BR4" s="190"/>
      <c r="BS4" s="190"/>
      <c r="BT4" s="190"/>
      <c r="BU4" s="190"/>
      <c r="BV4" s="190"/>
      <c r="BW4" s="190"/>
      <c r="BX4" s="190"/>
      <c r="BY4" s="190"/>
      <c r="BZ4" s="190"/>
      <c r="CA4" s="190"/>
      <c r="CB4" s="190"/>
      <c r="CC4" s="190"/>
      <c r="CD4" s="190"/>
      <c r="CE4" s="190"/>
      <c r="CF4" s="190"/>
      <c r="CG4" s="190"/>
      <c r="CH4" s="190"/>
      <c r="CI4" s="190"/>
      <c r="CJ4" s="190"/>
      <c r="CK4" s="190"/>
      <c r="CL4" s="190"/>
      <c r="CM4" s="190"/>
      <c r="CN4" s="190"/>
      <c r="CO4" s="190"/>
      <c r="CP4" s="190"/>
      <c r="CQ4" s="190"/>
      <c r="CR4" s="190"/>
      <c r="CS4" s="190"/>
      <c r="CT4" s="190"/>
      <c r="CU4" s="190"/>
      <c r="CV4" s="190"/>
      <c r="CW4" s="190"/>
      <c r="CX4" s="190"/>
      <c r="CY4" s="190"/>
      <c r="CZ4" s="190"/>
      <c r="DA4" s="190"/>
      <c r="DB4" s="190"/>
      <c r="DC4" s="190"/>
      <c r="DD4" s="190"/>
      <c r="DE4" s="190"/>
      <c r="DF4" s="190"/>
      <c r="DG4" s="190"/>
      <c r="DH4" s="190"/>
      <c r="DI4" s="190"/>
      <c r="DJ4" s="190"/>
      <c r="DK4" s="190"/>
      <c r="DL4" s="190"/>
      <c r="DM4" s="190"/>
      <c r="DN4" s="190"/>
      <c r="DO4" s="190"/>
      <c r="DP4" s="190"/>
      <c r="DQ4" s="190"/>
      <c r="DR4" s="190"/>
      <c r="DS4" s="190"/>
      <c r="DT4" s="190"/>
      <c r="DU4" s="190"/>
      <c r="DV4" s="190"/>
      <c r="DW4" s="190"/>
      <c r="DX4" s="190"/>
      <c r="DY4" s="190"/>
      <c r="DZ4" s="190"/>
      <c r="EA4" s="190"/>
      <c r="EB4" s="190"/>
    </row>
    <row r="5" spans="1:132" s="28" customFormat="1" ht="3" customHeight="1" x14ac:dyDescent="0.4">
      <c r="A5" s="64"/>
      <c r="B5" s="65"/>
      <c r="C5" s="66"/>
      <c r="D5" s="66"/>
      <c r="E5" s="66"/>
      <c r="F5" s="66"/>
      <c r="G5" s="66"/>
      <c r="H5" s="67"/>
      <c r="I5" s="25"/>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c r="CD5" s="27"/>
      <c r="CE5" s="27"/>
      <c r="CF5" s="27"/>
      <c r="CG5" s="27"/>
      <c r="CH5" s="27"/>
      <c r="CI5" s="27"/>
      <c r="CJ5" s="27"/>
      <c r="CK5" s="27"/>
      <c r="CL5" s="27"/>
      <c r="CM5" s="27"/>
      <c r="CN5" s="27"/>
      <c r="CO5" s="27"/>
      <c r="CP5" s="27"/>
      <c r="CQ5" s="27"/>
      <c r="CR5" s="27"/>
      <c r="CS5" s="27"/>
      <c r="CT5" s="27"/>
      <c r="CU5" s="27"/>
      <c r="CV5" s="27"/>
      <c r="CW5" s="27"/>
      <c r="CX5" s="27"/>
      <c r="CY5" s="27"/>
      <c r="CZ5" s="27"/>
      <c r="DA5" s="27"/>
      <c r="DB5" s="27"/>
      <c r="DC5" s="27"/>
      <c r="DD5" s="27"/>
      <c r="DE5" s="27"/>
      <c r="DF5" s="27"/>
      <c r="DG5" s="27"/>
      <c r="DH5" s="27"/>
      <c r="DI5" s="27"/>
      <c r="DJ5" s="27"/>
      <c r="DK5" s="27"/>
      <c r="DL5" s="27"/>
      <c r="DM5" s="27"/>
      <c r="DN5" s="27"/>
      <c r="DO5" s="27"/>
      <c r="DP5" s="27"/>
      <c r="DQ5" s="27"/>
      <c r="DR5" s="27"/>
      <c r="DS5" s="27"/>
      <c r="DT5" s="27"/>
      <c r="DU5" s="27"/>
      <c r="DV5" s="27"/>
      <c r="DW5" s="27"/>
      <c r="DX5" s="27"/>
      <c r="DY5" s="27"/>
      <c r="DZ5" s="27"/>
      <c r="EA5" s="27"/>
      <c r="EB5" s="27"/>
    </row>
    <row r="6" spans="1:132" s="31" customFormat="1" ht="15.95" customHeight="1" x14ac:dyDescent="0.4">
      <c r="A6" s="68"/>
      <c r="B6" s="353" t="s">
        <v>1</v>
      </c>
      <c r="C6" s="353"/>
      <c r="D6" s="353"/>
      <c r="E6" s="353"/>
      <c r="F6" s="353"/>
      <c r="G6" s="353"/>
      <c r="H6" s="69"/>
      <c r="I6" s="29"/>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row>
    <row r="7" spans="1:132" s="31" customFormat="1" ht="3" customHeight="1" x14ac:dyDescent="0.4">
      <c r="A7" s="68"/>
      <c r="B7" s="70"/>
      <c r="C7" s="71"/>
      <c r="D7" s="71"/>
      <c r="E7" s="71"/>
      <c r="F7" s="71"/>
      <c r="G7" s="71"/>
      <c r="H7" s="69"/>
      <c r="I7" s="29"/>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row>
    <row r="8" spans="1:132" s="28" customFormat="1" ht="15.95" customHeight="1" x14ac:dyDescent="0.4">
      <c r="A8" s="64"/>
      <c r="B8" s="350" t="s">
        <v>2</v>
      </c>
      <c r="C8" s="350"/>
      <c r="D8" s="351" t="s">
        <v>3</v>
      </c>
      <c r="E8" s="351"/>
      <c r="F8" s="351" t="s">
        <v>108</v>
      </c>
      <c r="G8" s="351"/>
      <c r="H8" s="67"/>
      <c r="I8" s="25"/>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row>
    <row r="9" spans="1:132" s="28" customFormat="1" ht="15.95" customHeight="1" x14ac:dyDescent="0.4">
      <c r="A9" s="64"/>
      <c r="B9" s="397" t="str">
        <f>InsertedValues!B1</f>
        <v>Test</v>
      </c>
      <c r="C9" s="397"/>
      <c r="D9" s="398" t="str">
        <f>InsertedValues!B2</f>
        <v>Last</v>
      </c>
      <c r="E9" s="398"/>
      <c r="F9" s="352" t="s">
        <v>112</v>
      </c>
      <c r="G9" s="352"/>
      <c r="H9" s="67"/>
      <c r="I9" s="25"/>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row>
    <row r="10" spans="1:132" s="32" customFormat="1" ht="15.95" customHeight="1" thickBot="1" x14ac:dyDescent="0.45">
      <c r="A10" s="64"/>
      <c r="B10" s="72"/>
      <c r="C10" s="72"/>
      <c r="D10" s="73"/>
      <c r="E10" s="66"/>
      <c r="F10" s="66"/>
      <c r="G10" s="66"/>
      <c r="H10" s="67"/>
      <c r="I10" s="25"/>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row>
    <row r="11" spans="1:132" s="32" customFormat="1" ht="15.95" customHeight="1" thickBot="1" x14ac:dyDescent="0.45">
      <c r="A11" s="64"/>
      <c r="B11" s="335" t="s">
        <v>4</v>
      </c>
      <c r="C11" s="336"/>
      <c r="D11" s="337"/>
      <c r="E11" s="333" t="s">
        <v>5</v>
      </c>
      <c r="F11" s="333"/>
      <c r="G11" s="334"/>
      <c r="H11" s="67"/>
      <c r="I11" s="25"/>
      <c r="J11" s="147"/>
      <c r="K11" s="147"/>
      <c r="L11" s="147"/>
      <c r="M11" s="14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27"/>
      <c r="CM11" s="27"/>
      <c r="CN11" s="27"/>
      <c r="CO11" s="27"/>
      <c r="CP11" s="27"/>
      <c r="CQ11" s="27"/>
      <c r="CR11" s="27"/>
      <c r="CS11" s="27"/>
      <c r="CT11" s="27"/>
      <c r="CU11" s="27"/>
      <c r="CV11" s="27"/>
      <c r="CW11" s="27"/>
      <c r="CX11" s="27"/>
      <c r="CY11" s="27"/>
      <c r="CZ11" s="27"/>
      <c r="DA11" s="27"/>
      <c r="DB11" s="27"/>
      <c r="DC11" s="27"/>
      <c r="DD11" s="27"/>
      <c r="DE11" s="27"/>
      <c r="DF11" s="27"/>
      <c r="DG11" s="27"/>
      <c r="DH11" s="27"/>
      <c r="DI11" s="27"/>
      <c r="DJ11" s="27"/>
      <c r="DK11" s="27"/>
      <c r="DL11" s="27"/>
      <c r="DM11" s="27"/>
      <c r="DN11" s="27"/>
      <c r="DO11" s="27"/>
      <c r="DP11" s="27"/>
      <c r="DQ11" s="27"/>
      <c r="DR11" s="27"/>
      <c r="DS11" s="27"/>
      <c r="DT11" s="27"/>
      <c r="DU11" s="27"/>
      <c r="DV11" s="27"/>
      <c r="DW11" s="27"/>
      <c r="DX11" s="27"/>
      <c r="DY11" s="27"/>
      <c r="DZ11" s="27"/>
      <c r="EA11" s="27"/>
      <c r="EB11" s="27"/>
    </row>
    <row r="12" spans="1:132" s="32" customFormat="1" ht="15.95" customHeight="1" x14ac:dyDescent="0.4">
      <c r="A12" s="64"/>
      <c r="B12" s="345" t="s">
        <v>6</v>
      </c>
      <c r="C12" s="345"/>
      <c r="D12" s="345"/>
      <c r="E12" s="345"/>
      <c r="F12" s="209" t="s">
        <v>7</v>
      </c>
      <c r="G12" s="209"/>
      <c r="H12" s="67"/>
      <c r="I12" s="25"/>
      <c r="J12" s="147"/>
      <c r="K12" s="147"/>
      <c r="L12" s="147"/>
      <c r="M12" s="14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7"/>
      <c r="CN12" s="27"/>
      <c r="CO12" s="27"/>
      <c r="CP12" s="27"/>
      <c r="CQ12" s="27"/>
      <c r="CR12" s="27"/>
      <c r="CS12" s="27"/>
      <c r="CT12" s="27"/>
      <c r="CU12" s="27"/>
      <c r="CV12" s="27"/>
      <c r="CW12" s="27"/>
      <c r="CX12" s="27"/>
      <c r="CY12" s="27"/>
      <c r="CZ12" s="27"/>
      <c r="DA12" s="27"/>
      <c r="DB12" s="27"/>
      <c r="DC12" s="27"/>
      <c r="DD12" s="27"/>
      <c r="DE12" s="27"/>
      <c r="DF12" s="27"/>
      <c r="DG12" s="27"/>
      <c r="DH12" s="27"/>
      <c r="DI12" s="27"/>
      <c r="DJ12" s="27"/>
      <c r="DK12" s="27"/>
      <c r="DL12" s="27"/>
      <c r="DM12" s="27"/>
      <c r="DN12" s="27"/>
      <c r="DO12" s="27"/>
      <c r="DP12" s="27"/>
      <c r="DQ12" s="27"/>
      <c r="DR12" s="27"/>
      <c r="DS12" s="27"/>
      <c r="DT12" s="27"/>
      <c r="DU12" s="27"/>
      <c r="DV12" s="27"/>
      <c r="DW12" s="27"/>
      <c r="DX12" s="27"/>
      <c r="DY12" s="27"/>
      <c r="DZ12" s="27"/>
      <c r="EA12" s="27"/>
      <c r="EB12" s="27"/>
    </row>
    <row r="13" spans="1:132" s="28" customFormat="1" ht="15.95" customHeight="1" x14ac:dyDescent="0.4">
      <c r="A13" s="64"/>
      <c r="B13" s="74" t="s">
        <v>8</v>
      </c>
      <c r="C13" s="397" t="str">
        <f>InsertedValues!B3</f>
        <v>WMU</v>
      </c>
      <c r="D13" s="397"/>
      <c r="E13" s="74" t="s">
        <v>9</v>
      </c>
      <c r="F13" s="396" t="s">
        <v>324</v>
      </c>
      <c r="G13" s="396"/>
      <c r="H13" s="67"/>
      <c r="I13" s="25"/>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c r="CK13" s="27"/>
      <c r="CL13" s="27"/>
      <c r="CM13" s="27"/>
      <c r="CN13" s="27"/>
      <c r="CO13" s="27"/>
      <c r="CP13" s="27"/>
      <c r="CQ13" s="27"/>
      <c r="CR13" s="27"/>
      <c r="CS13" s="27"/>
      <c r="CT13" s="27"/>
      <c r="CU13" s="27"/>
      <c r="CV13" s="27"/>
      <c r="CW13" s="27"/>
      <c r="CX13" s="27"/>
      <c r="CY13" s="27"/>
      <c r="CZ13" s="27"/>
      <c r="DA13" s="27"/>
      <c r="DB13" s="27"/>
      <c r="DC13" s="27"/>
      <c r="DD13" s="27"/>
      <c r="DE13" s="27"/>
      <c r="DF13" s="27"/>
      <c r="DG13" s="27"/>
      <c r="DH13" s="27"/>
      <c r="DI13" s="27"/>
      <c r="DJ13" s="27"/>
      <c r="DK13" s="27"/>
      <c r="DL13" s="27"/>
      <c r="DM13" s="27"/>
      <c r="DN13" s="27"/>
      <c r="DO13" s="27"/>
      <c r="DP13" s="27"/>
      <c r="DQ13" s="27"/>
      <c r="DR13" s="27"/>
      <c r="DS13" s="27"/>
      <c r="DT13" s="27"/>
      <c r="DU13" s="27"/>
      <c r="DV13" s="27"/>
      <c r="DW13" s="27"/>
      <c r="DX13" s="27"/>
      <c r="DY13" s="27"/>
      <c r="DZ13" s="27"/>
      <c r="EA13" s="27"/>
      <c r="EB13" s="27"/>
    </row>
    <row r="14" spans="1:132" s="8" customFormat="1" ht="3" customHeight="1" x14ac:dyDescent="0.4">
      <c r="A14" s="75"/>
      <c r="B14" s="76"/>
      <c r="C14" s="76"/>
      <c r="D14" s="77"/>
      <c r="E14" s="78"/>
      <c r="F14" s="78"/>
      <c r="G14" s="78"/>
      <c r="H14" s="79"/>
      <c r="I14" s="15"/>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row>
    <row r="15" spans="1:132" ht="15.95" customHeight="1" x14ac:dyDescent="0.4">
      <c r="A15" s="75"/>
      <c r="B15" s="80" t="s">
        <v>260</v>
      </c>
      <c r="C15" s="399">
        <f>InsertedValues!B4</f>
        <v>50000</v>
      </c>
      <c r="D15" s="81"/>
      <c r="E15" s="80" t="s">
        <v>260</v>
      </c>
      <c r="F15" s="399">
        <f>InsertedValues!B5</f>
        <v>30000</v>
      </c>
      <c r="G15" s="81"/>
      <c r="H15" s="79"/>
    </row>
    <row r="16" spans="1:132" s="8" customFormat="1" ht="3" customHeight="1" x14ac:dyDescent="0.4">
      <c r="A16" s="75"/>
      <c r="B16" s="76"/>
      <c r="C16" s="76"/>
      <c r="D16" s="77"/>
      <c r="E16" s="78"/>
      <c r="F16" s="78"/>
      <c r="G16" s="78"/>
      <c r="H16" s="79"/>
      <c r="I16" s="15"/>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row>
    <row r="17" spans="1:132" s="8" customFormat="1" ht="15" customHeight="1" x14ac:dyDescent="0.4">
      <c r="A17" s="75"/>
      <c r="B17" s="344" t="s">
        <v>10</v>
      </c>
      <c r="C17" s="344"/>
      <c r="D17" s="344"/>
      <c r="E17" s="344"/>
      <c r="F17" s="344"/>
      <c r="G17" s="344"/>
      <c r="H17" s="79"/>
      <c r="I17" s="15"/>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row>
    <row r="18" spans="1:132" s="8" customFormat="1" ht="3" customHeight="1" x14ac:dyDescent="0.4">
      <c r="A18" s="75"/>
      <c r="B18" s="82"/>
      <c r="C18" s="83"/>
      <c r="D18" s="83"/>
      <c r="E18" s="83"/>
      <c r="F18" s="83"/>
      <c r="G18" s="84"/>
      <c r="H18" s="79"/>
      <c r="I18" s="15"/>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row>
    <row r="19" spans="1:132" s="32" customFormat="1" ht="32.1" customHeight="1" x14ac:dyDescent="0.4">
      <c r="A19" s="64"/>
      <c r="B19" s="173"/>
      <c r="C19" s="206" t="s">
        <v>11</v>
      </c>
      <c r="D19" s="207" t="s">
        <v>12</v>
      </c>
      <c r="E19" s="206" t="s">
        <v>13</v>
      </c>
      <c r="F19" s="208" t="s">
        <v>131</v>
      </c>
      <c r="G19" s="112"/>
      <c r="H19" s="67"/>
      <c r="I19" s="25"/>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c r="CU19" s="27"/>
      <c r="CV19" s="27"/>
      <c r="CW19" s="27"/>
      <c r="CX19" s="27"/>
      <c r="CY19" s="27"/>
      <c r="CZ19" s="27"/>
      <c r="DA19" s="27"/>
      <c r="DB19" s="27"/>
      <c r="DC19" s="27"/>
      <c r="DD19" s="27"/>
      <c r="DE19" s="27"/>
      <c r="DF19" s="27"/>
      <c r="DG19" s="27"/>
      <c r="DH19" s="27"/>
      <c r="DI19" s="27"/>
      <c r="DJ19" s="27"/>
      <c r="DK19" s="27"/>
      <c r="DL19" s="27"/>
      <c r="DM19" s="27"/>
      <c r="DN19" s="27"/>
      <c r="DO19" s="27"/>
      <c r="DP19" s="27"/>
      <c r="DQ19" s="27"/>
      <c r="DR19" s="27"/>
      <c r="DS19" s="27"/>
      <c r="DT19" s="27"/>
      <c r="DU19" s="27"/>
      <c r="DV19" s="27"/>
      <c r="DW19" s="27"/>
      <c r="DX19" s="27"/>
      <c r="DY19" s="27"/>
      <c r="DZ19" s="27"/>
      <c r="EA19" s="27"/>
      <c r="EB19" s="27"/>
    </row>
    <row r="20" spans="1:132" ht="15.95" customHeight="1" x14ac:dyDescent="0.4">
      <c r="A20" s="75"/>
      <c r="B20" s="169"/>
      <c r="C20" s="395">
        <f>InsertedValues!B6</f>
        <v>5000</v>
      </c>
      <c r="D20" s="399">
        <f>InsertedValues!B7</f>
        <v>7000</v>
      </c>
      <c r="E20" s="399">
        <f>InsertedValues!B8</f>
        <v>5000</v>
      </c>
      <c r="F20" s="399">
        <f>InsertedValues!B9</f>
        <v>12000</v>
      </c>
      <c r="G20" s="130"/>
      <c r="H20" s="79"/>
    </row>
    <row r="21" spans="1:132" ht="3" customHeight="1" x14ac:dyDescent="0.4">
      <c r="A21" s="75"/>
      <c r="B21" s="82"/>
      <c r="C21" s="83"/>
      <c r="D21" s="83"/>
      <c r="E21" s="83"/>
      <c r="F21" s="83"/>
      <c r="G21" s="84"/>
      <c r="H21" s="79"/>
    </row>
    <row r="22" spans="1:132" s="32" customFormat="1" ht="15.95" customHeight="1" thickBot="1" x14ac:dyDescent="0.45">
      <c r="A22" s="64"/>
      <c r="B22" s="65"/>
      <c r="C22" s="346" t="s">
        <v>262</v>
      </c>
      <c r="D22" s="346"/>
      <c r="E22" s="346"/>
      <c r="F22" s="346"/>
      <c r="G22" s="86"/>
      <c r="H22" s="67"/>
      <c r="I22" s="25"/>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c r="CU22" s="27"/>
      <c r="CV22" s="27"/>
      <c r="CW22" s="27"/>
      <c r="CX22" s="27"/>
      <c r="CY22" s="27"/>
      <c r="CZ22" s="27"/>
      <c r="DA22" s="27"/>
      <c r="DB22" s="27"/>
      <c r="DC22" s="27"/>
      <c r="DD22" s="27"/>
      <c r="DE22" s="27"/>
      <c r="DF22" s="27"/>
      <c r="DG22" s="27"/>
      <c r="DH22" s="27"/>
      <c r="DI22" s="27"/>
      <c r="DJ22" s="27"/>
      <c r="DK22" s="27"/>
      <c r="DL22" s="27"/>
      <c r="DM22" s="27"/>
      <c r="DN22" s="27"/>
      <c r="DO22" s="27"/>
      <c r="DP22" s="27"/>
      <c r="DQ22" s="27"/>
      <c r="DR22" s="27"/>
      <c r="DS22" s="27"/>
      <c r="DT22" s="27"/>
      <c r="DU22" s="27"/>
      <c r="DV22" s="27"/>
      <c r="DW22" s="27"/>
      <c r="DX22" s="27"/>
      <c r="DY22" s="27"/>
      <c r="DZ22" s="27"/>
      <c r="EA22" s="27"/>
      <c r="EB22" s="27"/>
    </row>
    <row r="23" spans="1:132" s="37" customFormat="1" ht="15.95" customHeight="1" x14ac:dyDescent="0.35">
      <c r="A23" s="87"/>
      <c r="B23" s="88"/>
      <c r="C23" s="168" t="s">
        <v>132</v>
      </c>
      <c r="D23" s="342" t="str">
        <f ca="1">IF(C24&gt;0, "savings instead of debt", IF('College Schedule'!I10 &gt; 0, "exceeds federal loan limits", "within federal loan limits"))</f>
        <v>exceeds federal loan limits</v>
      </c>
      <c r="E23" s="89"/>
      <c r="F23" s="90" t="s">
        <v>84</v>
      </c>
      <c r="G23" s="343" t="str">
        <f ca="1">IF(F24&gt;0,"savings instead of debt","debt instead of savings")</f>
        <v>savings instead of debt</v>
      </c>
      <c r="H23" s="91"/>
      <c r="I23" s="35"/>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c r="BO23" s="36"/>
      <c r="BP23" s="36"/>
      <c r="BQ23" s="36"/>
      <c r="BR23" s="36"/>
      <c r="BS23" s="36"/>
      <c r="BT23" s="36"/>
      <c r="BU23" s="36"/>
      <c r="BV23" s="36"/>
      <c r="BW23" s="36"/>
      <c r="BX23" s="36"/>
      <c r="BY23" s="36"/>
      <c r="BZ23" s="36"/>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6"/>
      <c r="DK23" s="36"/>
      <c r="DL23" s="36"/>
      <c r="DM23" s="36"/>
      <c r="DN23" s="36"/>
      <c r="DO23" s="36"/>
      <c r="DP23" s="36"/>
      <c r="DQ23" s="36"/>
      <c r="DR23" s="36"/>
      <c r="DS23" s="36"/>
      <c r="DT23" s="36"/>
      <c r="DU23" s="36"/>
      <c r="DV23" s="36"/>
      <c r="DW23" s="36"/>
      <c r="DX23" s="36"/>
      <c r="DY23" s="36"/>
      <c r="DZ23" s="36"/>
      <c r="EA23" s="36"/>
      <c r="EB23" s="36"/>
    </row>
    <row r="24" spans="1:132" s="10" customFormat="1" ht="15.95" customHeight="1" x14ac:dyDescent="0.4">
      <c r="A24" s="92"/>
      <c r="B24" s="74" t="s">
        <v>8</v>
      </c>
      <c r="C24" s="174">
        <f ca="1">'College Schedule'!I8</f>
        <v>-99428.040348529583</v>
      </c>
      <c r="D24" s="343"/>
      <c r="E24" s="74" t="s">
        <v>9</v>
      </c>
      <c r="F24" s="175">
        <f ca="1">'College Schedule'!I9</f>
        <v>51251.686010205674</v>
      </c>
      <c r="G24" s="343"/>
      <c r="H24" s="95"/>
      <c r="I24" s="16"/>
      <c r="J24" s="11"/>
      <c r="K24" s="11"/>
      <c r="L24" s="11"/>
      <c r="M24" s="11"/>
      <c r="N24" s="11"/>
      <c r="O24" s="11"/>
    </row>
    <row r="25" spans="1:132" s="10" customFormat="1" ht="3" customHeight="1" x14ac:dyDescent="0.4">
      <c r="A25" s="92"/>
      <c r="B25" s="96"/>
      <c r="C25" s="96"/>
      <c r="D25" s="97"/>
      <c r="E25" s="94"/>
      <c r="F25" s="98"/>
      <c r="G25" s="98"/>
      <c r="H25" s="95"/>
      <c r="I25" s="16"/>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row>
    <row r="26" spans="1:132" s="41" customFormat="1" ht="32.1" customHeight="1" x14ac:dyDescent="0.4">
      <c r="A26" s="99"/>
      <c r="B26" s="341" t="s">
        <v>16</v>
      </c>
      <c r="C26" s="341"/>
      <c r="D26" s="341"/>
      <c r="E26" s="341"/>
      <c r="F26" s="341"/>
      <c r="G26" s="341"/>
      <c r="H26" s="100"/>
      <c r="I26" s="38"/>
      <c r="J26" s="40"/>
      <c r="K26" s="40"/>
      <c r="L26" s="40"/>
      <c r="M26" s="40"/>
      <c r="N26" s="40"/>
      <c r="O26" s="40"/>
      <c r="P26" s="40"/>
      <c r="Q26" s="40"/>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39"/>
      <c r="DK26" s="39"/>
      <c r="DL26" s="39"/>
      <c r="DM26" s="39"/>
      <c r="DN26" s="39"/>
      <c r="DO26" s="39"/>
      <c r="DP26" s="39"/>
      <c r="DQ26" s="39"/>
      <c r="DR26" s="39"/>
      <c r="DS26" s="39"/>
      <c r="DT26" s="39"/>
      <c r="DU26" s="39"/>
      <c r="DV26" s="39"/>
      <c r="DW26" s="39"/>
      <c r="DX26" s="39"/>
      <c r="DY26" s="39"/>
      <c r="DZ26" s="39"/>
      <c r="EA26" s="39"/>
      <c r="EB26" s="39"/>
    </row>
    <row r="27" spans="1:132" s="10" customFormat="1" ht="3" customHeight="1" x14ac:dyDescent="0.4">
      <c r="A27" s="92"/>
      <c r="B27" s="83"/>
      <c r="C27" s="83"/>
      <c r="D27" s="83"/>
      <c r="E27" s="83"/>
      <c r="F27" s="98"/>
      <c r="G27" s="98"/>
      <c r="H27" s="95"/>
      <c r="I27" s="16"/>
      <c r="J27" s="17"/>
      <c r="K27" s="17"/>
      <c r="L27" s="17"/>
      <c r="M27" s="17"/>
      <c r="N27" s="17"/>
      <c r="O27" s="17"/>
      <c r="P27" s="17"/>
      <c r="Q27" s="17"/>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row>
    <row r="28" spans="1:132" s="10" customFormat="1" ht="15.95" customHeight="1" x14ac:dyDescent="0.4">
      <c r="A28" s="92"/>
      <c r="B28" s="93"/>
      <c r="C28" s="66" t="s">
        <v>17</v>
      </c>
      <c r="D28" s="174">
        <f ca="1">'Career Schedule'!E10</f>
        <v>190421.6663416512</v>
      </c>
      <c r="E28" s="86" t="s">
        <v>18</v>
      </c>
      <c r="F28" s="265">
        <v>247.79504764726747</v>
      </c>
      <c r="G28" s="98"/>
      <c r="H28" s="101"/>
      <c r="I28" s="16"/>
      <c r="J28" s="17"/>
      <c r="K28" s="17"/>
      <c r="L28" s="17"/>
      <c r="M28" s="17"/>
      <c r="N28" s="17"/>
      <c r="O28" s="17"/>
      <c r="P28" s="17"/>
      <c r="Q28" s="17"/>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row>
    <row r="29" spans="1:132" s="8" customFormat="1" ht="3" customHeight="1" x14ac:dyDescent="0.4">
      <c r="A29" s="75"/>
      <c r="B29" s="82"/>
      <c r="C29" s="102"/>
      <c r="D29" s="103"/>
      <c r="E29" s="78"/>
      <c r="F29" s="78"/>
      <c r="G29" s="78"/>
      <c r="H29" s="79"/>
      <c r="I29" s="15"/>
      <c r="J29" s="17"/>
      <c r="K29" s="17"/>
      <c r="L29" s="17"/>
      <c r="M29" s="17"/>
      <c r="N29" s="17"/>
      <c r="O29" s="17"/>
      <c r="P29" s="17"/>
      <c r="Q29" s="1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row>
    <row r="30" spans="1:132" s="32" customFormat="1" ht="36" customHeight="1" thickBot="1" x14ac:dyDescent="0.45">
      <c r="A30" s="64"/>
      <c r="B30" s="339" t="s">
        <v>264</v>
      </c>
      <c r="C30" s="340"/>
      <c r="D30" s="156" t="s">
        <v>19</v>
      </c>
      <c r="E30" s="157" t="s">
        <v>20</v>
      </c>
      <c r="F30" s="158" t="s">
        <v>21</v>
      </c>
      <c r="G30" s="159" t="s">
        <v>22</v>
      </c>
      <c r="H30" s="67"/>
      <c r="I30" s="25"/>
      <c r="J30" s="40"/>
      <c r="K30" s="40"/>
      <c r="L30" s="40"/>
      <c r="M30" s="40"/>
      <c r="N30" s="40"/>
      <c r="O30" s="40"/>
      <c r="P30" s="40"/>
      <c r="Q30" s="40"/>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27"/>
      <c r="CM30" s="27"/>
      <c r="CN30" s="27"/>
      <c r="CO30" s="27"/>
      <c r="CP30" s="27"/>
      <c r="CQ30" s="27"/>
      <c r="CR30" s="27"/>
      <c r="CS30" s="27"/>
      <c r="CT30" s="27"/>
      <c r="CU30" s="27"/>
      <c r="CV30" s="27"/>
      <c r="CW30" s="27"/>
      <c r="CX30" s="27"/>
      <c r="CY30" s="27"/>
      <c r="CZ30" s="27"/>
      <c r="DA30" s="27"/>
      <c r="DB30" s="27"/>
      <c r="DC30" s="27"/>
      <c r="DD30" s="27"/>
      <c r="DE30" s="27"/>
      <c r="DF30" s="27"/>
      <c r="DG30" s="27"/>
      <c r="DH30" s="27"/>
      <c r="DI30" s="27"/>
      <c r="DJ30" s="27"/>
      <c r="DK30" s="27"/>
      <c r="DL30" s="27"/>
      <c r="DM30" s="27"/>
      <c r="DN30" s="27"/>
      <c r="DO30" s="27"/>
      <c r="DP30" s="27"/>
      <c r="DQ30" s="27"/>
      <c r="DR30" s="27"/>
      <c r="DS30" s="27"/>
      <c r="DT30" s="27"/>
      <c r="DU30" s="27"/>
      <c r="DV30" s="27"/>
      <c r="DW30" s="27"/>
      <c r="DX30" s="27"/>
      <c r="DY30" s="27"/>
      <c r="DZ30" s="27"/>
      <c r="EA30" s="27"/>
      <c r="EB30" s="27"/>
    </row>
    <row r="31" spans="1:132" s="8" customFormat="1" ht="15.95" customHeight="1" x14ac:dyDescent="0.4">
      <c r="A31" s="75"/>
      <c r="B31" s="340" t="str">
        <f>C13</f>
        <v>WMU</v>
      </c>
      <c r="C31" s="340"/>
      <c r="D31" s="176">
        <f>'Career Schedule'!I16</f>
        <v>4547.5699797384568</v>
      </c>
      <c r="E31" s="176">
        <f ca="1">'Career Schedule'!J16</f>
        <v>1470.0707670557126</v>
      </c>
      <c r="F31" s="177">
        <f ca="1">'Career Schedule'!J11</f>
        <v>1072779.8001086949</v>
      </c>
      <c r="G31" s="177">
        <f ca="1">'Career Schedule'!K11</f>
        <v>415256.5438136069</v>
      </c>
      <c r="H31" s="79"/>
      <c r="I31" s="15"/>
      <c r="J31" s="17"/>
      <c r="K31" s="17"/>
      <c r="L31" s="17"/>
      <c r="M31" s="17"/>
      <c r="N31" s="17"/>
      <c r="O31" s="17"/>
      <c r="P31" s="17"/>
      <c r="Q31" s="1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row>
    <row r="32" spans="1:132" s="8" customFormat="1" ht="15.95" customHeight="1" x14ac:dyDescent="0.4">
      <c r="A32" s="75"/>
      <c r="B32" s="338" t="str">
        <f>F13</f>
        <v>High School Diploma</v>
      </c>
      <c r="C32" s="338"/>
      <c r="D32" s="176">
        <f>'Career Schedule'!N16</f>
        <v>2728.5419878430744</v>
      </c>
      <c r="E32" s="176">
        <f>'Career Schedule'!O16</f>
        <v>311.69534751316178</v>
      </c>
      <c r="F32" s="177">
        <f ca="1">'Career Schedule'!O11</f>
        <v>280171.85325638467</v>
      </c>
      <c r="G32" s="177">
        <f ca="1">'Career Schedule'!P11</f>
        <v>154068.84870114081</v>
      </c>
      <c r="H32" s="105"/>
      <c r="I32" s="15"/>
      <c r="J32" s="17"/>
      <c r="K32" s="17"/>
      <c r="L32" s="17"/>
      <c r="M32" s="17"/>
      <c r="N32" s="17"/>
      <c r="O32" s="17"/>
      <c r="P32" s="17"/>
      <c r="Q32" s="1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row>
    <row r="33" spans="1:132" s="8" customFormat="1" ht="3" customHeight="1" x14ac:dyDescent="0.4">
      <c r="A33" s="75"/>
      <c r="B33" s="166"/>
      <c r="C33" s="166"/>
      <c r="D33" s="82"/>
      <c r="E33" s="104"/>
      <c r="F33" s="85"/>
      <c r="G33" s="106"/>
      <c r="H33" s="105"/>
      <c r="I33" s="15"/>
      <c r="J33" s="17"/>
      <c r="K33" s="17"/>
      <c r="L33" s="17"/>
      <c r="M33" s="17"/>
      <c r="N33" s="17"/>
      <c r="O33" s="17"/>
      <c r="P33" s="17"/>
      <c r="Q33" s="1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row>
    <row r="34" spans="1:132" ht="15.95" customHeight="1" x14ac:dyDescent="0.4">
      <c r="A34" s="75"/>
      <c r="B34" s="338" t="s">
        <v>23</v>
      </c>
      <c r="C34" s="338"/>
      <c r="D34" s="177">
        <f>D31-D32</f>
        <v>1819.0279918953825</v>
      </c>
      <c r="E34" s="177">
        <f ca="1">E31-E32</f>
        <v>1158.3754195425508</v>
      </c>
      <c r="F34" s="177">
        <f ca="1">F31-F32</f>
        <v>792607.94685231033</v>
      </c>
      <c r="G34" s="177">
        <f ca="1">G31-G32</f>
        <v>261187.69511246608</v>
      </c>
      <c r="H34" s="105"/>
      <c r="J34" s="17"/>
      <c r="K34" s="17"/>
      <c r="L34" s="17"/>
      <c r="M34" s="17"/>
      <c r="N34" s="17"/>
      <c r="O34" s="17"/>
      <c r="P34" s="17"/>
      <c r="Q34" s="17"/>
    </row>
    <row r="35" spans="1:132" s="8" customFormat="1" ht="3" customHeight="1" thickBot="1" x14ac:dyDescent="0.45">
      <c r="A35" s="107"/>
      <c r="B35" s="108"/>
      <c r="C35" s="108"/>
      <c r="D35" s="109"/>
      <c r="E35" s="110"/>
      <c r="F35" s="110"/>
      <c r="G35" s="110"/>
      <c r="H35" s="111"/>
      <c r="I35" s="15"/>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row>
    <row r="36" spans="1:132" ht="15.95" customHeight="1" x14ac:dyDescent="0.4">
      <c r="C36" s="2"/>
      <c r="D36" s="2"/>
      <c r="E36" s="2"/>
      <c r="F36" s="2"/>
      <c r="G36" s="2"/>
      <c r="H36" s="8"/>
    </row>
    <row r="37" spans="1:132" ht="15.95" customHeight="1" x14ac:dyDescent="0.4">
      <c r="C37" s="2"/>
      <c r="D37" s="2"/>
      <c r="E37" s="2"/>
      <c r="F37" s="2"/>
      <c r="G37" s="2"/>
      <c r="H37" s="8"/>
    </row>
    <row r="38" spans="1:132" ht="15.95" customHeight="1" x14ac:dyDescent="0.4">
      <c r="C38" s="2"/>
      <c r="D38" s="2"/>
      <c r="E38" s="2"/>
      <c r="F38" s="2"/>
      <c r="G38" s="2"/>
      <c r="H38" s="8"/>
    </row>
    <row r="39" spans="1:132" ht="15.95" customHeight="1" x14ac:dyDescent="0.4">
      <c r="C39" s="2"/>
      <c r="D39" s="2"/>
      <c r="E39" s="2"/>
      <c r="F39" s="2"/>
      <c r="G39" s="2"/>
      <c r="H39" s="8"/>
    </row>
    <row r="40" spans="1:132" ht="15.95" customHeight="1" x14ac:dyDescent="0.4">
      <c r="G40" s="2"/>
      <c r="H40" s="8"/>
    </row>
    <row r="41" spans="1:132" ht="15.95" customHeight="1" x14ac:dyDescent="0.4">
      <c r="G41" s="2"/>
      <c r="H41" s="8"/>
    </row>
    <row r="42" spans="1:132" ht="15.95" customHeight="1" x14ac:dyDescent="0.4">
      <c r="G42" s="2"/>
      <c r="H42" s="8"/>
    </row>
    <row r="43" spans="1:132" ht="15.95" customHeight="1" x14ac:dyDescent="0.4">
      <c r="C43" s="2"/>
      <c r="D43" s="2"/>
      <c r="E43" s="2"/>
      <c r="F43" s="2"/>
      <c r="G43" s="2"/>
      <c r="H43" s="8"/>
    </row>
    <row r="44" spans="1:132" ht="15.95" customHeight="1" x14ac:dyDescent="0.4">
      <c r="C44" s="2"/>
      <c r="D44" s="2"/>
      <c r="E44" s="2"/>
      <c r="F44" s="2"/>
      <c r="G44" s="2"/>
      <c r="H44" s="8"/>
    </row>
    <row r="45" spans="1:132" ht="15.95" customHeight="1" x14ac:dyDescent="0.4">
      <c r="C45" s="2"/>
      <c r="D45" s="2"/>
      <c r="E45" s="2"/>
      <c r="F45" s="2"/>
      <c r="G45" s="2"/>
      <c r="H45" s="8"/>
    </row>
    <row r="46" spans="1:132" ht="15.95" customHeight="1" x14ac:dyDescent="0.4">
      <c r="C46" s="2"/>
      <c r="D46" s="2"/>
      <c r="E46" s="2"/>
      <c r="F46" s="2"/>
      <c r="G46" s="2"/>
      <c r="H46" s="8"/>
    </row>
    <row r="47" spans="1:132" ht="15.95" customHeight="1" x14ac:dyDescent="0.4">
      <c r="C47" s="2"/>
      <c r="D47" s="2"/>
      <c r="E47" s="2"/>
      <c r="F47" s="2"/>
      <c r="G47" s="2"/>
      <c r="H47" s="8"/>
    </row>
    <row r="48" spans="1:132" ht="15.95" customHeight="1" x14ac:dyDescent="0.4">
      <c r="C48" s="2"/>
      <c r="D48" s="2"/>
      <c r="E48" s="2"/>
      <c r="F48" s="2"/>
      <c r="G48" s="2"/>
      <c r="H48" s="8"/>
    </row>
    <row r="49" spans="3:8" ht="15.95" customHeight="1" x14ac:dyDescent="0.4">
      <c r="C49" s="2"/>
      <c r="D49" s="2"/>
      <c r="E49" s="2"/>
      <c r="F49" s="2"/>
      <c r="G49" s="2"/>
      <c r="H49" s="8"/>
    </row>
    <row r="50" spans="3:8" ht="15.95" customHeight="1" x14ac:dyDescent="0.4">
      <c r="C50" s="2"/>
      <c r="D50" s="2"/>
      <c r="E50" s="2"/>
      <c r="F50" s="2"/>
      <c r="G50" s="2"/>
      <c r="H50" s="8"/>
    </row>
    <row r="51" spans="3:8" ht="15.95" customHeight="1" x14ac:dyDescent="0.4">
      <c r="C51" s="2"/>
      <c r="D51" s="2"/>
      <c r="E51" s="2"/>
      <c r="F51" s="2"/>
      <c r="G51" s="2"/>
      <c r="H51" s="8"/>
    </row>
    <row r="52" spans="3:8" ht="15.95" customHeight="1" x14ac:dyDescent="0.4">
      <c r="C52" s="2"/>
      <c r="D52" s="2"/>
      <c r="E52" s="2"/>
      <c r="F52" s="2"/>
      <c r="G52" s="2"/>
      <c r="H52" s="8"/>
    </row>
    <row r="53" spans="3:8" ht="15.95" customHeight="1" x14ac:dyDescent="0.4">
      <c r="C53" s="2"/>
      <c r="D53" s="2"/>
      <c r="E53" s="2"/>
      <c r="F53" s="2"/>
      <c r="G53" s="2"/>
      <c r="H53" s="8"/>
    </row>
    <row r="54" spans="3:8" ht="15.95" customHeight="1" x14ac:dyDescent="0.4">
      <c r="C54" s="2"/>
      <c r="D54" s="2"/>
      <c r="E54" s="2"/>
      <c r="F54" s="2"/>
      <c r="G54" s="2"/>
      <c r="H54" s="8"/>
    </row>
    <row r="55" spans="3:8" ht="15.95" customHeight="1" x14ac:dyDescent="0.4">
      <c r="C55" s="2"/>
      <c r="D55" s="2"/>
      <c r="E55" s="2"/>
      <c r="F55" s="2"/>
      <c r="G55" s="2"/>
      <c r="H55" s="8"/>
    </row>
    <row r="56" spans="3:8" ht="15.95" customHeight="1" x14ac:dyDescent="0.4">
      <c r="C56" s="2"/>
      <c r="D56" s="2"/>
      <c r="E56" s="2"/>
      <c r="F56" s="2"/>
      <c r="G56" s="2"/>
      <c r="H56" s="8"/>
    </row>
    <row r="57" spans="3:8" ht="15.95" customHeight="1" x14ac:dyDescent="0.4">
      <c r="C57" s="2"/>
      <c r="D57" s="2"/>
      <c r="E57" s="2"/>
      <c r="F57" s="2"/>
      <c r="G57" s="2"/>
      <c r="H57" s="8"/>
    </row>
    <row r="58" spans="3:8" ht="15.95" customHeight="1" x14ac:dyDescent="0.4">
      <c r="C58" s="2"/>
      <c r="D58" s="2"/>
      <c r="E58" s="2"/>
      <c r="F58" s="2"/>
      <c r="G58" s="2"/>
      <c r="H58" s="8"/>
    </row>
    <row r="59" spans="3:8" ht="15.95" customHeight="1" x14ac:dyDescent="0.4">
      <c r="C59" s="2"/>
      <c r="D59" s="2"/>
      <c r="E59" s="2"/>
      <c r="F59" s="2"/>
      <c r="G59" s="2"/>
      <c r="H59" s="8"/>
    </row>
    <row r="60" spans="3:8" ht="15.95" customHeight="1" x14ac:dyDescent="0.4">
      <c r="C60" s="2"/>
      <c r="D60" s="2"/>
      <c r="E60" s="2"/>
      <c r="F60" s="2"/>
      <c r="G60" s="2"/>
      <c r="H60" s="8"/>
    </row>
    <row r="61" spans="3:8" ht="15.95" customHeight="1" x14ac:dyDescent="0.4">
      <c r="C61" s="2"/>
      <c r="D61" s="2"/>
      <c r="E61" s="2"/>
      <c r="F61" s="2"/>
      <c r="G61" s="2"/>
      <c r="H61" s="8"/>
    </row>
    <row r="62" spans="3:8" ht="15.95" customHeight="1" x14ac:dyDescent="0.4">
      <c r="C62" s="2"/>
      <c r="D62" s="2"/>
      <c r="E62" s="2"/>
      <c r="F62" s="2"/>
      <c r="G62" s="2"/>
      <c r="H62" s="8"/>
    </row>
    <row r="63" spans="3:8" ht="15.95" customHeight="1" x14ac:dyDescent="0.4">
      <c r="C63" s="2"/>
      <c r="D63" s="2"/>
      <c r="E63" s="2"/>
      <c r="F63" s="2"/>
      <c r="G63" s="2"/>
      <c r="H63" s="8"/>
    </row>
    <row r="64" spans="3:8" ht="15.95" customHeight="1" x14ac:dyDescent="0.4">
      <c r="C64" s="2"/>
      <c r="D64" s="2"/>
      <c r="E64" s="2"/>
      <c r="F64" s="2"/>
      <c r="G64" s="2"/>
      <c r="H64" s="8"/>
    </row>
    <row r="65" spans="3:8" ht="15.95" customHeight="1" x14ac:dyDescent="0.4">
      <c r="C65" s="2"/>
      <c r="D65" s="2"/>
      <c r="E65" s="2"/>
      <c r="F65" s="2"/>
      <c r="G65" s="2"/>
      <c r="H65" s="8"/>
    </row>
    <row r="66" spans="3:8" ht="15.95" customHeight="1" x14ac:dyDescent="0.4">
      <c r="C66" s="2"/>
      <c r="D66" s="2"/>
      <c r="E66" s="2"/>
      <c r="F66" s="2"/>
      <c r="G66" s="2"/>
      <c r="H66" s="8"/>
    </row>
    <row r="67" spans="3:8" ht="15.95" customHeight="1" x14ac:dyDescent="0.4">
      <c r="C67" s="2"/>
      <c r="D67" s="2"/>
      <c r="E67" s="2"/>
      <c r="F67" s="2"/>
      <c r="G67" s="2"/>
      <c r="H67" s="8"/>
    </row>
    <row r="68" spans="3:8" ht="15.95" customHeight="1" x14ac:dyDescent="0.4">
      <c r="C68" s="2"/>
      <c r="D68" s="2"/>
      <c r="E68" s="2"/>
      <c r="F68" s="2"/>
      <c r="G68" s="2"/>
      <c r="H68" s="8"/>
    </row>
    <row r="69" spans="3:8" ht="15.95" customHeight="1" x14ac:dyDescent="0.4">
      <c r="C69" s="2"/>
      <c r="D69" s="2"/>
      <c r="E69" s="2"/>
      <c r="F69" s="2"/>
      <c r="G69" s="2"/>
      <c r="H69" s="8"/>
    </row>
    <row r="70" spans="3:8" ht="15.95" customHeight="1" x14ac:dyDescent="0.4">
      <c r="C70" s="2"/>
      <c r="D70" s="2"/>
      <c r="E70" s="2"/>
      <c r="F70" s="2"/>
      <c r="G70" s="2"/>
      <c r="H70" s="8"/>
    </row>
    <row r="71" spans="3:8" ht="15.95" customHeight="1" x14ac:dyDescent="0.4">
      <c r="C71" s="2"/>
      <c r="D71" s="2"/>
      <c r="E71" s="2"/>
      <c r="F71" s="2"/>
      <c r="G71" s="2"/>
      <c r="H71" s="8"/>
    </row>
    <row r="72" spans="3:8" ht="15.95" customHeight="1" x14ac:dyDescent="0.4">
      <c r="C72" s="2"/>
      <c r="D72" s="2"/>
      <c r="E72" s="2"/>
      <c r="F72" s="2"/>
      <c r="G72" s="2"/>
      <c r="H72" s="8"/>
    </row>
    <row r="73" spans="3:8" ht="15.95" customHeight="1" x14ac:dyDescent="0.4">
      <c r="C73" s="2"/>
      <c r="D73" s="2"/>
      <c r="E73" s="2"/>
      <c r="F73" s="2"/>
      <c r="G73" s="2"/>
      <c r="H73" s="8"/>
    </row>
    <row r="74" spans="3:8" ht="15.95" customHeight="1" x14ac:dyDescent="0.4">
      <c r="C74" s="2"/>
      <c r="D74" s="2"/>
      <c r="E74" s="2"/>
      <c r="F74" s="2"/>
      <c r="G74" s="2"/>
      <c r="H74" s="8"/>
    </row>
    <row r="75" spans="3:8" ht="15.95" customHeight="1" x14ac:dyDescent="0.4">
      <c r="C75" s="2"/>
      <c r="D75" s="2"/>
      <c r="E75" s="2"/>
      <c r="F75" s="2"/>
      <c r="G75" s="2"/>
      <c r="H75" s="8"/>
    </row>
    <row r="76" spans="3:8" ht="15.95" customHeight="1" x14ac:dyDescent="0.4">
      <c r="C76" s="2"/>
      <c r="D76" s="2"/>
      <c r="E76" s="2"/>
      <c r="F76" s="2"/>
      <c r="G76" s="2"/>
      <c r="H76" s="8"/>
    </row>
    <row r="77" spans="3:8" ht="15.95" customHeight="1" x14ac:dyDescent="0.4">
      <c r="C77" s="2"/>
      <c r="D77" s="2"/>
      <c r="E77" s="2"/>
      <c r="F77" s="2"/>
      <c r="G77" s="2"/>
      <c r="H77" s="8"/>
    </row>
    <row r="78" spans="3:8" ht="15.95" customHeight="1" x14ac:dyDescent="0.4">
      <c r="C78" s="2"/>
      <c r="D78" s="2"/>
      <c r="E78" s="2"/>
      <c r="F78" s="2"/>
      <c r="G78" s="2"/>
      <c r="H78" s="8"/>
    </row>
    <row r="79" spans="3:8" ht="15.95" customHeight="1" x14ac:dyDescent="0.4">
      <c r="C79" s="2"/>
      <c r="D79" s="2"/>
      <c r="E79" s="2"/>
      <c r="F79" s="2"/>
      <c r="G79" s="2"/>
      <c r="H79" s="8"/>
    </row>
    <row r="80" spans="3:8" ht="15.95" customHeight="1" x14ac:dyDescent="0.4">
      <c r="C80" s="2"/>
      <c r="D80" s="2"/>
      <c r="E80" s="2"/>
      <c r="F80" s="2"/>
      <c r="G80" s="2"/>
      <c r="H80" s="8"/>
    </row>
    <row r="81" spans="3:8" ht="15.95" customHeight="1" x14ac:dyDescent="0.4">
      <c r="C81" s="2"/>
      <c r="D81" s="2"/>
      <c r="E81" s="2"/>
      <c r="F81" s="2"/>
      <c r="G81" s="2"/>
      <c r="H81" s="8"/>
    </row>
    <row r="82" spans="3:8" ht="15.95" customHeight="1" x14ac:dyDescent="0.4">
      <c r="C82" s="2"/>
      <c r="D82" s="2"/>
      <c r="E82" s="2"/>
      <c r="F82" s="2"/>
      <c r="G82" s="2"/>
      <c r="H82" s="8"/>
    </row>
    <row r="83" spans="3:8" ht="15.95" customHeight="1" x14ac:dyDescent="0.4">
      <c r="C83" s="2"/>
      <c r="D83" s="2"/>
      <c r="E83" s="2"/>
      <c r="F83" s="2"/>
      <c r="G83" s="2"/>
      <c r="H83" s="8"/>
    </row>
    <row r="84" spans="3:8" ht="15.95" customHeight="1" x14ac:dyDescent="0.4">
      <c r="C84" s="2"/>
      <c r="D84" s="2"/>
      <c r="E84" s="2"/>
      <c r="F84" s="2"/>
      <c r="G84" s="2"/>
      <c r="H84" s="8"/>
    </row>
    <row r="85" spans="3:8" ht="15.95" customHeight="1" x14ac:dyDescent="0.4">
      <c r="C85" s="2"/>
      <c r="D85" s="2"/>
      <c r="E85" s="2"/>
      <c r="F85" s="2"/>
      <c r="G85" s="2"/>
      <c r="H85" s="8"/>
    </row>
    <row r="86" spans="3:8" ht="15.95" customHeight="1" x14ac:dyDescent="0.4">
      <c r="C86" s="2"/>
      <c r="D86" s="2"/>
      <c r="E86" s="2"/>
      <c r="F86" s="2"/>
      <c r="G86" s="2"/>
      <c r="H86" s="8"/>
    </row>
    <row r="87" spans="3:8" ht="15.95" customHeight="1" x14ac:dyDescent="0.4">
      <c r="C87" s="2"/>
      <c r="D87" s="2"/>
      <c r="E87" s="2"/>
      <c r="F87" s="2"/>
      <c r="G87" s="2"/>
      <c r="H87" s="8"/>
    </row>
    <row r="88" spans="3:8" ht="15.95" customHeight="1" x14ac:dyDescent="0.4">
      <c r="C88" s="2"/>
      <c r="D88" s="2"/>
      <c r="E88" s="2"/>
      <c r="F88" s="2"/>
      <c r="G88" s="2"/>
      <c r="H88" s="8"/>
    </row>
    <row r="89" spans="3:8" ht="15.95" customHeight="1" x14ac:dyDescent="0.4">
      <c r="C89" s="2"/>
      <c r="D89" s="2"/>
      <c r="E89" s="2"/>
      <c r="F89" s="2"/>
      <c r="G89" s="2"/>
      <c r="H89" s="8"/>
    </row>
    <row r="90" spans="3:8" ht="15.95" customHeight="1" x14ac:dyDescent="0.4">
      <c r="C90" s="2"/>
      <c r="D90" s="2"/>
      <c r="E90" s="2"/>
      <c r="F90" s="2"/>
      <c r="G90" s="2"/>
      <c r="H90" s="8"/>
    </row>
    <row r="91" spans="3:8" ht="15.95" customHeight="1" x14ac:dyDescent="0.4">
      <c r="C91" s="2"/>
      <c r="D91" s="2"/>
      <c r="E91" s="2"/>
      <c r="F91" s="2"/>
      <c r="G91" s="2"/>
      <c r="H91" s="8"/>
    </row>
    <row r="92" spans="3:8" ht="15.95" customHeight="1" x14ac:dyDescent="0.4">
      <c r="C92" s="2"/>
      <c r="D92" s="2"/>
      <c r="E92" s="2"/>
      <c r="F92" s="2"/>
      <c r="G92" s="2"/>
      <c r="H92" s="8"/>
    </row>
    <row r="93" spans="3:8" ht="15.95" customHeight="1" x14ac:dyDescent="0.4">
      <c r="C93" s="2"/>
      <c r="D93" s="2"/>
      <c r="E93" s="2"/>
      <c r="F93" s="2"/>
      <c r="G93" s="2"/>
      <c r="H93" s="8"/>
    </row>
    <row r="94" spans="3:8" ht="15.95" customHeight="1" x14ac:dyDescent="0.4">
      <c r="C94" s="2"/>
      <c r="D94" s="2"/>
      <c r="E94" s="2"/>
      <c r="F94" s="2"/>
      <c r="G94" s="2"/>
      <c r="H94" s="8"/>
    </row>
    <row r="95" spans="3:8" ht="15.95" customHeight="1" x14ac:dyDescent="0.4">
      <c r="C95" s="2"/>
      <c r="D95" s="2"/>
      <c r="E95" s="2"/>
      <c r="F95" s="2"/>
      <c r="G95" s="2"/>
      <c r="H95" s="8"/>
    </row>
    <row r="96" spans="3:8" ht="15.95" customHeight="1" x14ac:dyDescent="0.4">
      <c r="C96" s="2"/>
      <c r="D96" s="2"/>
      <c r="E96" s="2"/>
      <c r="F96" s="2"/>
      <c r="G96" s="2"/>
      <c r="H96" s="8"/>
    </row>
    <row r="97" spans="3:8" ht="15.95" customHeight="1" x14ac:dyDescent="0.4">
      <c r="C97" s="2"/>
      <c r="D97" s="2"/>
      <c r="E97" s="2"/>
      <c r="F97" s="2"/>
      <c r="G97" s="2"/>
      <c r="H97" s="8"/>
    </row>
    <row r="98" spans="3:8" ht="15.95" customHeight="1" x14ac:dyDescent="0.4">
      <c r="C98" s="2"/>
      <c r="D98" s="2"/>
      <c r="E98" s="2"/>
      <c r="F98" s="2"/>
      <c r="G98" s="2"/>
      <c r="H98" s="8"/>
    </row>
    <row r="99" spans="3:8" ht="15.95" customHeight="1" x14ac:dyDescent="0.4">
      <c r="C99" s="2"/>
      <c r="D99" s="2"/>
      <c r="E99" s="2"/>
      <c r="F99" s="2"/>
      <c r="G99" s="2"/>
      <c r="H99" s="8"/>
    </row>
    <row r="100" spans="3:8" ht="15.95" customHeight="1" x14ac:dyDescent="0.4">
      <c r="C100" s="2"/>
      <c r="D100" s="2"/>
      <c r="E100" s="2"/>
      <c r="F100" s="2"/>
      <c r="G100" s="2"/>
      <c r="H100" s="8"/>
    </row>
    <row r="101" spans="3:8" ht="15.95" customHeight="1" x14ac:dyDescent="0.4">
      <c r="C101" s="2"/>
      <c r="D101" s="2"/>
      <c r="E101" s="2"/>
      <c r="F101" s="2"/>
      <c r="G101" s="2"/>
      <c r="H101" s="8"/>
    </row>
    <row r="102" spans="3:8" ht="15.95" customHeight="1" x14ac:dyDescent="0.4">
      <c r="C102" s="2"/>
      <c r="D102" s="2"/>
      <c r="E102" s="2"/>
      <c r="F102" s="2"/>
      <c r="G102" s="2"/>
      <c r="H102" s="8"/>
    </row>
    <row r="103" spans="3:8" ht="15.95" customHeight="1" x14ac:dyDescent="0.4">
      <c r="C103" s="2"/>
      <c r="D103" s="2"/>
      <c r="E103" s="2"/>
      <c r="F103" s="2"/>
      <c r="G103" s="2"/>
      <c r="H103" s="8"/>
    </row>
    <row r="104" spans="3:8" ht="15.95" customHeight="1" x14ac:dyDescent="0.4">
      <c r="C104" s="2"/>
      <c r="D104" s="2"/>
      <c r="E104" s="2"/>
      <c r="F104" s="2"/>
      <c r="G104" s="2"/>
      <c r="H104" s="8"/>
    </row>
    <row r="105" spans="3:8" ht="15.95" customHeight="1" x14ac:dyDescent="0.4">
      <c r="C105" s="2"/>
      <c r="D105" s="2"/>
      <c r="E105" s="2"/>
      <c r="F105" s="2"/>
      <c r="G105" s="2"/>
      <c r="H105" s="8"/>
    </row>
    <row r="106" spans="3:8" ht="15.95" customHeight="1" x14ac:dyDescent="0.4">
      <c r="C106" s="2"/>
      <c r="D106" s="2"/>
      <c r="E106" s="2"/>
      <c r="F106" s="2"/>
      <c r="G106" s="2"/>
      <c r="H106" s="8"/>
    </row>
    <row r="107" spans="3:8" ht="15.95" customHeight="1" x14ac:dyDescent="0.4">
      <c r="C107" s="2"/>
      <c r="D107" s="2"/>
      <c r="E107" s="2"/>
      <c r="F107" s="2"/>
      <c r="G107" s="2"/>
      <c r="H107" s="8"/>
    </row>
    <row r="108" spans="3:8" ht="15.95" customHeight="1" x14ac:dyDescent="0.4">
      <c r="C108" s="2"/>
      <c r="D108" s="2"/>
      <c r="E108" s="2"/>
      <c r="F108" s="2"/>
      <c r="G108" s="2"/>
      <c r="H108" s="8"/>
    </row>
    <row r="109" spans="3:8" ht="15.95" customHeight="1" x14ac:dyDescent="0.4">
      <c r="C109" s="2"/>
      <c r="D109" s="2"/>
      <c r="E109" s="2"/>
      <c r="F109" s="2"/>
      <c r="G109" s="2"/>
      <c r="H109" s="8"/>
    </row>
    <row r="110" spans="3:8" ht="15.95" customHeight="1" x14ac:dyDescent="0.4">
      <c r="C110" s="2"/>
      <c r="D110" s="2"/>
      <c r="E110" s="2"/>
      <c r="F110" s="2"/>
      <c r="G110" s="2"/>
      <c r="H110" s="8"/>
    </row>
    <row r="111" spans="3:8" ht="15.95" customHeight="1" x14ac:dyDescent="0.4">
      <c r="C111" s="2"/>
      <c r="D111" s="2"/>
      <c r="E111" s="2"/>
      <c r="F111" s="2"/>
      <c r="G111" s="2"/>
      <c r="H111" s="8"/>
    </row>
    <row r="112" spans="3:8" ht="15.95" customHeight="1" x14ac:dyDescent="0.4">
      <c r="C112" s="2"/>
      <c r="D112" s="2"/>
      <c r="E112" s="2"/>
      <c r="F112" s="2"/>
      <c r="G112" s="2"/>
      <c r="H112" s="8"/>
    </row>
    <row r="113" spans="3:8" ht="15.95" customHeight="1" x14ac:dyDescent="0.4">
      <c r="C113" s="2"/>
      <c r="D113" s="2"/>
      <c r="E113" s="2"/>
      <c r="F113" s="2"/>
      <c r="G113" s="2"/>
      <c r="H113" s="8"/>
    </row>
    <row r="114" spans="3:8" ht="15.95" customHeight="1" x14ac:dyDescent="0.4">
      <c r="C114" s="2"/>
      <c r="D114" s="2"/>
      <c r="E114" s="2"/>
      <c r="F114" s="2"/>
      <c r="G114" s="2"/>
      <c r="H114" s="8"/>
    </row>
    <row r="115" spans="3:8" ht="15.95" customHeight="1" x14ac:dyDescent="0.4">
      <c r="C115" s="2"/>
      <c r="D115" s="2"/>
      <c r="E115" s="2"/>
      <c r="F115" s="2"/>
      <c r="G115" s="2"/>
      <c r="H115" s="8"/>
    </row>
    <row r="116" spans="3:8" ht="15.95" customHeight="1" x14ac:dyDescent="0.4">
      <c r="C116" s="2"/>
      <c r="D116" s="2"/>
      <c r="E116" s="2"/>
      <c r="F116" s="2"/>
      <c r="G116" s="2"/>
      <c r="H116" s="8"/>
    </row>
    <row r="117" spans="3:8" ht="15.95" customHeight="1" x14ac:dyDescent="0.4">
      <c r="C117" s="2"/>
      <c r="D117" s="2"/>
      <c r="E117" s="2"/>
      <c r="F117" s="2"/>
      <c r="G117" s="2"/>
      <c r="H117" s="8"/>
    </row>
    <row r="118" spans="3:8" ht="15.95" customHeight="1" x14ac:dyDescent="0.4">
      <c r="C118" s="2"/>
      <c r="D118" s="2"/>
      <c r="E118" s="2"/>
      <c r="F118" s="2"/>
      <c r="G118" s="2"/>
      <c r="H118" s="8"/>
    </row>
    <row r="119" spans="3:8" ht="15.95" customHeight="1" x14ac:dyDescent="0.4">
      <c r="C119" s="2"/>
      <c r="D119" s="2"/>
      <c r="E119" s="2"/>
      <c r="F119" s="2"/>
      <c r="G119" s="2"/>
      <c r="H119" s="8"/>
    </row>
    <row r="120" spans="3:8" ht="15.95" customHeight="1" x14ac:dyDescent="0.4">
      <c r="C120" s="2"/>
      <c r="D120" s="2"/>
      <c r="E120" s="2"/>
      <c r="F120" s="2"/>
      <c r="G120" s="2"/>
      <c r="H120" s="8"/>
    </row>
    <row r="121" spans="3:8" ht="15.95" customHeight="1" x14ac:dyDescent="0.4">
      <c r="C121" s="2"/>
      <c r="D121" s="2"/>
      <c r="E121" s="2"/>
      <c r="F121" s="2"/>
      <c r="G121" s="2"/>
      <c r="H121" s="8"/>
    </row>
    <row r="122" spans="3:8" ht="15.95" customHeight="1" x14ac:dyDescent="0.4">
      <c r="C122" s="2"/>
      <c r="D122" s="2"/>
      <c r="E122" s="2"/>
      <c r="F122" s="2"/>
      <c r="G122" s="2"/>
      <c r="H122" s="8"/>
    </row>
    <row r="123" spans="3:8" ht="15.95" customHeight="1" x14ac:dyDescent="0.4">
      <c r="C123" s="2"/>
      <c r="D123" s="2"/>
      <c r="E123" s="2"/>
      <c r="F123" s="2"/>
      <c r="G123" s="2"/>
      <c r="H123" s="8"/>
    </row>
    <row r="124" spans="3:8" ht="15.95" customHeight="1" x14ac:dyDescent="0.4">
      <c r="C124" s="2"/>
      <c r="D124" s="2"/>
      <c r="E124" s="2"/>
      <c r="F124" s="2"/>
      <c r="G124" s="2"/>
      <c r="H124" s="8"/>
    </row>
    <row r="125" spans="3:8" ht="15.95" customHeight="1" x14ac:dyDescent="0.4">
      <c r="C125" s="2"/>
      <c r="D125" s="2"/>
      <c r="E125" s="2"/>
      <c r="F125" s="2"/>
      <c r="G125" s="2"/>
      <c r="H125" s="8"/>
    </row>
    <row r="126" spans="3:8" ht="15.95" customHeight="1" x14ac:dyDescent="0.4">
      <c r="C126" s="2"/>
      <c r="D126" s="2"/>
      <c r="E126" s="2"/>
      <c r="F126" s="2"/>
      <c r="G126" s="2"/>
      <c r="H126" s="8"/>
    </row>
    <row r="127" spans="3:8" ht="15.95" customHeight="1" x14ac:dyDescent="0.4">
      <c r="C127" s="2"/>
      <c r="D127" s="2"/>
      <c r="E127" s="2"/>
      <c r="F127" s="2"/>
      <c r="G127" s="2"/>
      <c r="H127" s="8"/>
    </row>
    <row r="128" spans="3:8" ht="15.95" customHeight="1" x14ac:dyDescent="0.4">
      <c r="C128" s="2"/>
      <c r="D128" s="2"/>
      <c r="E128" s="2"/>
      <c r="F128" s="2"/>
      <c r="G128" s="2"/>
      <c r="H128" s="8"/>
    </row>
    <row r="129" spans="3:8" ht="15.95" customHeight="1" x14ac:dyDescent="0.4">
      <c r="C129" s="2"/>
      <c r="D129" s="2"/>
      <c r="E129" s="2"/>
      <c r="F129" s="2"/>
      <c r="G129" s="2"/>
      <c r="H129" s="8"/>
    </row>
    <row r="130" spans="3:8" ht="15.95" customHeight="1" x14ac:dyDescent="0.4">
      <c r="C130" s="2"/>
      <c r="D130" s="2"/>
      <c r="E130" s="2"/>
      <c r="F130" s="2"/>
      <c r="G130" s="2"/>
      <c r="H130" s="8"/>
    </row>
    <row r="131" spans="3:8" ht="15.95" customHeight="1" x14ac:dyDescent="0.4">
      <c r="C131" s="2"/>
      <c r="D131" s="2"/>
      <c r="E131" s="2"/>
      <c r="F131" s="2"/>
      <c r="G131" s="2"/>
      <c r="H131" s="8"/>
    </row>
    <row r="132" spans="3:8" ht="15.95" customHeight="1" x14ac:dyDescent="0.4">
      <c r="C132" s="2"/>
      <c r="D132" s="2"/>
      <c r="E132" s="2"/>
      <c r="F132" s="2"/>
      <c r="G132" s="2"/>
      <c r="H132" s="8"/>
    </row>
    <row r="133" spans="3:8" ht="15.95" customHeight="1" x14ac:dyDescent="0.4">
      <c r="C133" s="2"/>
      <c r="D133" s="2"/>
      <c r="E133" s="2"/>
      <c r="F133" s="2"/>
      <c r="G133" s="2"/>
      <c r="H133" s="8"/>
    </row>
    <row r="134" spans="3:8" ht="15.95" customHeight="1" x14ac:dyDescent="0.4">
      <c r="C134" s="2"/>
      <c r="D134" s="2"/>
      <c r="E134" s="2"/>
      <c r="F134" s="2"/>
      <c r="G134" s="2"/>
      <c r="H134" s="8"/>
    </row>
    <row r="135" spans="3:8" ht="15.95" customHeight="1" x14ac:dyDescent="0.4">
      <c r="C135" s="2"/>
      <c r="D135" s="2"/>
      <c r="E135" s="2"/>
      <c r="F135" s="2"/>
      <c r="G135" s="2"/>
      <c r="H135" s="8"/>
    </row>
    <row r="136" spans="3:8" ht="15.95" customHeight="1" x14ac:dyDescent="0.4">
      <c r="C136" s="2"/>
      <c r="D136" s="2"/>
      <c r="E136" s="2"/>
      <c r="F136" s="2"/>
      <c r="G136" s="2"/>
      <c r="H136" s="8"/>
    </row>
    <row r="137" spans="3:8" ht="15.95" customHeight="1" x14ac:dyDescent="0.4">
      <c r="C137" s="2"/>
      <c r="D137" s="2"/>
      <c r="E137" s="2"/>
      <c r="F137" s="2"/>
      <c r="G137" s="2"/>
      <c r="H137" s="8"/>
    </row>
    <row r="138" spans="3:8" ht="15.95" customHeight="1" x14ac:dyDescent="0.4">
      <c r="C138" s="2"/>
      <c r="D138" s="2"/>
      <c r="E138" s="2"/>
      <c r="F138" s="2"/>
      <c r="G138" s="2"/>
      <c r="H138" s="8"/>
    </row>
    <row r="139" spans="3:8" ht="15.95" customHeight="1" x14ac:dyDescent="0.4">
      <c r="C139" s="2"/>
      <c r="D139" s="2"/>
      <c r="E139" s="2"/>
      <c r="F139" s="2"/>
      <c r="G139" s="2"/>
      <c r="H139" s="8"/>
    </row>
    <row r="140" spans="3:8" ht="15.95" customHeight="1" x14ac:dyDescent="0.4">
      <c r="C140" s="2"/>
      <c r="D140" s="2"/>
      <c r="E140" s="2"/>
      <c r="F140" s="2"/>
      <c r="G140" s="2"/>
      <c r="H140" s="8"/>
    </row>
    <row r="141" spans="3:8" ht="15.95" customHeight="1" x14ac:dyDescent="0.4">
      <c r="C141" s="2"/>
      <c r="D141" s="2"/>
      <c r="E141" s="2"/>
      <c r="F141" s="2"/>
      <c r="G141" s="2"/>
      <c r="H141" s="8"/>
    </row>
    <row r="142" spans="3:8" ht="15.95" customHeight="1" x14ac:dyDescent="0.4">
      <c r="C142" s="2"/>
      <c r="D142" s="2"/>
      <c r="E142" s="2"/>
      <c r="F142" s="2"/>
      <c r="G142" s="2"/>
      <c r="H142" s="8"/>
    </row>
    <row r="143" spans="3:8" ht="15.95" customHeight="1" x14ac:dyDescent="0.4">
      <c r="C143" s="2"/>
      <c r="D143" s="2"/>
      <c r="E143" s="2"/>
      <c r="F143" s="2"/>
      <c r="G143" s="2"/>
      <c r="H143" s="8"/>
    </row>
    <row r="144" spans="3:8" ht="15.95" customHeight="1" x14ac:dyDescent="0.4">
      <c r="C144" s="2"/>
      <c r="D144" s="2"/>
      <c r="E144" s="2"/>
      <c r="F144" s="2"/>
      <c r="G144" s="2"/>
      <c r="H144" s="8"/>
    </row>
    <row r="145" spans="3:8" ht="15.95" customHeight="1" x14ac:dyDescent="0.4">
      <c r="C145" s="2"/>
      <c r="D145" s="2"/>
      <c r="E145" s="2"/>
      <c r="F145" s="2"/>
      <c r="G145" s="2"/>
      <c r="H145" s="8"/>
    </row>
    <row r="146" spans="3:8" ht="15.95" customHeight="1" x14ac:dyDescent="0.4">
      <c r="C146" s="2"/>
      <c r="D146" s="2"/>
      <c r="E146" s="2"/>
      <c r="F146" s="2"/>
      <c r="G146" s="2"/>
      <c r="H146" s="8"/>
    </row>
    <row r="147" spans="3:8" ht="15.95" customHeight="1" x14ac:dyDescent="0.4">
      <c r="C147" s="2"/>
      <c r="D147" s="2"/>
      <c r="E147" s="2"/>
      <c r="F147" s="2"/>
      <c r="G147" s="2"/>
      <c r="H147" s="8"/>
    </row>
    <row r="148" spans="3:8" ht="15.95" customHeight="1" x14ac:dyDescent="0.4">
      <c r="C148" s="2"/>
      <c r="D148" s="2"/>
      <c r="E148" s="2"/>
      <c r="F148" s="2"/>
      <c r="G148" s="2"/>
      <c r="H148" s="8"/>
    </row>
    <row r="149" spans="3:8" ht="15.95" customHeight="1" x14ac:dyDescent="0.4">
      <c r="C149" s="2"/>
      <c r="D149" s="2"/>
      <c r="E149" s="2"/>
      <c r="F149" s="2"/>
      <c r="G149" s="2"/>
      <c r="H149" s="8"/>
    </row>
    <row r="150" spans="3:8" ht="15.95" customHeight="1" x14ac:dyDescent="0.4">
      <c r="C150" s="2"/>
      <c r="D150" s="2"/>
      <c r="E150" s="2"/>
      <c r="F150" s="2"/>
      <c r="G150" s="2"/>
      <c r="H150" s="8"/>
    </row>
    <row r="151" spans="3:8" ht="15.95" customHeight="1" x14ac:dyDescent="0.4">
      <c r="C151" s="2"/>
      <c r="D151" s="2"/>
      <c r="E151" s="2"/>
      <c r="F151" s="2"/>
      <c r="G151" s="2"/>
      <c r="H151" s="8"/>
    </row>
    <row r="152" spans="3:8" ht="15.95" customHeight="1" x14ac:dyDescent="0.4">
      <c r="C152" s="2"/>
      <c r="D152" s="2"/>
      <c r="E152" s="2"/>
      <c r="F152" s="2"/>
      <c r="G152" s="2"/>
      <c r="H152" s="8"/>
    </row>
    <row r="153" spans="3:8" ht="15.95" customHeight="1" x14ac:dyDescent="0.4">
      <c r="C153" s="2"/>
      <c r="D153" s="2"/>
      <c r="E153" s="2"/>
      <c r="F153" s="2"/>
      <c r="G153" s="2"/>
      <c r="H153" s="8"/>
    </row>
    <row r="154" spans="3:8" ht="15.95" customHeight="1" x14ac:dyDescent="0.4">
      <c r="C154" s="2"/>
      <c r="D154" s="2"/>
      <c r="E154" s="2"/>
      <c r="F154" s="2"/>
      <c r="G154" s="2"/>
      <c r="H154" s="8"/>
    </row>
    <row r="155" spans="3:8" ht="15.95" customHeight="1" x14ac:dyDescent="0.4">
      <c r="C155" s="2"/>
      <c r="D155" s="2"/>
      <c r="E155" s="2"/>
      <c r="F155" s="2"/>
      <c r="G155" s="2"/>
      <c r="H155" s="8"/>
    </row>
    <row r="156" spans="3:8" ht="15.95" customHeight="1" x14ac:dyDescent="0.4">
      <c r="C156" s="2"/>
      <c r="D156" s="2"/>
      <c r="E156" s="2"/>
      <c r="F156" s="2"/>
      <c r="G156" s="2"/>
      <c r="H156" s="8"/>
    </row>
    <row r="157" spans="3:8" ht="15.95" customHeight="1" x14ac:dyDescent="0.4">
      <c r="C157" s="2"/>
      <c r="D157" s="2"/>
      <c r="E157" s="2"/>
      <c r="F157" s="2"/>
      <c r="G157" s="2"/>
      <c r="H157" s="8"/>
    </row>
    <row r="158" spans="3:8" ht="15.95" customHeight="1" x14ac:dyDescent="0.4">
      <c r="C158" s="2"/>
      <c r="D158" s="2"/>
      <c r="E158" s="2"/>
      <c r="F158" s="2"/>
      <c r="G158" s="2"/>
      <c r="H158" s="8"/>
    </row>
    <row r="159" spans="3:8" ht="15.95" customHeight="1" x14ac:dyDescent="0.4">
      <c r="C159" s="2"/>
      <c r="D159" s="2"/>
      <c r="E159" s="2"/>
      <c r="F159" s="2"/>
      <c r="G159" s="2"/>
      <c r="H159" s="8"/>
    </row>
    <row r="160" spans="3:8" ht="15.95" customHeight="1" x14ac:dyDescent="0.4">
      <c r="C160" s="2"/>
      <c r="D160" s="2"/>
      <c r="E160" s="2"/>
      <c r="F160" s="2"/>
      <c r="G160" s="2"/>
      <c r="H160" s="8"/>
    </row>
    <row r="161" spans="3:8" ht="15.95" customHeight="1" x14ac:dyDescent="0.4">
      <c r="C161" s="2"/>
      <c r="D161" s="2"/>
      <c r="E161" s="2"/>
      <c r="F161" s="2"/>
      <c r="G161" s="2"/>
      <c r="H161" s="8"/>
    </row>
    <row r="162" spans="3:8" ht="15.95" customHeight="1" x14ac:dyDescent="0.4">
      <c r="C162" s="2"/>
      <c r="D162" s="2"/>
      <c r="E162" s="2"/>
      <c r="F162" s="2"/>
      <c r="G162" s="2"/>
      <c r="H162" s="8"/>
    </row>
    <row r="163" spans="3:8" ht="15.95" customHeight="1" x14ac:dyDescent="0.4">
      <c r="C163" s="2"/>
      <c r="D163" s="2"/>
      <c r="E163" s="2"/>
      <c r="F163" s="2"/>
      <c r="G163" s="2"/>
      <c r="H163" s="8"/>
    </row>
    <row r="164" spans="3:8" ht="15.95" customHeight="1" x14ac:dyDescent="0.4">
      <c r="C164" s="2"/>
      <c r="D164" s="2"/>
      <c r="E164" s="2"/>
      <c r="F164" s="2"/>
      <c r="G164" s="2"/>
      <c r="H164" s="8"/>
    </row>
    <row r="165" spans="3:8" ht="15.95" customHeight="1" x14ac:dyDescent="0.4">
      <c r="C165" s="2"/>
      <c r="D165" s="2"/>
      <c r="E165" s="2"/>
      <c r="F165" s="2"/>
      <c r="G165" s="2"/>
      <c r="H165" s="8"/>
    </row>
    <row r="166" spans="3:8" ht="15.95" customHeight="1" x14ac:dyDescent="0.4">
      <c r="C166" s="2"/>
      <c r="D166" s="2"/>
      <c r="E166" s="2"/>
      <c r="F166" s="2"/>
      <c r="G166" s="2"/>
      <c r="H166" s="8"/>
    </row>
    <row r="167" spans="3:8" ht="15.95" customHeight="1" x14ac:dyDescent="0.4">
      <c r="C167" s="2"/>
      <c r="D167" s="2"/>
      <c r="E167" s="2"/>
      <c r="F167" s="2"/>
      <c r="G167" s="2"/>
      <c r="H167" s="8"/>
    </row>
    <row r="168" spans="3:8" ht="15.95" customHeight="1" x14ac:dyDescent="0.4">
      <c r="C168" s="2"/>
      <c r="D168" s="2"/>
      <c r="E168" s="2"/>
      <c r="F168" s="2"/>
      <c r="G168" s="2"/>
      <c r="H168" s="8"/>
    </row>
    <row r="169" spans="3:8" ht="15.95" customHeight="1" x14ac:dyDescent="0.4">
      <c r="C169" s="2"/>
      <c r="D169" s="2"/>
      <c r="E169" s="2"/>
      <c r="F169" s="2"/>
      <c r="G169" s="2"/>
      <c r="H169" s="8"/>
    </row>
    <row r="170" spans="3:8" ht="15.95" customHeight="1" x14ac:dyDescent="0.4">
      <c r="C170" s="2"/>
      <c r="D170" s="2"/>
      <c r="E170" s="2"/>
      <c r="F170" s="2"/>
      <c r="G170" s="2"/>
      <c r="H170" s="8"/>
    </row>
    <row r="171" spans="3:8" ht="15.95" customHeight="1" x14ac:dyDescent="0.4">
      <c r="C171" s="2"/>
      <c r="D171" s="2"/>
      <c r="E171" s="2"/>
      <c r="F171" s="2"/>
      <c r="G171" s="2"/>
      <c r="H171" s="8"/>
    </row>
    <row r="172" spans="3:8" ht="15.95" customHeight="1" x14ac:dyDescent="0.4">
      <c r="C172" s="2"/>
      <c r="D172" s="2"/>
      <c r="E172" s="2"/>
      <c r="F172" s="2"/>
      <c r="G172" s="2"/>
      <c r="H172" s="8"/>
    </row>
    <row r="173" spans="3:8" ht="15.95" customHeight="1" x14ac:dyDescent="0.4">
      <c r="C173" s="2"/>
      <c r="D173" s="2"/>
      <c r="E173" s="2"/>
      <c r="F173" s="2"/>
      <c r="G173" s="2"/>
      <c r="H173" s="8"/>
    </row>
    <row r="174" spans="3:8" ht="15.95" customHeight="1" x14ac:dyDescent="0.4">
      <c r="C174" s="2"/>
      <c r="D174" s="2"/>
      <c r="E174" s="2"/>
      <c r="F174" s="2"/>
      <c r="G174" s="2"/>
      <c r="H174" s="8"/>
    </row>
    <row r="175" spans="3:8" ht="15.95" customHeight="1" x14ac:dyDescent="0.4">
      <c r="C175" s="2"/>
      <c r="D175" s="2"/>
      <c r="E175" s="2"/>
      <c r="F175" s="2"/>
      <c r="G175" s="2"/>
      <c r="H175" s="8"/>
    </row>
    <row r="176" spans="3:8" ht="15.95" customHeight="1" x14ac:dyDescent="0.4">
      <c r="C176" s="2"/>
      <c r="D176" s="2"/>
      <c r="E176" s="2"/>
      <c r="F176" s="2"/>
      <c r="G176" s="2"/>
      <c r="H176" s="8"/>
    </row>
    <row r="177" spans="3:8" ht="15.95" customHeight="1" x14ac:dyDescent="0.4">
      <c r="C177" s="2"/>
      <c r="D177" s="2"/>
      <c r="E177" s="2"/>
      <c r="F177" s="2"/>
      <c r="G177" s="2"/>
      <c r="H177" s="8"/>
    </row>
    <row r="178" spans="3:8" ht="15.95" customHeight="1" x14ac:dyDescent="0.4">
      <c r="C178" s="2"/>
      <c r="D178" s="2"/>
      <c r="E178" s="2"/>
      <c r="F178" s="2"/>
      <c r="G178" s="2"/>
      <c r="H178" s="8"/>
    </row>
    <row r="179" spans="3:8" ht="15.95" customHeight="1" x14ac:dyDescent="0.4">
      <c r="C179" s="2"/>
      <c r="D179" s="2"/>
      <c r="E179" s="2"/>
      <c r="F179" s="2"/>
      <c r="G179" s="2"/>
      <c r="H179" s="8"/>
    </row>
    <row r="180" spans="3:8" ht="15.95" customHeight="1" x14ac:dyDescent="0.4">
      <c r="C180" s="2"/>
      <c r="D180" s="2"/>
      <c r="E180" s="2"/>
      <c r="F180" s="2"/>
      <c r="G180" s="2"/>
      <c r="H180" s="8"/>
    </row>
    <row r="181" spans="3:8" ht="15.95" customHeight="1" x14ac:dyDescent="0.4">
      <c r="C181" s="2"/>
      <c r="D181" s="2"/>
      <c r="E181" s="2"/>
      <c r="F181" s="2"/>
      <c r="G181" s="2"/>
      <c r="H181" s="8"/>
    </row>
    <row r="182" spans="3:8" ht="15.95" customHeight="1" x14ac:dyDescent="0.4">
      <c r="C182" s="2"/>
      <c r="D182" s="2"/>
      <c r="E182" s="2"/>
      <c r="F182" s="2"/>
      <c r="G182" s="2"/>
      <c r="H182" s="8"/>
    </row>
    <row r="183" spans="3:8" ht="15.95" customHeight="1" x14ac:dyDescent="0.4">
      <c r="C183" s="2"/>
      <c r="D183" s="2"/>
      <c r="E183" s="2"/>
      <c r="F183" s="2"/>
      <c r="G183" s="2"/>
      <c r="H183" s="8"/>
    </row>
    <row r="184" spans="3:8" ht="15.95" customHeight="1" x14ac:dyDescent="0.4">
      <c r="C184" s="2"/>
      <c r="D184" s="2"/>
      <c r="E184" s="2"/>
      <c r="F184" s="2"/>
      <c r="G184" s="2"/>
      <c r="H184" s="8"/>
    </row>
    <row r="185" spans="3:8" ht="15.95" customHeight="1" x14ac:dyDescent="0.4">
      <c r="C185" s="2"/>
      <c r="D185" s="2"/>
      <c r="E185" s="2"/>
      <c r="F185" s="2"/>
      <c r="G185" s="2"/>
      <c r="H185" s="8"/>
    </row>
    <row r="186" spans="3:8" ht="15.95" customHeight="1" x14ac:dyDescent="0.4">
      <c r="C186" s="2"/>
      <c r="D186" s="2"/>
      <c r="E186" s="2"/>
      <c r="F186" s="2"/>
      <c r="G186" s="2"/>
      <c r="H186" s="8"/>
    </row>
    <row r="187" spans="3:8" ht="15.95" customHeight="1" x14ac:dyDescent="0.4">
      <c r="C187" s="2"/>
      <c r="D187" s="2"/>
      <c r="E187" s="2"/>
      <c r="F187" s="2"/>
      <c r="G187" s="2"/>
      <c r="H187" s="8"/>
    </row>
    <row r="188" spans="3:8" ht="15.95" customHeight="1" x14ac:dyDescent="0.4">
      <c r="C188" s="2"/>
      <c r="D188" s="2"/>
      <c r="E188" s="2"/>
      <c r="F188" s="2"/>
      <c r="G188" s="2"/>
      <c r="H188" s="8"/>
    </row>
    <row r="189" spans="3:8" ht="15.95" customHeight="1" x14ac:dyDescent="0.4">
      <c r="C189" s="2"/>
      <c r="D189" s="2"/>
      <c r="E189" s="2"/>
      <c r="F189" s="2"/>
      <c r="G189" s="2"/>
      <c r="H189" s="8"/>
    </row>
    <row r="190" spans="3:8" ht="15.95" customHeight="1" x14ac:dyDescent="0.4">
      <c r="C190" s="2"/>
      <c r="D190" s="2"/>
      <c r="E190" s="2"/>
      <c r="F190" s="2"/>
      <c r="G190" s="2"/>
      <c r="H190" s="8"/>
    </row>
    <row r="191" spans="3:8" ht="15.95" customHeight="1" x14ac:dyDescent="0.4">
      <c r="C191" s="2"/>
      <c r="D191" s="2"/>
      <c r="E191" s="2"/>
      <c r="F191" s="2"/>
      <c r="G191" s="2"/>
      <c r="H191" s="8"/>
    </row>
    <row r="192" spans="3:8" ht="15.95" customHeight="1" x14ac:dyDescent="0.4">
      <c r="C192" s="2"/>
      <c r="D192" s="2"/>
      <c r="E192" s="2"/>
      <c r="F192" s="2"/>
      <c r="G192" s="2"/>
      <c r="H192" s="8"/>
    </row>
    <row r="193" spans="3:8" ht="15.95" customHeight="1" x14ac:dyDescent="0.4">
      <c r="C193" s="2"/>
      <c r="D193" s="2"/>
      <c r="E193" s="2"/>
      <c r="F193" s="2"/>
      <c r="G193" s="2"/>
      <c r="H193" s="8"/>
    </row>
    <row r="194" spans="3:8" ht="15.95" customHeight="1" x14ac:dyDescent="0.4">
      <c r="C194" s="2"/>
      <c r="D194" s="2"/>
      <c r="E194" s="2"/>
      <c r="F194" s="2"/>
      <c r="G194" s="2"/>
      <c r="H194" s="8"/>
    </row>
    <row r="195" spans="3:8" ht="15.95" customHeight="1" x14ac:dyDescent="0.4">
      <c r="C195" s="2"/>
      <c r="D195" s="2"/>
      <c r="E195" s="2"/>
      <c r="F195" s="2"/>
      <c r="G195" s="2"/>
      <c r="H195" s="8"/>
    </row>
    <row r="196" spans="3:8" ht="15.95" customHeight="1" x14ac:dyDescent="0.4">
      <c r="C196" s="2"/>
      <c r="D196" s="2"/>
      <c r="E196" s="2"/>
      <c r="F196" s="2"/>
      <c r="G196" s="2"/>
      <c r="H196" s="8"/>
    </row>
    <row r="197" spans="3:8" ht="15.95" customHeight="1" x14ac:dyDescent="0.4">
      <c r="C197" s="2"/>
      <c r="D197" s="2"/>
      <c r="E197" s="2"/>
      <c r="F197" s="2"/>
      <c r="G197" s="2"/>
      <c r="H197" s="8"/>
    </row>
    <row r="198" spans="3:8" ht="15.95" customHeight="1" x14ac:dyDescent="0.4">
      <c r="C198" s="2"/>
      <c r="D198" s="2"/>
      <c r="E198" s="2"/>
      <c r="F198" s="2"/>
      <c r="G198" s="2"/>
      <c r="H198" s="8"/>
    </row>
    <row r="199" spans="3:8" ht="15.95" customHeight="1" x14ac:dyDescent="0.4">
      <c r="C199" s="2"/>
      <c r="D199" s="2"/>
      <c r="E199" s="2"/>
      <c r="F199" s="2"/>
      <c r="G199" s="2"/>
      <c r="H199" s="8"/>
    </row>
    <row r="200" spans="3:8" ht="15.95" customHeight="1" x14ac:dyDescent="0.4">
      <c r="C200" s="2"/>
      <c r="D200" s="2"/>
      <c r="E200" s="2"/>
      <c r="F200" s="2"/>
      <c r="G200" s="2"/>
      <c r="H200" s="8"/>
    </row>
    <row r="201" spans="3:8" ht="15.95" customHeight="1" x14ac:dyDescent="0.4">
      <c r="C201" s="2"/>
      <c r="D201" s="2"/>
      <c r="E201" s="2"/>
      <c r="F201" s="2"/>
      <c r="G201" s="2"/>
      <c r="H201" s="8"/>
    </row>
    <row r="202" spans="3:8" ht="15.95" customHeight="1" x14ac:dyDescent="0.4">
      <c r="C202" s="2"/>
      <c r="D202" s="2"/>
      <c r="E202" s="2"/>
      <c r="F202" s="2"/>
      <c r="G202" s="2"/>
      <c r="H202" s="8"/>
    </row>
    <row r="203" spans="3:8" ht="15.95" customHeight="1" x14ac:dyDescent="0.4">
      <c r="C203" s="2"/>
      <c r="D203" s="2"/>
      <c r="E203" s="2"/>
      <c r="F203" s="2"/>
      <c r="G203" s="2"/>
      <c r="H203" s="8"/>
    </row>
    <row r="204" spans="3:8" ht="15.95" customHeight="1" x14ac:dyDescent="0.4">
      <c r="C204" s="2"/>
      <c r="D204" s="2"/>
      <c r="E204" s="2"/>
      <c r="F204" s="2"/>
      <c r="G204" s="2"/>
      <c r="H204" s="8"/>
    </row>
    <row r="205" spans="3:8" ht="15.95" customHeight="1" x14ac:dyDescent="0.4">
      <c r="C205" s="2"/>
      <c r="D205" s="2"/>
      <c r="E205" s="2"/>
      <c r="F205" s="2"/>
      <c r="G205" s="2"/>
      <c r="H205" s="8"/>
    </row>
    <row r="206" spans="3:8" ht="15.95" customHeight="1" x14ac:dyDescent="0.4">
      <c r="C206" s="2"/>
      <c r="D206" s="2"/>
      <c r="E206" s="2"/>
      <c r="F206" s="2"/>
      <c r="G206" s="2"/>
      <c r="H206" s="8"/>
    </row>
    <row r="207" spans="3:8" ht="15.95" customHeight="1" x14ac:dyDescent="0.4">
      <c r="C207" s="2"/>
      <c r="D207" s="2"/>
      <c r="E207" s="2"/>
      <c r="F207" s="2"/>
      <c r="G207" s="2"/>
      <c r="H207" s="8"/>
    </row>
    <row r="208" spans="3:8" ht="15.95" customHeight="1" x14ac:dyDescent="0.4">
      <c r="C208" s="2"/>
      <c r="D208" s="2"/>
      <c r="E208" s="2"/>
      <c r="F208" s="2"/>
      <c r="G208" s="2"/>
      <c r="H208" s="8"/>
    </row>
    <row r="209" spans="3:8" ht="15.95" customHeight="1" x14ac:dyDescent="0.4">
      <c r="C209" s="2"/>
      <c r="D209" s="2"/>
      <c r="E209" s="2"/>
      <c r="F209" s="2"/>
      <c r="G209" s="2"/>
      <c r="H209" s="8"/>
    </row>
    <row r="210" spans="3:8" ht="15.95" customHeight="1" x14ac:dyDescent="0.4">
      <c r="C210" s="2"/>
      <c r="D210" s="2"/>
      <c r="E210" s="2"/>
      <c r="F210" s="2"/>
      <c r="G210" s="2"/>
      <c r="H210" s="8"/>
    </row>
    <row r="211" spans="3:8" ht="15.95" customHeight="1" x14ac:dyDescent="0.4">
      <c r="C211" s="2"/>
      <c r="D211" s="2"/>
      <c r="E211" s="2"/>
      <c r="F211" s="2"/>
      <c r="G211" s="2"/>
      <c r="H211" s="8"/>
    </row>
    <row r="212" spans="3:8" ht="15.95" customHeight="1" x14ac:dyDescent="0.4">
      <c r="C212" s="2"/>
      <c r="D212" s="2"/>
      <c r="E212" s="2"/>
      <c r="F212" s="2"/>
      <c r="G212" s="2"/>
      <c r="H212" s="8"/>
    </row>
    <row r="213" spans="3:8" ht="15.95" customHeight="1" x14ac:dyDescent="0.4">
      <c r="C213" s="2"/>
      <c r="D213" s="2"/>
      <c r="E213" s="2"/>
      <c r="F213" s="2"/>
      <c r="G213" s="2"/>
      <c r="H213" s="8"/>
    </row>
    <row r="214" spans="3:8" ht="15.95" customHeight="1" x14ac:dyDescent="0.4">
      <c r="C214" s="2"/>
      <c r="D214" s="2"/>
      <c r="E214" s="2"/>
      <c r="F214" s="2"/>
      <c r="G214" s="2"/>
      <c r="H214" s="8"/>
    </row>
    <row r="215" spans="3:8" ht="15.95" customHeight="1" x14ac:dyDescent="0.4">
      <c r="C215" s="2"/>
      <c r="D215" s="2"/>
      <c r="E215" s="2"/>
      <c r="F215" s="2"/>
      <c r="G215" s="2"/>
      <c r="H215" s="8"/>
    </row>
    <row r="216" spans="3:8" ht="15.95" customHeight="1" x14ac:dyDescent="0.4">
      <c r="C216" s="2"/>
      <c r="D216" s="2"/>
      <c r="E216" s="2"/>
      <c r="F216" s="2"/>
      <c r="G216" s="2"/>
      <c r="H216" s="8"/>
    </row>
    <row r="217" spans="3:8" ht="15.95" customHeight="1" x14ac:dyDescent="0.4">
      <c r="C217" s="2"/>
      <c r="D217" s="2"/>
      <c r="E217" s="2"/>
      <c r="F217" s="2"/>
      <c r="G217" s="2"/>
      <c r="H217" s="8"/>
    </row>
    <row r="218" spans="3:8" ht="15.95" customHeight="1" x14ac:dyDescent="0.4">
      <c r="C218" s="2"/>
      <c r="D218" s="2"/>
      <c r="E218" s="2"/>
      <c r="F218" s="2"/>
      <c r="G218" s="2"/>
      <c r="H218" s="8"/>
    </row>
    <row r="219" spans="3:8" ht="15.95" customHeight="1" x14ac:dyDescent="0.4">
      <c r="C219" s="2"/>
      <c r="D219" s="2"/>
      <c r="E219" s="2"/>
      <c r="F219" s="2"/>
      <c r="G219" s="2"/>
      <c r="H219" s="8"/>
    </row>
    <row r="220" spans="3:8" ht="15.95" customHeight="1" x14ac:dyDescent="0.4">
      <c r="C220" s="2"/>
      <c r="D220" s="2"/>
      <c r="E220" s="2"/>
      <c r="F220" s="2"/>
      <c r="G220" s="2"/>
      <c r="H220" s="8"/>
    </row>
    <row r="221" spans="3:8" ht="15.95" customHeight="1" x14ac:dyDescent="0.4">
      <c r="C221" s="2"/>
      <c r="D221" s="2"/>
      <c r="E221" s="2"/>
      <c r="F221" s="2"/>
      <c r="G221" s="2"/>
      <c r="H221" s="8"/>
    </row>
    <row r="222" spans="3:8" ht="15.95" customHeight="1" x14ac:dyDescent="0.4">
      <c r="C222" s="2"/>
      <c r="D222" s="2"/>
      <c r="E222" s="2"/>
      <c r="F222" s="2"/>
      <c r="G222" s="2"/>
      <c r="H222" s="8"/>
    </row>
    <row r="223" spans="3:8" ht="15.95" customHeight="1" x14ac:dyDescent="0.4">
      <c r="C223" s="2"/>
      <c r="D223" s="2"/>
      <c r="E223" s="2"/>
      <c r="F223" s="2"/>
      <c r="G223" s="2"/>
      <c r="H223" s="8"/>
    </row>
    <row r="224" spans="3:8" ht="15.95" customHeight="1" x14ac:dyDescent="0.4">
      <c r="C224" s="2"/>
      <c r="D224" s="2"/>
      <c r="E224" s="2"/>
      <c r="F224" s="2"/>
      <c r="G224" s="2"/>
      <c r="H224" s="8"/>
    </row>
    <row r="225" spans="3:8" ht="15.95" customHeight="1" x14ac:dyDescent="0.4">
      <c r="C225" s="2"/>
      <c r="D225" s="2"/>
      <c r="E225" s="2"/>
      <c r="F225" s="2"/>
      <c r="G225" s="2"/>
      <c r="H225" s="8"/>
    </row>
    <row r="226" spans="3:8" ht="15.95" customHeight="1" x14ac:dyDescent="0.4">
      <c r="C226" s="2"/>
      <c r="D226" s="2"/>
      <c r="E226" s="2"/>
      <c r="F226" s="2"/>
      <c r="G226" s="2"/>
      <c r="H226" s="8"/>
    </row>
    <row r="227" spans="3:8" ht="15.95" customHeight="1" x14ac:dyDescent="0.4">
      <c r="C227" s="2"/>
      <c r="D227" s="2"/>
      <c r="E227" s="2"/>
      <c r="F227" s="2"/>
      <c r="G227" s="2"/>
      <c r="H227" s="8"/>
    </row>
    <row r="228" spans="3:8" ht="15.95" customHeight="1" x14ac:dyDescent="0.4">
      <c r="C228" s="2"/>
      <c r="D228" s="2"/>
      <c r="E228" s="2"/>
      <c r="F228" s="2"/>
      <c r="G228" s="2"/>
      <c r="H228" s="8"/>
    </row>
    <row r="229" spans="3:8" ht="15.95" customHeight="1" x14ac:dyDescent="0.4">
      <c r="C229" s="2"/>
      <c r="D229" s="2"/>
      <c r="E229" s="2"/>
      <c r="F229" s="2"/>
      <c r="G229" s="2"/>
      <c r="H229" s="8"/>
    </row>
    <row r="230" spans="3:8" ht="15.95" customHeight="1" x14ac:dyDescent="0.4">
      <c r="C230" s="2"/>
      <c r="D230" s="2"/>
      <c r="E230" s="2"/>
      <c r="F230" s="2"/>
      <c r="G230" s="2"/>
      <c r="H230" s="8"/>
    </row>
    <row r="231" spans="3:8" ht="15.95" customHeight="1" x14ac:dyDescent="0.4">
      <c r="C231" s="2"/>
      <c r="D231" s="2"/>
      <c r="E231" s="2"/>
      <c r="F231" s="2"/>
      <c r="G231" s="2"/>
      <c r="H231" s="8"/>
    </row>
    <row r="232" spans="3:8" ht="15.95" customHeight="1" x14ac:dyDescent="0.4">
      <c r="C232" s="2"/>
      <c r="D232" s="2"/>
      <c r="E232" s="2"/>
      <c r="F232" s="2"/>
      <c r="G232" s="2"/>
      <c r="H232" s="8"/>
    </row>
    <row r="233" spans="3:8" ht="15.95" customHeight="1" x14ac:dyDescent="0.4">
      <c r="C233" s="2"/>
      <c r="D233" s="2"/>
      <c r="E233" s="2"/>
      <c r="F233" s="2"/>
      <c r="G233" s="2"/>
      <c r="H233" s="8"/>
    </row>
    <row r="234" spans="3:8" ht="15.95" customHeight="1" x14ac:dyDescent="0.4">
      <c r="C234" s="2"/>
      <c r="D234" s="2"/>
      <c r="E234" s="2"/>
      <c r="F234" s="2"/>
      <c r="G234" s="2"/>
      <c r="H234" s="8"/>
    </row>
    <row r="235" spans="3:8" ht="15.95" customHeight="1" x14ac:dyDescent="0.4">
      <c r="C235" s="2"/>
      <c r="D235" s="2"/>
      <c r="E235" s="2"/>
      <c r="F235" s="2"/>
      <c r="G235" s="2"/>
      <c r="H235" s="8"/>
    </row>
    <row r="236" spans="3:8" ht="15.95" customHeight="1" x14ac:dyDescent="0.4">
      <c r="C236" s="2"/>
      <c r="D236" s="2"/>
      <c r="E236" s="2"/>
      <c r="F236" s="2"/>
      <c r="G236" s="2"/>
      <c r="H236" s="8"/>
    </row>
    <row r="237" spans="3:8" ht="15.95" customHeight="1" x14ac:dyDescent="0.4">
      <c r="C237" s="2"/>
      <c r="D237" s="2"/>
      <c r="E237" s="2"/>
      <c r="F237" s="2"/>
      <c r="G237" s="2"/>
      <c r="H237" s="8"/>
    </row>
    <row r="238" spans="3:8" ht="15.95" customHeight="1" x14ac:dyDescent="0.4">
      <c r="C238" s="2"/>
      <c r="D238" s="2"/>
      <c r="E238" s="2"/>
      <c r="F238" s="2"/>
      <c r="G238" s="2"/>
      <c r="H238" s="8"/>
    </row>
    <row r="239" spans="3:8" ht="15.95" customHeight="1" x14ac:dyDescent="0.4">
      <c r="C239" s="2"/>
      <c r="D239" s="2"/>
      <c r="E239" s="2"/>
      <c r="F239" s="2"/>
      <c r="G239" s="2"/>
      <c r="H239" s="8"/>
    </row>
    <row r="240" spans="3:8" ht="15.95" customHeight="1" x14ac:dyDescent="0.4">
      <c r="C240" s="2"/>
      <c r="D240" s="2"/>
      <c r="E240" s="2"/>
      <c r="F240" s="2"/>
      <c r="G240" s="2"/>
      <c r="H240" s="8"/>
    </row>
    <row r="241" spans="3:8" ht="15.95" customHeight="1" x14ac:dyDescent="0.4">
      <c r="C241" s="2"/>
      <c r="D241" s="2"/>
      <c r="E241" s="2"/>
      <c r="F241" s="2"/>
      <c r="G241" s="2"/>
      <c r="H241" s="8"/>
    </row>
    <row r="242" spans="3:8" ht="15.95" customHeight="1" x14ac:dyDescent="0.4">
      <c r="C242" s="2"/>
      <c r="D242" s="2"/>
      <c r="E242" s="2"/>
      <c r="F242" s="2"/>
      <c r="G242" s="2"/>
      <c r="H242" s="8"/>
    </row>
    <row r="243" spans="3:8" ht="15.95" customHeight="1" x14ac:dyDescent="0.4">
      <c r="C243" s="2"/>
      <c r="D243" s="2"/>
      <c r="E243" s="2"/>
      <c r="F243" s="2"/>
      <c r="G243" s="2"/>
      <c r="H243" s="8"/>
    </row>
    <row r="244" spans="3:8" ht="15.95" customHeight="1" x14ac:dyDescent="0.4">
      <c r="C244" s="2"/>
      <c r="D244" s="2"/>
      <c r="E244" s="2"/>
      <c r="F244" s="2"/>
      <c r="G244" s="2"/>
      <c r="H244" s="8"/>
    </row>
    <row r="245" spans="3:8" ht="15.95" customHeight="1" x14ac:dyDescent="0.4">
      <c r="C245" s="2"/>
      <c r="D245" s="2"/>
      <c r="E245" s="2"/>
      <c r="F245" s="2"/>
      <c r="G245" s="2"/>
      <c r="H245" s="8"/>
    </row>
    <row r="246" spans="3:8" ht="15.95" customHeight="1" x14ac:dyDescent="0.4"/>
  </sheetData>
  <mergeCells count="24">
    <mergeCell ref="B9:C9"/>
    <mergeCell ref="D9:E9"/>
    <mergeCell ref="F8:G8"/>
    <mergeCell ref="F9:G9"/>
    <mergeCell ref="B6:G6"/>
    <mergeCell ref="B2:G2"/>
    <mergeCell ref="B3:G3"/>
    <mergeCell ref="B4:G4"/>
    <mergeCell ref="B8:C8"/>
    <mergeCell ref="D8:E8"/>
    <mergeCell ref="E11:G11"/>
    <mergeCell ref="B11:D11"/>
    <mergeCell ref="B34:C34"/>
    <mergeCell ref="B32:C32"/>
    <mergeCell ref="B30:C30"/>
    <mergeCell ref="B31:C31"/>
    <mergeCell ref="B26:G26"/>
    <mergeCell ref="D23:D24"/>
    <mergeCell ref="G23:G24"/>
    <mergeCell ref="B17:G17"/>
    <mergeCell ref="B12:E12"/>
    <mergeCell ref="C22:F22"/>
    <mergeCell ref="C13:D13"/>
    <mergeCell ref="F13:G13"/>
  </mergeCells>
  <hyperlinks>
    <hyperlink ref="F12" r:id="rId1" xr:uid="{00000000-0004-0000-0000-000000000000}"/>
    <hyperlink ref="E19" r:id="rId2" xr:uid="{00000000-0004-0000-0000-000001000000}"/>
    <hyperlink ref="C19" r:id="rId3" xr:uid="{00000000-0004-0000-0000-000002000000}"/>
    <hyperlink ref="B4" r:id="rId4" xr:uid="{00000000-0004-0000-0000-000003000000}"/>
    <hyperlink ref="D19" r:id="rId5" xr:uid="{00000000-0004-0000-0000-000004000000}"/>
    <hyperlink ref="F19" r:id="rId6" display="Annual tuition (Upper division)" xr:uid="{00000000-0004-0000-0000-000005000000}"/>
  </hyperlinks>
  <pageMargins left="0.7" right="0.7" top="0.75" bottom="0.75" header="0.3" footer="0.3"/>
  <pageSetup scale="93" orientation="portrait" r:id="rId7"/>
  <legacy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S356"/>
  <sheetViews>
    <sheetView zoomScale="150" zoomScaleNormal="150" workbookViewId="0">
      <selection activeCell="B2" sqref="B2:E2"/>
    </sheetView>
  </sheetViews>
  <sheetFormatPr defaultRowHeight="15" x14ac:dyDescent="0.25"/>
  <cols>
    <col min="1" max="1" width="1.5703125" style="2" customWidth="1"/>
    <col min="2" max="4" width="13.5703125" style="2" customWidth="1"/>
    <col min="5" max="5" width="1.5703125" style="2" customWidth="1"/>
    <col min="6" max="9" width="15.5703125" style="2" customWidth="1"/>
    <col min="10" max="10" width="1.5703125" style="2" customWidth="1"/>
    <col min="11" max="11" width="13.5703125" style="2" customWidth="1"/>
    <col min="12" max="21" width="8.85546875" style="2"/>
  </cols>
  <sheetData>
    <row r="1" spans="1:149" s="33" customFormat="1" ht="3" customHeight="1" x14ac:dyDescent="0.4">
      <c r="A1" s="42"/>
      <c r="B1" s="42"/>
      <c r="C1" s="43"/>
      <c r="D1" s="43"/>
      <c r="E1" s="43"/>
      <c r="F1" s="43"/>
      <c r="G1" s="43"/>
      <c r="H1" s="43"/>
      <c r="I1" s="44"/>
      <c r="J1" s="44"/>
      <c r="K1" s="45"/>
      <c r="L1" s="45"/>
      <c r="M1" s="46"/>
      <c r="N1" s="46"/>
      <c r="O1" s="46"/>
      <c r="P1" s="46"/>
      <c r="Q1" s="47"/>
      <c r="R1" s="47"/>
      <c r="S1" s="47"/>
      <c r="T1" s="48"/>
      <c r="U1" s="48"/>
      <c r="V1" s="48"/>
      <c r="W1" s="48"/>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49"/>
      <c r="CI1" s="49"/>
      <c r="CJ1" s="49"/>
      <c r="CK1" s="49"/>
      <c r="CL1" s="49"/>
      <c r="CM1" s="49"/>
      <c r="CN1" s="49"/>
      <c r="CO1" s="49"/>
      <c r="CP1" s="49"/>
      <c r="CQ1" s="49"/>
      <c r="CR1" s="49"/>
      <c r="CS1" s="49"/>
      <c r="CT1" s="49"/>
      <c r="CU1" s="49"/>
      <c r="CV1" s="49"/>
      <c r="CW1" s="49"/>
      <c r="CX1" s="49"/>
      <c r="CY1" s="49"/>
      <c r="CZ1" s="49"/>
      <c r="DA1" s="49"/>
      <c r="DB1" s="49"/>
      <c r="DC1" s="49"/>
      <c r="DD1" s="49"/>
      <c r="DE1" s="49"/>
      <c r="DF1" s="49"/>
      <c r="DG1" s="49"/>
      <c r="DH1" s="49"/>
      <c r="DI1" s="49"/>
      <c r="DJ1" s="49"/>
      <c r="DK1" s="49"/>
      <c r="DL1" s="49"/>
      <c r="DM1" s="49"/>
      <c r="DN1" s="49"/>
      <c r="DO1" s="49"/>
      <c r="DP1" s="49"/>
      <c r="DQ1" s="49"/>
      <c r="DR1" s="49"/>
      <c r="DS1" s="49"/>
      <c r="DT1" s="49"/>
      <c r="DU1" s="49"/>
      <c r="DV1" s="49"/>
      <c r="DW1" s="49"/>
      <c r="DX1" s="49"/>
      <c r="DY1" s="49"/>
      <c r="DZ1" s="49"/>
      <c r="EA1" s="49"/>
      <c r="EB1" s="49"/>
      <c r="EC1" s="49"/>
      <c r="ED1" s="49"/>
      <c r="EE1" s="49"/>
      <c r="EF1" s="49"/>
      <c r="EG1" s="49"/>
      <c r="EH1" s="49"/>
      <c r="EI1" s="49"/>
      <c r="EJ1" s="49"/>
      <c r="EK1" s="49"/>
      <c r="EL1" s="49"/>
      <c r="EM1" s="49"/>
      <c r="EN1" s="49"/>
      <c r="EO1" s="49"/>
      <c r="EP1" s="49"/>
      <c r="EQ1" s="49"/>
      <c r="ER1" s="49"/>
      <c r="ES1" s="49"/>
    </row>
    <row r="2" spans="1:149" s="33" customFormat="1" ht="24" customHeight="1" x14ac:dyDescent="0.25">
      <c r="A2" s="112"/>
      <c r="B2" s="358" t="s">
        <v>134</v>
      </c>
      <c r="C2" s="358"/>
      <c r="D2" s="358"/>
      <c r="E2" s="358"/>
      <c r="F2" s="356" t="s">
        <v>135</v>
      </c>
      <c r="G2" s="356"/>
      <c r="H2" s="356"/>
      <c r="I2" s="356"/>
      <c r="J2" s="113"/>
      <c r="K2" s="34"/>
      <c r="L2" s="34"/>
      <c r="M2" s="34"/>
      <c r="N2" s="34"/>
      <c r="O2" s="34"/>
      <c r="P2" s="34"/>
      <c r="Q2" s="34"/>
      <c r="R2" s="34"/>
      <c r="S2" s="34"/>
      <c r="T2" s="34"/>
      <c r="U2" s="34"/>
      <c r="V2" s="34"/>
      <c r="W2" s="48"/>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49"/>
      <c r="DZ2" s="49"/>
      <c r="EA2" s="49"/>
      <c r="EB2" s="49"/>
      <c r="EC2" s="49"/>
      <c r="ED2" s="49"/>
      <c r="EE2" s="49"/>
      <c r="EF2" s="49"/>
      <c r="EG2" s="49"/>
      <c r="EH2" s="49"/>
      <c r="EI2" s="49"/>
      <c r="EJ2" s="49"/>
      <c r="EK2" s="49"/>
      <c r="EL2" s="49"/>
      <c r="EM2" s="49"/>
      <c r="EN2" s="49"/>
      <c r="EO2" s="49"/>
      <c r="EP2" s="49"/>
      <c r="EQ2" s="49"/>
      <c r="ER2" s="49"/>
      <c r="ES2" s="49"/>
    </row>
    <row r="3" spans="1:149" s="52" customFormat="1" ht="15.95" customHeight="1" x14ac:dyDescent="0.2">
      <c r="A3" s="114"/>
      <c r="B3" s="348" t="s">
        <v>114</v>
      </c>
      <c r="C3" s="348"/>
      <c r="D3" s="348"/>
      <c r="E3" s="348"/>
      <c r="F3" s="356"/>
      <c r="G3" s="356"/>
      <c r="H3" s="356"/>
      <c r="I3" s="356"/>
      <c r="J3" s="113"/>
      <c r="K3" s="34"/>
      <c r="L3" s="34"/>
      <c r="M3" s="34"/>
      <c r="N3" s="34"/>
      <c r="O3" s="34"/>
      <c r="P3" s="34"/>
      <c r="Q3" s="34"/>
      <c r="R3" s="34"/>
      <c r="S3" s="34"/>
      <c r="T3" s="34"/>
      <c r="U3" s="34"/>
      <c r="V3" s="34"/>
      <c r="W3" s="50"/>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51"/>
      <c r="CI3" s="51"/>
      <c r="CJ3" s="51"/>
      <c r="CK3" s="51"/>
      <c r="CL3" s="51"/>
      <c r="CM3" s="51"/>
      <c r="CN3" s="51"/>
      <c r="CO3" s="51"/>
      <c r="CP3" s="51"/>
      <c r="CQ3" s="51"/>
      <c r="CR3" s="51"/>
      <c r="CS3" s="51"/>
      <c r="CT3" s="51"/>
      <c r="CU3" s="51"/>
      <c r="CV3" s="51"/>
      <c r="CW3" s="51"/>
      <c r="CX3" s="51"/>
      <c r="CY3" s="51"/>
      <c r="CZ3" s="51"/>
      <c r="DA3" s="51"/>
      <c r="DB3" s="51"/>
      <c r="DC3" s="51"/>
      <c r="DD3" s="51"/>
      <c r="DE3" s="51"/>
      <c r="DF3" s="51"/>
      <c r="DG3" s="51"/>
      <c r="DH3" s="51"/>
      <c r="DI3" s="51"/>
      <c r="DJ3" s="51"/>
      <c r="DK3" s="51"/>
      <c r="DL3" s="51"/>
      <c r="DM3" s="51"/>
      <c r="DN3" s="51"/>
      <c r="DO3" s="51"/>
      <c r="DP3" s="51"/>
      <c r="DQ3" s="51"/>
      <c r="DR3" s="51"/>
      <c r="DS3" s="51"/>
      <c r="DT3" s="51"/>
      <c r="DU3" s="51"/>
      <c r="DV3" s="51"/>
      <c r="DW3" s="51"/>
      <c r="DX3" s="51"/>
      <c r="DY3" s="51"/>
      <c r="DZ3" s="51"/>
      <c r="EA3" s="51"/>
      <c r="EB3" s="51"/>
      <c r="EC3" s="51"/>
      <c r="ED3" s="51"/>
      <c r="EE3" s="51"/>
      <c r="EF3" s="51"/>
      <c r="EG3" s="51"/>
      <c r="EH3" s="51"/>
      <c r="EI3" s="51"/>
      <c r="EJ3" s="51"/>
      <c r="EK3" s="51"/>
      <c r="EL3" s="51"/>
      <c r="EM3" s="51"/>
      <c r="EN3" s="51"/>
      <c r="EO3" s="51"/>
      <c r="EP3" s="51"/>
      <c r="EQ3" s="51"/>
      <c r="ER3" s="51"/>
      <c r="ES3" s="51"/>
    </row>
    <row r="4" spans="1:149" s="52" customFormat="1" ht="15.95" customHeight="1" x14ac:dyDescent="0.2">
      <c r="A4" s="114"/>
      <c r="B4" s="357" t="s">
        <v>0</v>
      </c>
      <c r="C4" s="357"/>
      <c r="D4" s="357"/>
      <c r="E4" s="357"/>
      <c r="F4" s="356"/>
      <c r="G4" s="356"/>
      <c r="H4" s="356"/>
      <c r="I4" s="356"/>
      <c r="J4" s="113"/>
      <c r="K4" s="34"/>
      <c r="L4" s="34"/>
      <c r="M4" s="34"/>
      <c r="N4" s="34"/>
      <c r="O4" s="34"/>
      <c r="P4" s="34"/>
      <c r="Q4" s="34"/>
      <c r="R4" s="34"/>
      <c r="S4" s="34"/>
      <c r="T4" s="34"/>
      <c r="U4" s="34"/>
      <c r="V4" s="34"/>
      <c r="W4" s="50"/>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51"/>
      <c r="CX4" s="51"/>
      <c r="CY4" s="51"/>
      <c r="CZ4" s="51"/>
      <c r="DA4" s="51"/>
      <c r="DB4" s="51"/>
      <c r="DC4" s="51"/>
      <c r="DD4" s="51"/>
      <c r="DE4" s="51"/>
      <c r="DF4" s="51"/>
      <c r="DG4" s="51"/>
      <c r="DH4" s="51"/>
      <c r="DI4" s="51"/>
      <c r="DJ4" s="51"/>
      <c r="DK4" s="51"/>
      <c r="DL4" s="51"/>
      <c r="DM4" s="51"/>
      <c r="DN4" s="51"/>
      <c r="DO4" s="51"/>
      <c r="DP4" s="51"/>
      <c r="DQ4" s="51"/>
      <c r="DR4" s="51"/>
      <c r="DS4" s="51"/>
      <c r="DT4" s="51"/>
      <c r="DU4" s="51"/>
      <c r="DV4" s="51"/>
      <c r="DW4" s="51"/>
      <c r="DX4" s="51"/>
      <c r="DY4" s="51"/>
      <c r="DZ4" s="51"/>
      <c r="EA4" s="51"/>
      <c r="EB4" s="51"/>
      <c r="EC4" s="51"/>
      <c r="ED4" s="51"/>
      <c r="EE4" s="51"/>
      <c r="EF4" s="51"/>
      <c r="EG4" s="51"/>
      <c r="EH4" s="51"/>
      <c r="EI4" s="51"/>
      <c r="EJ4" s="51"/>
      <c r="EK4" s="51"/>
      <c r="EL4" s="51"/>
      <c r="EM4" s="51"/>
      <c r="EN4" s="51"/>
      <c r="EO4" s="51"/>
      <c r="EP4" s="51"/>
      <c r="EQ4" s="51"/>
      <c r="ER4" s="51"/>
      <c r="ES4" s="51"/>
    </row>
    <row r="5" spans="1:149" s="33" customFormat="1" ht="3" customHeight="1" x14ac:dyDescent="0.4">
      <c r="A5" s="112"/>
      <c r="B5" s="112"/>
      <c r="C5" s="115"/>
      <c r="D5" s="115"/>
      <c r="E5" s="115"/>
      <c r="F5" s="356"/>
      <c r="G5" s="356"/>
      <c r="H5" s="356"/>
      <c r="I5" s="356"/>
      <c r="J5" s="116"/>
      <c r="K5" s="45"/>
      <c r="L5" s="45"/>
      <c r="M5" s="46"/>
      <c r="N5" s="46"/>
      <c r="O5" s="46"/>
      <c r="P5" s="46"/>
      <c r="Q5" s="48"/>
      <c r="R5" s="48"/>
      <c r="S5" s="48"/>
      <c r="T5" s="48"/>
      <c r="U5" s="48"/>
      <c r="V5" s="48"/>
      <c r="W5" s="48"/>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c r="CW5" s="49"/>
      <c r="CX5" s="49"/>
      <c r="CY5" s="49"/>
      <c r="CZ5" s="49"/>
      <c r="DA5" s="49"/>
      <c r="DB5" s="49"/>
      <c r="DC5" s="49"/>
      <c r="DD5" s="49"/>
      <c r="DE5" s="49"/>
      <c r="DF5" s="49"/>
      <c r="DG5" s="49"/>
      <c r="DH5" s="49"/>
      <c r="DI5" s="49"/>
      <c r="DJ5" s="49"/>
      <c r="DK5" s="49"/>
      <c r="DL5" s="49"/>
      <c r="DM5" s="49"/>
      <c r="DN5" s="49"/>
      <c r="DO5" s="49"/>
      <c r="DP5" s="49"/>
      <c r="DQ5" s="49"/>
      <c r="DR5" s="49"/>
      <c r="DS5" s="49"/>
      <c r="DT5" s="49"/>
      <c r="DU5" s="49"/>
      <c r="DV5" s="49"/>
      <c r="DW5" s="49"/>
      <c r="DX5" s="49"/>
      <c r="DY5" s="49"/>
      <c r="DZ5" s="49"/>
      <c r="EA5" s="49"/>
      <c r="EB5" s="49"/>
      <c r="EC5" s="49"/>
      <c r="ED5" s="49"/>
      <c r="EE5" s="49"/>
      <c r="EF5" s="49"/>
      <c r="EG5" s="49"/>
      <c r="EH5" s="49"/>
      <c r="EI5" s="49"/>
      <c r="EJ5" s="49"/>
      <c r="EK5" s="49"/>
      <c r="EL5" s="49"/>
      <c r="EM5" s="49"/>
      <c r="EN5" s="49"/>
      <c r="EO5" s="49"/>
      <c r="EP5" s="49"/>
      <c r="EQ5" s="49"/>
      <c r="ER5" s="49"/>
      <c r="ES5" s="49"/>
    </row>
    <row r="6" spans="1:149" s="28" customFormat="1" ht="14.45" customHeight="1" x14ac:dyDescent="0.25">
      <c r="A6" s="117"/>
      <c r="B6" s="351" t="s">
        <v>24</v>
      </c>
      <c r="C6" s="351"/>
      <c r="D6" s="351"/>
      <c r="E6" s="117"/>
      <c r="F6" s="356"/>
      <c r="G6" s="356"/>
      <c r="H6" s="356"/>
      <c r="I6" s="356"/>
      <c r="J6" s="117"/>
      <c r="K6" s="27"/>
      <c r="L6" s="27"/>
      <c r="M6" s="27"/>
      <c r="N6" s="27"/>
      <c r="O6" s="27"/>
      <c r="P6" s="27"/>
      <c r="Q6" s="27"/>
      <c r="R6" s="27"/>
      <c r="S6" s="27"/>
    </row>
    <row r="7" spans="1:149" s="28" customFormat="1" ht="44.1" customHeight="1" x14ac:dyDescent="0.25">
      <c r="A7" s="117"/>
      <c r="B7" s="152" t="s">
        <v>26</v>
      </c>
      <c r="C7" s="152" t="s">
        <v>25</v>
      </c>
      <c r="D7" s="152" t="s">
        <v>27</v>
      </c>
      <c r="E7" s="117"/>
      <c r="F7" s="356"/>
      <c r="G7" s="356"/>
      <c r="H7" s="356"/>
      <c r="I7" s="356"/>
      <c r="J7" s="117"/>
      <c r="L7" s="165"/>
      <c r="M7" s="165"/>
      <c r="N7" s="165"/>
      <c r="O7" s="165"/>
      <c r="P7" s="165"/>
      <c r="Q7" s="165"/>
      <c r="R7" s="27"/>
      <c r="S7" s="27"/>
    </row>
    <row r="8" spans="1:149" s="2" customFormat="1" ht="18" customHeight="1" x14ac:dyDescent="0.25">
      <c r="A8" s="118"/>
      <c r="B8" s="266">
        <v>0.02</v>
      </c>
      <c r="C8" s="266">
        <v>3.5000000000000003E-2</v>
      </c>
      <c r="D8" s="266">
        <v>4.4499999999999998E-2</v>
      </c>
      <c r="E8" s="118"/>
      <c r="F8" s="356"/>
      <c r="G8" s="356"/>
      <c r="H8" s="356"/>
      <c r="I8" s="356"/>
      <c r="J8" s="118"/>
      <c r="L8" s="165"/>
      <c r="M8" s="165"/>
      <c r="N8" s="165"/>
      <c r="O8" s="165"/>
      <c r="P8" s="165"/>
      <c r="Q8" s="165"/>
      <c r="R8" s="26"/>
      <c r="S8" s="26"/>
      <c r="U8" s="7"/>
    </row>
    <row r="9" spans="1:149" s="2" customFormat="1" ht="3" customHeight="1" x14ac:dyDescent="0.25">
      <c r="A9" s="118"/>
      <c r="B9" s="172"/>
      <c r="C9" s="172"/>
      <c r="D9" s="172"/>
      <c r="E9" s="118"/>
      <c r="F9" s="356"/>
      <c r="G9" s="356"/>
      <c r="H9" s="356"/>
      <c r="I9" s="356"/>
      <c r="J9" s="118"/>
      <c r="L9" s="165"/>
      <c r="M9" s="165"/>
      <c r="N9" s="165"/>
      <c r="O9" s="165"/>
      <c r="P9" s="165"/>
      <c r="Q9" s="165"/>
      <c r="R9" s="26"/>
      <c r="S9" s="26"/>
      <c r="U9" s="7"/>
    </row>
    <row r="10" spans="1:149" s="28" customFormat="1" ht="44.1" customHeight="1" x14ac:dyDescent="0.25">
      <c r="A10" s="117"/>
      <c r="B10" s="203" t="s">
        <v>48</v>
      </c>
      <c r="C10" s="203" t="s">
        <v>50</v>
      </c>
      <c r="D10" s="182"/>
      <c r="E10" s="117"/>
      <c r="F10" s="356"/>
      <c r="G10" s="356"/>
      <c r="H10" s="356"/>
      <c r="I10" s="356"/>
      <c r="J10" s="117"/>
      <c r="K10" s="165"/>
      <c r="L10" s="165"/>
      <c r="M10" s="165"/>
      <c r="N10" s="165"/>
      <c r="O10" s="165"/>
      <c r="P10" s="165"/>
      <c r="Q10" s="165"/>
      <c r="R10" s="26"/>
      <c r="S10" s="26"/>
      <c r="U10" s="27"/>
    </row>
    <row r="11" spans="1:149" s="2" customFormat="1" ht="18" customHeight="1" x14ac:dyDescent="0.25">
      <c r="A11" s="118"/>
      <c r="B11" s="267">
        <v>4.2500000000000003E-2</v>
      </c>
      <c r="C11" s="267">
        <v>0</v>
      </c>
      <c r="D11" s="118"/>
      <c r="E11" s="118"/>
      <c r="F11" s="356"/>
      <c r="G11" s="356"/>
      <c r="H11" s="356"/>
      <c r="I11" s="356"/>
      <c r="J11" s="118"/>
      <c r="K11" s="165"/>
      <c r="L11" s="165"/>
      <c r="M11" s="165"/>
      <c r="N11" s="165"/>
      <c r="O11" s="165"/>
      <c r="P11" s="165"/>
      <c r="Q11" s="165"/>
      <c r="R11" s="164"/>
      <c r="S11" s="164"/>
      <c r="U11" s="7"/>
    </row>
    <row r="12" spans="1:149" s="2" customFormat="1" ht="3" customHeight="1" x14ac:dyDescent="0.25">
      <c r="A12" s="118"/>
      <c r="B12" s="187"/>
      <c r="C12" s="187"/>
      <c r="D12" s="118"/>
      <c r="E12" s="118"/>
      <c r="F12" s="356"/>
      <c r="G12" s="356"/>
      <c r="H12" s="356"/>
      <c r="I12" s="356"/>
      <c r="J12" s="118"/>
      <c r="K12" s="165"/>
      <c r="L12" s="165"/>
      <c r="M12" s="165"/>
      <c r="N12" s="165"/>
      <c r="O12" s="165"/>
      <c r="P12" s="165"/>
      <c r="Q12" s="165"/>
      <c r="R12" s="164"/>
      <c r="S12" s="164"/>
      <c r="U12" s="7"/>
    </row>
    <row r="13" spans="1:149" s="2" customFormat="1" ht="18" customHeight="1" x14ac:dyDescent="0.25">
      <c r="A13" s="118"/>
      <c r="B13" s="354" t="s">
        <v>28</v>
      </c>
      <c r="C13" s="354"/>
      <c r="D13" s="354"/>
      <c r="E13" s="118"/>
      <c r="F13" s="356"/>
      <c r="G13" s="356"/>
      <c r="H13" s="356"/>
      <c r="I13" s="356"/>
      <c r="J13" s="118"/>
      <c r="K13" s="165"/>
      <c r="L13" s="165"/>
      <c r="M13" s="165"/>
      <c r="N13" s="165"/>
      <c r="O13" s="165"/>
      <c r="P13" s="165"/>
      <c r="Q13" s="165"/>
      <c r="R13" s="155"/>
      <c r="S13" s="155"/>
      <c r="U13" s="7"/>
    </row>
    <row r="14" spans="1:149" s="2" customFormat="1" ht="30.75" thickBot="1" x14ac:dyDescent="0.3">
      <c r="A14" s="117"/>
      <c r="B14" s="120" t="s">
        <v>31</v>
      </c>
      <c r="C14" s="121" t="s">
        <v>32</v>
      </c>
      <c r="D14" s="122"/>
      <c r="E14" s="117"/>
      <c r="F14" s="180" t="s">
        <v>33</v>
      </c>
      <c r="G14" s="180" t="s">
        <v>133</v>
      </c>
      <c r="H14" s="181" t="str">
        <f>'Career Comparison'!C13</f>
        <v>WMU</v>
      </c>
      <c r="I14" s="181" t="str">
        <f>'Career Comparison'!F13</f>
        <v>High School Diploma</v>
      </c>
      <c r="J14" s="117"/>
      <c r="K14" s="165"/>
      <c r="L14" s="165"/>
      <c r="M14" s="165"/>
      <c r="N14" s="165"/>
      <c r="O14" s="165"/>
      <c r="P14" s="165"/>
      <c r="Q14" s="165"/>
      <c r="R14" s="7"/>
      <c r="S14" s="7"/>
      <c r="U14" s="7"/>
    </row>
    <row r="15" spans="1:149" s="2" customFormat="1" ht="16.350000000000001" customHeight="1" x14ac:dyDescent="0.25">
      <c r="A15" s="118"/>
      <c r="B15" s="268">
        <v>0.1</v>
      </c>
      <c r="C15" s="296">
        <v>0</v>
      </c>
      <c r="D15" s="295">
        <v>9325</v>
      </c>
      <c r="E15" s="118"/>
      <c r="F15" s="296">
        <f>D24+D25</f>
        <v>10400</v>
      </c>
      <c r="G15" s="296">
        <v>0</v>
      </c>
      <c r="H15" s="355" t="s">
        <v>34</v>
      </c>
      <c r="I15" s="355"/>
      <c r="J15" s="118"/>
      <c r="K15" s="165"/>
      <c r="L15" s="165"/>
      <c r="M15" s="165"/>
      <c r="N15" s="165"/>
      <c r="O15" s="165"/>
      <c r="P15" s="165"/>
      <c r="Q15" s="165"/>
      <c r="R15" s="7"/>
      <c r="S15" s="7"/>
      <c r="U15" s="7"/>
    </row>
    <row r="16" spans="1:149" s="2" customFormat="1" ht="16.350000000000001" customHeight="1" x14ac:dyDescent="0.25">
      <c r="A16" s="118"/>
      <c r="B16" s="268">
        <v>0.15</v>
      </c>
      <c r="C16" s="296">
        <f>D15</f>
        <v>9325</v>
      </c>
      <c r="D16" s="295">
        <v>37950</v>
      </c>
      <c r="E16" s="118"/>
      <c r="F16" s="296">
        <f t="shared" ref="F16:F22" si="0">C16+$F$15</f>
        <v>19725</v>
      </c>
      <c r="G16" s="296">
        <f t="shared" ref="G16:G22" si="1">B15*(D15-C15)</f>
        <v>932.5</v>
      </c>
      <c r="H16" s="296">
        <f t="shared" ref="H16:H22" ca="1" si="2">IF($H$29&gt;F16, G16, IF(AND(F16&gt;$H$29,F15&lt;$H$29), B15*($H$29-F15),0))</f>
        <v>932.5</v>
      </c>
      <c r="I16" s="302">
        <f t="shared" ref="I16:I22" si="3">IF($I$29&gt;F16, G16, IF(AND(F16&gt;$I$29,F15&lt;$I$29), B15*($I$29-F15),0))</f>
        <v>932.5</v>
      </c>
      <c r="J16" s="118"/>
      <c r="K16" s="165"/>
      <c r="L16" s="165"/>
      <c r="M16" s="165"/>
      <c r="N16" s="165"/>
      <c r="O16" s="165"/>
      <c r="P16" s="165"/>
      <c r="Q16" s="165"/>
      <c r="R16" s="7"/>
      <c r="S16" s="7"/>
      <c r="U16" s="7"/>
    </row>
    <row r="17" spans="1:21" s="2" customFormat="1" ht="16.350000000000001" customHeight="1" x14ac:dyDescent="0.25">
      <c r="A17" s="118"/>
      <c r="B17" s="268">
        <v>0.25</v>
      </c>
      <c r="C17" s="296">
        <f t="shared" ref="C17:C22" si="4">D16</f>
        <v>37950</v>
      </c>
      <c r="D17" s="295">
        <v>91900</v>
      </c>
      <c r="E17" s="118"/>
      <c r="F17" s="296">
        <f t="shared" si="0"/>
        <v>48350</v>
      </c>
      <c r="G17" s="296">
        <f t="shared" si="1"/>
        <v>4293.75</v>
      </c>
      <c r="H17" s="296">
        <f t="shared" ca="1" si="2"/>
        <v>2463.0733217341008</v>
      </c>
      <c r="I17" s="302">
        <f t="shared" si="3"/>
        <v>71.25</v>
      </c>
      <c r="J17" s="118"/>
      <c r="U17" s="7"/>
    </row>
    <row r="18" spans="1:21" s="2" customFormat="1" ht="16.350000000000001" customHeight="1" x14ac:dyDescent="0.25">
      <c r="A18" s="118"/>
      <c r="B18" s="268">
        <v>0.28000000000000003</v>
      </c>
      <c r="C18" s="296">
        <f t="shared" si="4"/>
        <v>91900</v>
      </c>
      <c r="D18" s="295">
        <v>191650</v>
      </c>
      <c r="E18" s="118"/>
      <c r="F18" s="296">
        <f t="shared" si="0"/>
        <v>102300</v>
      </c>
      <c r="G18" s="296">
        <f t="shared" si="1"/>
        <v>13487.5</v>
      </c>
      <c r="H18" s="296">
        <f t="shared" ca="1" si="2"/>
        <v>0</v>
      </c>
      <c r="I18" s="302">
        <f t="shared" si="3"/>
        <v>0</v>
      </c>
      <c r="J18" s="118"/>
      <c r="K18" s="147"/>
      <c r="L18" s="147"/>
      <c r="M18" s="147"/>
      <c r="N18" s="147"/>
      <c r="O18" s="147"/>
      <c r="P18" s="147"/>
      <c r="Q18" s="147"/>
      <c r="R18" s="147"/>
      <c r="U18" s="7"/>
    </row>
    <row r="19" spans="1:21" s="2" customFormat="1" ht="16.350000000000001" customHeight="1" x14ac:dyDescent="0.25">
      <c r="A19" s="118"/>
      <c r="B19" s="268">
        <v>0.33</v>
      </c>
      <c r="C19" s="296">
        <f t="shared" si="4"/>
        <v>191650</v>
      </c>
      <c r="D19" s="295">
        <v>416700</v>
      </c>
      <c r="E19" s="118"/>
      <c r="F19" s="296">
        <f t="shared" si="0"/>
        <v>202050</v>
      </c>
      <c r="G19" s="296">
        <f t="shared" si="1"/>
        <v>27930.000000000004</v>
      </c>
      <c r="H19" s="296">
        <f t="shared" ca="1" si="2"/>
        <v>0</v>
      </c>
      <c r="I19" s="302">
        <f t="shared" si="3"/>
        <v>0</v>
      </c>
      <c r="J19" s="118"/>
      <c r="K19" s="147"/>
      <c r="L19" s="147"/>
      <c r="M19" s="147"/>
      <c r="N19" s="147"/>
      <c r="O19" s="147"/>
      <c r="P19" s="147"/>
      <c r="Q19" s="147"/>
      <c r="R19" s="147"/>
      <c r="U19" s="7"/>
    </row>
    <row r="20" spans="1:21" s="2" customFormat="1" ht="16.350000000000001" customHeight="1" x14ac:dyDescent="0.25">
      <c r="A20" s="118"/>
      <c r="B20" s="268">
        <v>0.35</v>
      </c>
      <c r="C20" s="296">
        <f t="shared" si="4"/>
        <v>416700</v>
      </c>
      <c r="D20" s="295">
        <v>418400</v>
      </c>
      <c r="E20" s="118"/>
      <c r="F20" s="296">
        <f t="shared" si="0"/>
        <v>427100</v>
      </c>
      <c r="G20" s="296">
        <f t="shared" si="1"/>
        <v>74266.5</v>
      </c>
      <c r="H20" s="296">
        <f t="shared" ca="1" si="2"/>
        <v>0</v>
      </c>
      <c r="I20" s="302">
        <f t="shared" si="3"/>
        <v>0</v>
      </c>
      <c r="J20" s="118"/>
      <c r="K20" s="147"/>
      <c r="L20" s="147"/>
      <c r="M20" s="147"/>
      <c r="N20" s="147"/>
      <c r="O20" s="147"/>
      <c r="P20" s="147"/>
      <c r="Q20" s="147"/>
      <c r="R20" s="147"/>
      <c r="S20" s="7"/>
      <c r="T20" s="7"/>
      <c r="U20" s="7"/>
    </row>
    <row r="21" spans="1:21" s="2" customFormat="1" ht="16.350000000000001" customHeight="1" x14ac:dyDescent="0.25">
      <c r="A21" s="118"/>
      <c r="B21" s="268">
        <v>0.39600000000000002</v>
      </c>
      <c r="C21" s="296">
        <f t="shared" si="4"/>
        <v>418400</v>
      </c>
      <c r="D21" s="296">
        <v>999990999</v>
      </c>
      <c r="E21" s="118"/>
      <c r="F21" s="296">
        <f t="shared" si="0"/>
        <v>428800</v>
      </c>
      <c r="G21" s="296">
        <f t="shared" si="1"/>
        <v>595</v>
      </c>
      <c r="H21" s="296">
        <f t="shared" ca="1" si="2"/>
        <v>0</v>
      </c>
      <c r="I21" s="302">
        <f t="shared" si="3"/>
        <v>0</v>
      </c>
      <c r="J21" s="118"/>
      <c r="K21" s="148"/>
      <c r="L21" s="148"/>
      <c r="M21" s="148"/>
      <c r="N21" s="148"/>
      <c r="O21" s="148"/>
      <c r="P21" s="148"/>
      <c r="Q21" s="148"/>
      <c r="R21" s="148"/>
    </row>
    <row r="22" spans="1:21" s="2" customFormat="1" ht="16.350000000000001" customHeight="1" x14ac:dyDescent="0.25">
      <c r="A22" s="118"/>
      <c r="B22" s="118"/>
      <c r="C22" s="296">
        <f t="shared" si="4"/>
        <v>999990999</v>
      </c>
      <c r="D22" s="296"/>
      <c r="E22" s="118"/>
      <c r="F22" s="296">
        <f t="shared" si="0"/>
        <v>1000001399</v>
      </c>
      <c r="G22" s="296">
        <f t="shared" si="1"/>
        <v>395830749.204</v>
      </c>
      <c r="H22" s="296">
        <f t="shared" ca="1" si="2"/>
        <v>0</v>
      </c>
      <c r="I22" s="302">
        <f t="shared" si="3"/>
        <v>0</v>
      </c>
      <c r="J22" s="118"/>
      <c r="K22" s="148"/>
      <c r="L22" s="148"/>
      <c r="M22" s="148"/>
      <c r="N22" s="148"/>
      <c r="O22" s="148"/>
      <c r="P22" s="148"/>
      <c r="Q22" s="148"/>
      <c r="R22" s="148"/>
    </row>
    <row r="23" spans="1:21" s="2" customFormat="1" ht="16.350000000000001" customHeight="1" thickBot="1" x14ac:dyDescent="0.3">
      <c r="A23" s="118"/>
      <c r="B23" s="118"/>
      <c r="C23" s="296"/>
      <c r="D23" s="296"/>
      <c r="E23" s="118"/>
      <c r="F23" s="125"/>
      <c r="G23" s="125"/>
      <c r="H23" s="126"/>
      <c r="I23" s="126"/>
      <c r="J23" s="118"/>
      <c r="K23" s="60"/>
    </row>
    <row r="24" spans="1:21" s="2" customFormat="1" ht="16.350000000000001" customHeight="1" x14ac:dyDescent="0.25">
      <c r="A24" s="118"/>
      <c r="B24" s="161" t="s">
        <v>29</v>
      </c>
      <c r="C24" s="299"/>
      <c r="D24" s="295">
        <v>6350</v>
      </c>
      <c r="E24" s="118"/>
      <c r="F24" s="117" t="s">
        <v>37</v>
      </c>
      <c r="G24" s="118"/>
      <c r="H24" s="298">
        <f>'Career Comparison'!C15*(1+B8)</f>
        <v>51000</v>
      </c>
      <c r="I24" s="298">
        <f>'Career Comparison'!F15*(1+B8)</f>
        <v>30600</v>
      </c>
      <c r="J24" s="118"/>
    </row>
    <row r="25" spans="1:21" s="2" customFormat="1" ht="16.350000000000001" customHeight="1" x14ac:dyDescent="0.25">
      <c r="A25" s="118"/>
      <c r="B25" s="161" t="s">
        <v>30</v>
      </c>
      <c r="C25" s="299"/>
      <c r="D25" s="295">
        <v>4050</v>
      </c>
      <c r="E25" s="118"/>
      <c r="F25" s="117" t="s">
        <v>39</v>
      </c>
      <c r="G25" s="118"/>
      <c r="H25" s="302">
        <f>IF(H24&lt;$D$29, $D$28*H24, $D$28*$D$29)</f>
        <v>3162</v>
      </c>
      <c r="I25" s="302">
        <f>IF(I24&lt;$D$29, $D$28*I24, $D$28*$D$29)</f>
        <v>1897.2</v>
      </c>
      <c r="J25" s="118"/>
      <c r="K25" s="60"/>
    </row>
    <row r="26" spans="1:21" s="2" customFormat="1" ht="16.350000000000001" customHeight="1" x14ac:dyDescent="0.25">
      <c r="A26" s="118"/>
      <c r="B26" s="118"/>
      <c r="C26" s="118"/>
      <c r="D26" s="117"/>
      <c r="E26" s="118"/>
      <c r="F26" s="117" t="s">
        <v>41</v>
      </c>
      <c r="G26" s="118"/>
      <c r="H26" s="296">
        <f>H24*$D$30</f>
        <v>739.5</v>
      </c>
      <c r="I26" s="296">
        <f>I24*$D$30</f>
        <v>443.70000000000005</v>
      </c>
      <c r="J26" s="118"/>
    </row>
    <row r="27" spans="1:21" s="2" customFormat="1" ht="16.350000000000001" customHeight="1" x14ac:dyDescent="0.25">
      <c r="A27" s="118"/>
      <c r="B27" s="354" t="s">
        <v>35</v>
      </c>
      <c r="C27" s="354"/>
      <c r="D27" s="354"/>
      <c r="E27" s="118"/>
      <c r="F27" s="117" t="s">
        <v>43</v>
      </c>
      <c r="G27" s="118"/>
      <c r="H27" s="302">
        <f>IF(H24&gt;$D$32, $D$31*(H24-$D$32), 0)</f>
        <v>0</v>
      </c>
      <c r="I27" s="302">
        <f>IF(I24&gt;$D$32, $D$31*(I24-$D$32), 0)</f>
        <v>0</v>
      </c>
      <c r="J27" s="118"/>
      <c r="K27" s="61"/>
    </row>
    <row r="28" spans="1:21" s="2" customFormat="1" ht="16.350000000000001" customHeight="1" x14ac:dyDescent="0.25">
      <c r="A28" s="118"/>
      <c r="B28" s="117" t="s">
        <v>36</v>
      </c>
      <c r="C28" s="117"/>
      <c r="D28" s="269">
        <v>6.2E-2</v>
      </c>
      <c r="E28" s="118"/>
      <c r="F28" s="117" t="s">
        <v>45</v>
      </c>
      <c r="G28" s="118"/>
      <c r="H28" s="298">
        <f ca="1">SUM('Career Schedule'!D16:D27)</f>
        <v>4454.5111884393245</v>
      </c>
      <c r="I28" s="296">
        <v>0</v>
      </c>
      <c r="J28" s="118"/>
    </row>
    <row r="29" spans="1:21" s="2" customFormat="1" ht="16.350000000000001" customHeight="1" x14ac:dyDescent="0.25">
      <c r="A29" s="118"/>
      <c r="B29" s="117" t="s">
        <v>38</v>
      </c>
      <c r="C29" s="117"/>
      <c r="D29" s="300">
        <v>127200</v>
      </c>
      <c r="E29" s="118"/>
      <c r="F29" s="117" t="s">
        <v>46</v>
      </c>
      <c r="G29" s="118"/>
      <c r="H29" s="296">
        <f ca="1">H24-H28-$F$15</f>
        <v>36145.488811560674</v>
      </c>
      <c r="I29" s="296">
        <f>I24-I28-$F$15</f>
        <v>20200</v>
      </c>
      <c r="J29" s="118"/>
    </row>
    <row r="30" spans="1:21" s="2" customFormat="1" ht="16.350000000000001" customHeight="1" x14ac:dyDescent="0.25">
      <c r="A30" s="127"/>
      <c r="B30" s="117" t="s">
        <v>40</v>
      </c>
      <c r="C30" s="117"/>
      <c r="D30" s="269">
        <v>1.4500000000000001E-2</v>
      </c>
      <c r="E30" s="118"/>
      <c r="F30" s="117" t="s">
        <v>47</v>
      </c>
      <c r="G30" s="118"/>
      <c r="H30" s="296">
        <f ca="1">SUM(H16:H22)</f>
        <v>3395.5733217341008</v>
      </c>
      <c r="I30" s="296">
        <f>SUM(I16:I22)</f>
        <v>1003.75</v>
      </c>
      <c r="J30" s="118"/>
    </row>
    <row r="31" spans="1:21" s="2" customFormat="1" ht="16.350000000000001" customHeight="1" x14ac:dyDescent="0.25">
      <c r="A31" s="128"/>
      <c r="B31" s="117" t="s">
        <v>42</v>
      </c>
      <c r="C31" s="117"/>
      <c r="D31" s="269">
        <v>8.9999999999999993E-3</v>
      </c>
      <c r="E31" s="118"/>
      <c r="F31" s="117" t="s">
        <v>49</v>
      </c>
      <c r="G31" s="118"/>
      <c r="H31" s="296">
        <f ca="1">H29*$B$11</f>
        <v>1536.1832744913288</v>
      </c>
      <c r="I31" s="296">
        <f>I29*$B$11</f>
        <v>858.50000000000011</v>
      </c>
      <c r="J31" s="118"/>
    </row>
    <row r="32" spans="1:21" s="2" customFormat="1" ht="16.350000000000001" customHeight="1" x14ac:dyDescent="0.25">
      <c r="A32" s="129"/>
      <c r="B32" s="117" t="s">
        <v>44</v>
      </c>
      <c r="C32" s="117"/>
      <c r="D32" s="300">
        <v>200000</v>
      </c>
      <c r="E32" s="118"/>
      <c r="F32" s="117" t="s">
        <v>51</v>
      </c>
      <c r="G32" s="118"/>
      <c r="H32" s="296">
        <f ca="1">H29*$C$11</f>
        <v>0</v>
      </c>
      <c r="I32" s="296">
        <f>I29*$C$11</f>
        <v>0</v>
      </c>
      <c r="J32" s="118"/>
    </row>
    <row r="33" spans="1:12" s="2" customFormat="1" ht="3" customHeight="1" x14ac:dyDescent="0.25">
      <c r="A33" s="130"/>
      <c r="B33" s="118"/>
      <c r="C33" s="118"/>
      <c r="D33" s="118"/>
      <c r="E33" s="118"/>
      <c r="F33" s="117"/>
      <c r="G33" s="118"/>
      <c r="H33" s="296"/>
      <c r="I33" s="296"/>
      <c r="J33" s="118"/>
    </row>
    <row r="34" spans="1:12" s="2" customFormat="1" ht="16.350000000000001" customHeight="1" x14ac:dyDescent="0.25">
      <c r="A34" s="130"/>
      <c r="B34" s="118"/>
      <c r="C34" s="118"/>
      <c r="D34" s="118"/>
      <c r="E34" s="118"/>
      <c r="F34" s="117" t="s">
        <v>52</v>
      </c>
      <c r="G34" s="118"/>
      <c r="H34" s="296">
        <f ca="1">H24-H25-H26-H27-SUM(H30:H32)</f>
        <v>42166.74340377457</v>
      </c>
      <c r="I34" s="296">
        <f>I24-I25-I26-I27-SUM(I30:I32)</f>
        <v>26396.85</v>
      </c>
      <c r="J34" s="118"/>
    </row>
    <row r="35" spans="1:12" s="2" customFormat="1" ht="16.350000000000001" customHeight="1" x14ac:dyDescent="0.25">
      <c r="A35" s="130"/>
      <c r="B35" s="124"/>
      <c r="C35" s="117"/>
      <c r="D35" s="118"/>
      <c r="E35" s="118"/>
      <c r="F35" s="117" t="s">
        <v>53</v>
      </c>
      <c r="G35" s="118"/>
      <c r="H35" s="298">
        <f ca="1">H34/12</f>
        <v>3513.8952836478807</v>
      </c>
      <c r="I35" s="298">
        <f>I34/12</f>
        <v>2199.7374999999997</v>
      </c>
      <c r="J35" s="118"/>
    </row>
    <row r="36" spans="1:12" s="2" customFormat="1" ht="3" customHeight="1" x14ac:dyDescent="0.25">
      <c r="A36" s="130"/>
      <c r="B36" s="118"/>
      <c r="C36" s="118"/>
      <c r="D36" s="118"/>
      <c r="E36" s="118"/>
      <c r="F36" s="117"/>
      <c r="G36" s="118"/>
      <c r="H36" s="118"/>
      <c r="I36" s="118"/>
      <c r="J36" s="118"/>
    </row>
    <row r="37" spans="1:12" s="2" customFormat="1" ht="16.350000000000001" customHeight="1" x14ac:dyDescent="0.25">
      <c r="A37" s="130"/>
      <c r="B37" s="117"/>
      <c r="C37" s="117"/>
      <c r="D37" s="118"/>
      <c r="E37" s="118"/>
      <c r="F37" s="118" t="s">
        <v>54</v>
      </c>
      <c r="G37" s="118"/>
      <c r="H37" s="160">
        <f ca="1">1-H34/H24</f>
        <v>0.17320110972991043</v>
      </c>
      <c r="I37" s="160">
        <f>1-I34/I24</f>
        <v>0.13735784313725496</v>
      </c>
      <c r="J37" s="118"/>
    </row>
    <row r="38" spans="1:12" s="2" customFormat="1" x14ac:dyDescent="0.25">
      <c r="A38" s="130"/>
      <c r="B38" s="118"/>
      <c r="C38" s="118"/>
      <c r="D38" s="118"/>
      <c r="E38" s="118"/>
      <c r="F38" s="118"/>
      <c r="G38" s="118"/>
      <c r="H38" s="118"/>
      <c r="I38" s="118"/>
      <c r="J38" s="118"/>
    </row>
    <row r="39" spans="1:12" s="2" customFormat="1" x14ac:dyDescent="0.25">
      <c r="A39" s="6"/>
      <c r="B39" s="7"/>
      <c r="C39" s="7"/>
      <c r="D39" s="7"/>
      <c r="E39" s="7"/>
      <c r="F39" s="7"/>
      <c r="G39" s="7"/>
      <c r="H39" s="7"/>
      <c r="I39" s="7"/>
      <c r="J39" s="7"/>
      <c r="K39" s="7"/>
      <c r="L39" s="7"/>
    </row>
    <row r="40" spans="1:12" s="2" customFormat="1" x14ac:dyDescent="0.25">
      <c r="A40" s="6"/>
      <c r="B40" s="7"/>
      <c r="C40" s="7"/>
      <c r="D40" s="7"/>
      <c r="E40" s="7"/>
      <c r="F40" s="7"/>
      <c r="G40" s="7"/>
      <c r="H40" s="7"/>
      <c r="I40" s="7"/>
      <c r="J40" s="7"/>
      <c r="K40" s="7"/>
      <c r="L40" s="7"/>
    </row>
    <row r="41" spans="1:12" s="2" customFormat="1" x14ac:dyDescent="0.25">
      <c r="A41" s="6"/>
      <c r="B41" s="7"/>
      <c r="C41" s="7"/>
      <c r="D41" s="7"/>
      <c r="E41" s="7"/>
      <c r="F41" s="7"/>
      <c r="G41" s="7"/>
      <c r="H41" s="7"/>
      <c r="I41" s="7"/>
      <c r="J41" s="7"/>
      <c r="K41" s="7"/>
      <c r="L41" s="7"/>
    </row>
    <row r="42" spans="1:12" s="2" customFormat="1" x14ac:dyDescent="0.25">
      <c r="A42" s="6"/>
      <c r="B42" s="7"/>
      <c r="C42" s="7"/>
      <c r="D42" s="7"/>
      <c r="E42" s="7"/>
      <c r="F42" s="7"/>
      <c r="G42" s="7"/>
      <c r="H42" s="7"/>
      <c r="I42" s="7"/>
      <c r="J42" s="7"/>
      <c r="K42" s="7"/>
      <c r="L42" s="7"/>
    </row>
    <row r="43" spans="1:12" s="2" customFormat="1" x14ac:dyDescent="0.25">
      <c r="A43" s="4"/>
    </row>
    <row r="44" spans="1:12" s="2" customFormat="1" x14ac:dyDescent="0.25">
      <c r="A44" s="4"/>
    </row>
    <row r="45" spans="1:12" s="2" customFormat="1" x14ac:dyDescent="0.25">
      <c r="A45" s="4"/>
    </row>
    <row r="46" spans="1:12" s="2" customFormat="1" x14ac:dyDescent="0.25">
      <c r="A46" s="4"/>
    </row>
    <row r="47" spans="1:12" s="2" customFormat="1" x14ac:dyDescent="0.25">
      <c r="A47" s="4"/>
    </row>
    <row r="48" spans="1:12" s="2" customFormat="1" x14ac:dyDescent="0.25">
      <c r="A48" s="4"/>
    </row>
    <row r="49" spans="1:1" s="2" customFormat="1" x14ac:dyDescent="0.25">
      <c r="A49" s="4"/>
    </row>
    <row r="50" spans="1:1" s="2" customFormat="1" x14ac:dyDescent="0.25">
      <c r="A50" s="4"/>
    </row>
    <row r="51" spans="1:1" s="2" customFormat="1" x14ac:dyDescent="0.25">
      <c r="A51" s="4"/>
    </row>
    <row r="52" spans="1:1" s="2" customFormat="1" x14ac:dyDescent="0.25">
      <c r="A52" s="4"/>
    </row>
    <row r="53" spans="1:1" s="2" customFormat="1" x14ac:dyDescent="0.25">
      <c r="A53" s="4"/>
    </row>
    <row r="54" spans="1:1" s="2" customFormat="1" x14ac:dyDescent="0.25">
      <c r="A54" s="4"/>
    </row>
    <row r="55" spans="1:1" s="2" customFormat="1" x14ac:dyDescent="0.25">
      <c r="A55" s="4"/>
    </row>
    <row r="56" spans="1:1" s="2" customFormat="1" x14ac:dyDescent="0.25">
      <c r="A56" s="4"/>
    </row>
    <row r="57" spans="1:1" s="2" customFormat="1" x14ac:dyDescent="0.25">
      <c r="A57" s="4"/>
    </row>
    <row r="58" spans="1:1" s="2" customFormat="1" x14ac:dyDescent="0.25">
      <c r="A58" s="4"/>
    </row>
    <row r="59" spans="1:1" s="2" customFormat="1" x14ac:dyDescent="0.25">
      <c r="A59" s="4"/>
    </row>
    <row r="60" spans="1:1" s="2" customFormat="1" x14ac:dyDescent="0.25">
      <c r="A60" s="4"/>
    </row>
    <row r="61" spans="1:1" s="2" customFormat="1" x14ac:dyDescent="0.25">
      <c r="A61" s="4"/>
    </row>
    <row r="62" spans="1:1" s="2" customFormat="1" x14ac:dyDescent="0.25">
      <c r="A62" s="4"/>
    </row>
    <row r="63" spans="1:1" s="2" customFormat="1" x14ac:dyDescent="0.25">
      <c r="A63" s="4"/>
    </row>
    <row r="64" spans="1:1" s="2" customFormat="1" x14ac:dyDescent="0.25">
      <c r="A64" s="4"/>
    </row>
    <row r="65" spans="1:1" s="2" customFormat="1" x14ac:dyDescent="0.25">
      <c r="A65" s="4"/>
    </row>
    <row r="66" spans="1:1" s="2" customFormat="1" x14ac:dyDescent="0.25">
      <c r="A66" s="4"/>
    </row>
    <row r="67" spans="1:1" s="2" customFormat="1" x14ac:dyDescent="0.25">
      <c r="A67" s="4"/>
    </row>
    <row r="68" spans="1:1" s="2" customFormat="1" x14ac:dyDescent="0.25">
      <c r="A68" s="4"/>
    </row>
    <row r="69" spans="1:1" s="2" customFormat="1" x14ac:dyDescent="0.25">
      <c r="A69" s="4"/>
    </row>
    <row r="70" spans="1:1" s="2" customFormat="1" x14ac:dyDescent="0.25">
      <c r="A70" s="4"/>
    </row>
    <row r="71" spans="1:1" s="2" customFormat="1" x14ac:dyDescent="0.25">
      <c r="A71" s="4"/>
    </row>
    <row r="72" spans="1:1" s="2" customFormat="1" x14ac:dyDescent="0.25">
      <c r="A72" s="4"/>
    </row>
    <row r="73" spans="1:1" s="2" customFormat="1" x14ac:dyDescent="0.25">
      <c r="A73" s="4"/>
    </row>
    <row r="74" spans="1:1" s="2" customFormat="1" x14ac:dyDescent="0.25">
      <c r="A74" s="4"/>
    </row>
    <row r="75" spans="1:1" s="2" customFormat="1" x14ac:dyDescent="0.25">
      <c r="A75" s="4"/>
    </row>
    <row r="76" spans="1:1" s="2" customFormat="1" x14ac:dyDescent="0.25">
      <c r="A76" s="4"/>
    </row>
    <row r="77" spans="1:1" s="2" customFormat="1" x14ac:dyDescent="0.25">
      <c r="A77" s="4"/>
    </row>
    <row r="78" spans="1:1" s="2" customFormat="1" x14ac:dyDescent="0.25">
      <c r="A78" s="4"/>
    </row>
    <row r="79" spans="1:1" s="2" customFormat="1" x14ac:dyDescent="0.25">
      <c r="A79" s="4"/>
    </row>
    <row r="80" spans="1:1" s="2" customFormat="1" x14ac:dyDescent="0.25">
      <c r="A80" s="4"/>
    </row>
    <row r="81" spans="1:1" s="2" customFormat="1" x14ac:dyDescent="0.25">
      <c r="A81" s="4"/>
    </row>
    <row r="82" spans="1:1" s="2" customFormat="1" x14ac:dyDescent="0.25">
      <c r="A82" s="4"/>
    </row>
    <row r="83" spans="1:1" s="2" customFormat="1" x14ac:dyDescent="0.25">
      <c r="A83" s="4"/>
    </row>
    <row r="84" spans="1:1" s="2" customFormat="1" x14ac:dyDescent="0.25">
      <c r="A84" s="4"/>
    </row>
    <row r="85" spans="1:1" s="2" customFormat="1" x14ac:dyDescent="0.25">
      <c r="A85" s="4"/>
    </row>
    <row r="86" spans="1:1" s="2" customFormat="1" x14ac:dyDescent="0.25">
      <c r="A86" s="4"/>
    </row>
    <row r="87" spans="1:1" s="2" customFormat="1" x14ac:dyDescent="0.25">
      <c r="A87" s="4"/>
    </row>
    <row r="88" spans="1:1" s="2" customFormat="1" x14ac:dyDescent="0.25">
      <c r="A88" s="4"/>
    </row>
    <row r="89" spans="1:1" s="2" customFormat="1" x14ac:dyDescent="0.25">
      <c r="A89" s="4"/>
    </row>
    <row r="90" spans="1:1" s="2" customFormat="1" x14ac:dyDescent="0.25">
      <c r="A90" s="4"/>
    </row>
    <row r="91" spans="1:1" s="2" customFormat="1" x14ac:dyDescent="0.25">
      <c r="A91" s="4"/>
    </row>
    <row r="92" spans="1:1" s="2" customFormat="1" x14ac:dyDescent="0.25">
      <c r="A92" s="4"/>
    </row>
    <row r="93" spans="1:1" s="2" customFormat="1" x14ac:dyDescent="0.25">
      <c r="A93" s="4"/>
    </row>
    <row r="94" spans="1:1" s="2" customFormat="1" x14ac:dyDescent="0.25">
      <c r="A94" s="4"/>
    </row>
    <row r="95" spans="1:1" s="2" customFormat="1" x14ac:dyDescent="0.25">
      <c r="A95" s="4"/>
    </row>
    <row r="96" spans="1:1" s="2" customFormat="1" x14ac:dyDescent="0.25">
      <c r="A96" s="4"/>
    </row>
    <row r="97" spans="1:1" s="2" customFormat="1" x14ac:dyDescent="0.25">
      <c r="A97" s="4"/>
    </row>
    <row r="98" spans="1:1" s="2" customFormat="1" x14ac:dyDescent="0.25">
      <c r="A98" s="4"/>
    </row>
    <row r="99" spans="1:1" s="2" customFormat="1" x14ac:dyDescent="0.25">
      <c r="A99" s="4"/>
    </row>
    <row r="100" spans="1:1" s="2" customFormat="1" x14ac:dyDescent="0.25">
      <c r="A100" s="4"/>
    </row>
    <row r="101" spans="1:1" s="2" customFormat="1" x14ac:dyDescent="0.25">
      <c r="A101" s="4"/>
    </row>
    <row r="102" spans="1:1" s="2" customFormat="1" x14ac:dyDescent="0.25">
      <c r="A102" s="4"/>
    </row>
    <row r="103" spans="1:1" s="2" customFormat="1" x14ac:dyDescent="0.25">
      <c r="A103" s="4"/>
    </row>
    <row r="104" spans="1:1" s="2" customFormat="1" x14ac:dyDescent="0.25">
      <c r="A104" s="4"/>
    </row>
    <row r="105" spans="1:1" s="2" customFormat="1" x14ac:dyDescent="0.25">
      <c r="A105" s="4"/>
    </row>
    <row r="106" spans="1:1" s="2" customFormat="1" x14ac:dyDescent="0.25">
      <c r="A106" s="4"/>
    </row>
    <row r="107" spans="1:1" s="2" customFormat="1" x14ac:dyDescent="0.25">
      <c r="A107" s="4"/>
    </row>
    <row r="108" spans="1:1" s="2" customFormat="1" x14ac:dyDescent="0.25">
      <c r="A108" s="4"/>
    </row>
    <row r="109" spans="1:1" s="2" customFormat="1" x14ac:dyDescent="0.25">
      <c r="A109" s="4"/>
    </row>
    <row r="110" spans="1:1" s="2" customFormat="1" x14ac:dyDescent="0.25">
      <c r="A110" s="4"/>
    </row>
    <row r="111" spans="1:1" s="2" customFormat="1" x14ac:dyDescent="0.25">
      <c r="A111" s="4"/>
    </row>
    <row r="112" spans="1:1" s="2" customFormat="1" x14ac:dyDescent="0.25">
      <c r="A112" s="4"/>
    </row>
    <row r="113" spans="1:1" s="2" customFormat="1" x14ac:dyDescent="0.25">
      <c r="A113" s="4"/>
    </row>
    <row r="114" spans="1:1" s="2" customFormat="1" x14ac:dyDescent="0.25">
      <c r="A114" s="4"/>
    </row>
    <row r="115" spans="1:1" s="2" customFormat="1" x14ac:dyDescent="0.25">
      <c r="A115" s="4"/>
    </row>
    <row r="116" spans="1:1" s="2" customFormat="1" x14ac:dyDescent="0.25">
      <c r="A116" s="4"/>
    </row>
    <row r="117" spans="1:1" s="2" customFormat="1" x14ac:dyDescent="0.25">
      <c r="A117" s="4"/>
    </row>
    <row r="118" spans="1:1" s="2" customFormat="1" x14ac:dyDescent="0.25">
      <c r="A118" s="4"/>
    </row>
    <row r="119" spans="1:1" s="2" customFormat="1" x14ac:dyDescent="0.25">
      <c r="A119" s="4"/>
    </row>
    <row r="120" spans="1:1" s="2" customFormat="1" x14ac:dyDescent="0.25">
      <c r="A120" s="4"/>
    </row>
    <row r="121" spans="1:1" s="2" customFormat="1" x14ac:dyDescent="0.25">
      <c r="A121" s="4"/>
    </row>
    <row r="122" spans="1:1" s="2" customFormat="1" x14ac:dyDescent="0.25">
      <c r="A122" s="4"/>
    </row>
    <row r="123" spans="1:1" s="2" customFormat="1" x14ac:dyDescent="0.25">
      <c r="A123" s="4"/>
    </row>
    <row r="124" spans="1:1" s="2" customFormat="1" x14ac:dyDescent="0.25">
      <c r="A124" s="4"/>
    </row>
    <row r="125" spans="1:1" s="2" customFormat="1" x14ac:dyDescent="0.25">
      <c r="A125" s="4"/>
    </row>
    <row r="126" spans="1:1" s="2" customFormat="1" x14ac:dyDescent="0.25">
      <c r="A126" s="4"/>
    </row>
    <row r="127" spans="1:1" s="2" customFormat="1" x14ac:dyDescent="0.25">
      <c r="A127" s="4"/>
    </row>
    <row r="128" spans="1:1" s="2" customFormat="1" x14ac:dyDescent="0.25">
      <c r="A128" s="4"/>
    </row>
    <row r="129" spans="1:1" s="2" customFormat="1" x14ac:dyDescent="0.25">
      <c r="A129" s="4"/>
    </row>
    <row r="130" spans="1:1" s="2" customFormat="1" x14ac:dyDescent="0.25">
      <c r="A130" s="4"/>
    </row>
    <row r="131" spans="1:1" s="2" customFormat="1" x14ac:dyDescent="0.25">
      <c r="A131" s="4"/>
    </row>
    <row r="132" spans="1:1" s="2" customFormat="1" x14ac:dyDescent="0.25">
      <c r="A132" s="4"/>
    </row>
    <row r="133" spans="1:1" s="2" customFormat="1" x14ac:dyDescent="0.25">
      <c r="A133" s="4"/>
    </row>
    <row r="134" spans="1:1" s="2" customFormat="1" x14ac:dyDescent="0.25">
      <c r="A134" s="4"/>
    </row>
    <row r="135" spans="1:1" s="2" customFormat="1" x14ac:dyDescent="0.25">
      <c r="A135" s="4"/>
    </row>
    <row r="136" spans="1:1" s="2" customFormat="1" x14ac:dyDescent="0.25">
      <c r="A136" s="4"/>
    </row>
    <row r="137" spans="1:1" s="2" customFormat="1" x14ac:dyDescent="0.25">
      <c r="A137" s="4"/>
    </row>
    <row r="138" spans="1:1" s="2" customFormat="1" x14ac:dyDescent="0.25">
      <c r="A138" s="4"/>
    </row>
    <row r="139" spans="1:1" s="2" customFormat="1" x14ac:dyDescent="0.25">
      <c r="A139" s="4"/>
    </row>
    <row r="140" spans="1:1" s="2" customFormat="1" x14ac:dyDescent="0.25">
      <c r="A140" s="4"/>
    </row>
    <row r="141" spans="1:1" s="2" customFormat="1" x14ac:dyDescent="0.25">
      <c r="A141" s="4"/>
    </row>
    <row r="142" spans="1:1" s="2" customFormat="1" x14ac:dyDescent="0.25">
      <c r="A142" s="4"/>
    </row>
    <row r="143" spans="1:1" s="2" customFormat="1" x14ac:dyDescent="0.25">
      <c r="A143" s="4"/>
    </row>
    <row r="144" spans="1:1" s="2" customFormat="1" x14ac:dyDescent="0.25">
      <c r="A144" s="4"/>
    </row>
    <row r="145" spans="1:1" s="2" customFormat="1" x14ac:dyDescent="0.25">
      <c r="A145" s="4"/>
    </row>
    <row r="146" spans="1:1" s="2" customFormat="1" x14ac:dyDescent="0.25">
      <c r="A146" s="4"/>
    </row>
    <row r="147" spans="1:1" s="2" customFormat="1" x14ac:dyDescent="0.25">
      <c r="A147" s="4"/>
    </row>
    <row r="148" spans="1:1" s="2" customFormat="1" x14ac:dyDescent="0.25">
      <c r="A148" s="4"/>
    </row>
    <row r="149" spans="1:1" s="2" customFormat="1" x14ac:dyDescent="0.25">
      <c r="A149" s="4"/>
    </row>
    <row r="150" spans="1:1" s="2" customFormat="1" x14ac:dyDescent="0.25">
      <c r="A150" s="4"/>
    </row>
    <row r="151" spans="1:1" s="2" customFormat="1" x14ac:dyDescent="0.25">
      <c r="A151" s="4"/>
    </row>
    <row r="152" spans="1:1" s="2" customFormat="1" x14ac:dyDescent="0.25">
      <c r="A152" s="4"/>
    </row>
    <row r="153" spans="1:1" s="2" customFormat="1" x14ac:dyDescent="0.25">
      <c r="A153" s="4"/>
    </row>
    <row r="154" spans="1:1" s="2" customFormat="1" x14ac:dyDescent="0.25">
      <c r="A154" s="4"/>
    </row>
    <row r="155" spans="1:1" s="2" customFormat="1" x14ac:dyDescent="0.25">
      <c r="A155" s="4"/>
    </row>
    <row r="156" spans="1:1" s="2" customFormat="1" x14ac:dyDescent="0.25">
      <c r="A156" s="4"/>
    </row>
    <row r="157" spans="1:1" s="2" customFormat="1" x14ac:dyDescent="0.25">
      <c r="A157" s="4"/>
    </row>
    <row r="158" spans="1:1" s="2" customFormat="1" x14ac:dyDescent="0.25">
      <c r="A158" s="4"/>
    </row>
    <row r="159" spans="1:1" s="2" customFormat="1" x14ac:dyDescent="0.25">
      <c r="A159" s="4"/>
    </row>
    <row r="160" spans="1:1" s="2" customFormat="1" x14ac:dyDescent="0.25">
      <c r="A160" s="4"/>
    </row>
    <row r="161" spans="1:1" s="2" customFormat="1" x14ac:dyDescent="0.25">
      <c r="A161" s="4"/>
    </row>
    <row r="162" spans="1:1" s="2" customFormat="1" x14ac:dyDescent="0.25">
      <c r="A162" s="4"/>
    </row>
    <row r="163" spans="1:1" s="2" customFormat="1" x14ac:dyDescent="0.25">
      <c r="A163" s="4"/>
    </row>
    <row r="164" spans="1:1" s="2" customFormat="1" x14ac:dyDescent="0.25">
      <c r="A164" s="4"/>
    </row>
    <row r="165" spans="1:1" s="2" customFormat="1" x14ac:dyDescent="0.25">
      <c r="A165" s="4"/>
    </row>
    <row r="166" spans="1:1" s="2" customFormat="1" x14ac:dyDescent="0.25">
      <c r="A166" s="4"/>
    </row>
    <row r="167" spans="1:1" s="2" customFormat="1" x14ac:dyDescent="0.25">
      <c r="A167" s="4"/>
    </row>
    <row r="168" spans="1:1" s="2" customFormat="1" x14ac:dyDescent="0.25">
      <c r="A168" s="4"/>
    </row>
    <row r="169" spans="1:1" s="2" customFormat="1" x14ac:dyDescent="0.25">
      <c r="A169" s="4"/>
    </row>
    <row r="170" spans="1:1" s="2" customFormat="1" x14ac:dyDescent="0.25">
      <c r="A170" s="4"/>
    </row>
    <row r="171" spans="1:1" s="2" customFormat="1" x14ac:dyDescent="0.25">
      <c r="A171" s="4"/>
    </row>
    <row r="172" spans="1:1" s="2" customFormat="1" x14ac:dyDescent="0.25">
      <c r="A172" s="4"/>
    </row>
    <row r="173" spans="1:1" s="2" customFormat="1" x14ac:dyDescent="0.25">
      <c r="A173" s="4"/>
    </row>
    <row r="174" spans="1:1" s="2" customFormat="1" x14ac:dyDescent="0.25">
      <c r="A174" s="4"/>
    </row>
    <row r="175" spans="1:1" s="2" customFormat="1" x14ac:dyDescent="0.25">
      <c r="A175" s="4"/>
    </row>
    <row r="176" spans="1:1" s="2" customFormat="1" x14ac:dyDescent="0.25">
      <c r="A176" s="4"/>
    </row>
    <row r="177" spans="1:1" s="2" customFormat="1" x14ac:dyDescent="0.25">
      <c r="A177" s="4"/>
    </row>
    <row r="178" spans="1:1" s="2" customFormat="1" x14ac:dyDescent="0.25">
      <c r="A178" s="4"/>
    </row>
    <row r="179" spans="1:1" s="2" customFormat="1" x14ac:dyDescent="0.25">
      <c r="A179" s="4"/>
    </row>
    <row r="180" spans="1:1" s="2" customFormat="1" x14ac:dyDescent="0.25">
      <c r="A180" s="4"/>
    </row>
    <row r="181" spans="1:1" s="2" customFormat="1" x14ac:dyDescent="0.25">
      <c r="A181" s="4"/>
    </row>
    <row r="182" spans="1:1" s="2" customFormat="1" x14ac:dyDescent="0.25">
      <c r="A182" s="4"/>
    </row>
    <row r="183" spans="1:1" s="2" customFormat="1" x14ac:dyDescent="0.25">
      <c r="A183" s="4"/>
    </row>
    <row r="184" spans="1:1" s="2" customFormat="1" x14ac:dyDescent="0.25">
      <c r="A184" s="4"/>
    </row>
    <row r="185" spans="1:1" s="2" customFormat="1" x14ac:dyDescent="0.25">
      <c r="A185" s="4"/>
    </row>
    <row r="186" spans="1:1" s="2" customFormat="1" x14ac:dyDescent="0.25">
      <c r="A186" s="4"/>
    </row>
    <row r="187" spans="1:1" s="2" customFormat="1" x14ac:dyDescent="0.25">
      <c r="A187" s="4"/>
    </row>
    <row r="188" spans="1:1" s="2" customFormat="1" x14ac:dyDescent="0.25">
      <c r="A188" s="4"/>
    </row>
    <row r="189" spans="1:1" s="2" customFormat="1" x14ac:dyDescent="0.25">
      <c r="A189" s="4"/>
    </row>
    <row r="190" spans="1:1" s="2" customFormat="1" x14ac:dyDescent="0.25">
      <c r="A190" s="4"/>
    </row>
    <row r="191" spans="1:1" s="2" customFormat="1" x14ac:dyDescent="0.25">
      <c r="A191" s="4"/>
    </row>
    <row r="192" spans="1:1" s="2" customFormat="1" x14ac:dyDescent="0.25">
      <c r="A192" s="4"/>
    </row>
    <row r="193" spans="1:1" s="2" customFormat="1" x14ac:dyDescent="0.25">
      <c r="A193" s="4"/>
    </row>
    <row r="194" spans="1:1" s="2" customFormat="1" x14ac:dyDescent="0.25">
      <c r="A194" s="4"/>
    </row>
    <row r="195" spans="1:1" s="2" customFormat="1" x14ac:dyDescent="0.25">
      <c r="A195" s="4"/>
    </row>
    <row r="196" spans="1:1" s="2" customFormat="1" x14ac:dyDescent="0.25">
      <c r="A196" s="4"/>
    </row>
    <row r="197" spans="1:1" s="2" customFormat="1" x14ac:dyDescent="0.25">
      <c r="A197" s="4"/>
    </row>
    <row r="198" spans="1:1" s="2" customFormat="1" x14ac:dyDescent="0.25">
      <c r="A198" s="4"/>
    </row>
    <row r="199" spans="1:1" s="2" customFormat="1" x14ac:dyDescent="0.25">
      <c r="A199" s="4"/>
    </row>
    <row r="200" spans="1:1" s="2" customFormat="1" x14ac:dyDescent="0.25">
      <c r="A200" s="4"/>
    </row>
    <row r="201" spans="1:1" s="2" customFormat="1" x14ac:dyDescent="0.25">
      <c r="A201" s="4"/>
    </row>
    <row r="202" spans="1:1" s="2" customFormat="1" x14ac:dyDescent="0.25">
      <c r="A202" s="4"/>
    </row>
    <row r="203" spans="1:1" s="2" customFormat="1" x14ac:dyDescent="0.25">
      <c r="A203" s="4"/>
    </row>
    <row r="204" spans="1:1" s="2" customFormat="1" x14ac:dyDescent="0.25">
      <c r="A204" s="4"/>
    </row>
    <row r="205" spans="1:1" s="2" customFormat="1" x14ac:dyDescent="0.25">
      <c r="A205" s="4"/>
    </row>
    <row r="206" spans="1:1" s="2" customFormat="1" x14ac:dyDescent="0.25">
      <c r="A206" s="4"/>
    </row>
    <row r="207" spans="1:1" s="2" customFormat="1" x14ac:dyDescent="0.25">
      <c r="A207" s="4"/>
    </row>
    <row r="208" spans="1:1" s="2" customFormat="1" x14ac:dyDescent="0.25">
      <c r="A208" s="4"/>
    </row>
    <row r="209" spans="1:1" s="2" customFormat="1" x14ac:dyDescent="0.25">
      <c r="A209" s="4"/>
    </row>
    <row r="210" spans="1:1" s="2" customFormat="1" x14ac:dyDescent="0.25">
      <c r="A210" s="4"/>
    </row>
    <row r="211" spans="1:1" s="2" customFormat="1" x14ac:dyDescent="0.25">
      <c r="A211" s="4"/>
    </row>
    <row r="212" spans="1:1" s="2" customFormat="1" x14ac:dyDescent="0.25">
      <c r="A212" s="4"/>
    </row>
    <row r="213" spans="1:1" s="2" customFormat="1" x14ac:dyDescent="0.25">
      <c r="A213" s="4"/>
    </row>
    <row r="214" spans="1:1" s="2" customFormat="1" x14ac:dyDescent="0.25">
      <c r="A214" s="4"/>
    </row>
    <row r="215" spans="1:1" s="2" customFormat="1" x14ac:dyDescent="0.25">
      <c r="A215" s="4"/>
    </row>
    <row r="216" spans="1:1" s="2" customFormat="1" x14ac:dyDescent="0.25">
      <c r="A216" s="4"/>
    </row>
    <row r="217" spans="1:1" s="2" customFormat="1" x14ac:dyDescent="0.25">
      <c r="A217" s="4"/>
    </row>
    <row r="218" spans="1:1" s="2" customFormat="1" x14ac:dyDescent="0.25">
      <c r="A218" s="4"/>
    </row>
    <row r="219" spans="1:1" s="2" customFormat="1" x14ac:dyDescent="0.25">
      <c r="A219" s="4"/>
    </row>
    <row r="220" spans="1:1" s="2" customFormat="1" x14ac:dyDescent="0.25">
      <c r="A220" s="4"/>
    </row>
    <row r="221" spans="1:1" s="2" customFormat="1" x14ac:dyDescent="0.25">
      <c r="A221" s="4"/>
    </row>
    <row r="222" spans="1:1" s="2" customFormat="1" x14ac:dyDescent="0.25">
      <c r="A222" s="4"/>
    </row>
    <row r="223" spans="1:1" s="2" customFormat="1" x14ac:dyDescent="0.25">
      <c r="A223" s="4"/>
    </row>
    <row r="224" spans="1:1" s="2" customFormat="1" x14ac:dyDescent="0.25">
      <c r="A224" s="4"/>
    </row>
    <row r="225" spans="1:1" s="2" customFormat="1" x14ac:dyDescent="0.25">
      <c r="A225" s="4"/>
    </row>
    <row r="226" spans="1:1" s="2" customFormat="1" x14ac:dyDescent="0.25">
      <c r="A226" s="4"/>
    </row>
    <row r="227" spans="1:1" s="2" customFormat="1" x14ac:dyDescent="0.25">
      <c r="A227" s="4"/>
    </row>
    <row r="228" spans="1:1" s="2" customFormat="1" x14ac:dyDescent="0.25">
      <c r="A228" s="4"/>
    </row>
    <row r="229" spans="1:1" s="2" customFormat="1" x14ac:dyDescent="0.25">
      <c r="A229" s="4"/>
    </row>
    <row r="230" spans="1:1" s="2" customFormat="1" x14ac:dyDescent="0.25">
      <c r="A230" s="4"/>
    </row>
    <row r="231" spans="1:1" s="2" customFormat="1" x14ac:dyDescent="0.25">
      <c r="A231" s="4"/>
    </row>
    <row r="232" spans="1:1" s="2" customFormat="1" x14ac:dyDescent="0.25">
      <c r="A232" s="4"/>
    </row>
    <row r="233" spans="1:1" s="2" customFormat="1" x14ac:dyDescent="0.25">
      <c r="A233" s="4"/>
    </row>
    <row r="234" spans="1:1" s="2" customFormat="1" x14ac:dyDescent="0.25">
      <c r="A234" s="4"/>
    </row>
    <row r="235" spans="1:1" s="2" customFormat="1" x14ac:dyDescent="0.25">
      <c r="A235" s="4"/>
    </row>
    <row r="236" spans="1:1" s="2" customFormat="1" x14ac:dyDescent="0.25">
      <c r="A236" s="4"/>
    </row>
    <row r="237" spans="1:1" s="2" customFormat="1" x14ac:dyDescent="0.25">
      <c r="A237" s="4"/>
    </row>
    <row r="238" spans="1:1" s="2" customFormat="1" x14ac:dyDescent="0.25">
      <c r="A238" s="4"/>
    </row>
    <row r="239" spans="1:1" s="2" customFormat="1" x14ac:dyDescent="0.25">
      <c r="A239" s="4"/>
    </row>
    <row r="240" spans="1:1" s="2" customFormat="1" x14ac:dyDescent="0.25">
      <c r="A240" s="4"/>
    </row>
    <row r="241" spans="1:1" s="2" customFormat="1" x14ac:dyDescent="0.25">
      <c r="A241" s="4"/>
    </row>
    <row r="242" spans="1:1" s="2" customFormat="1" x14ac:dyDescent="0.25">
      <c r="A242" s="4"/>
    </row>
    <row r="243" spans="1:1" s="2" customFormat="1" x14ac:dyDescent="0.25">
      <c r="A243" s="4"/>
    </row>
    <row r="244" spans="1:1" s="2" customFormat="1" x14ac:dyDescent="0.25">
      <c r="A244" s="4"/>
    </row>
    <row r="245" spans="1:1" s="2" customFormat="1" x14ac:dyDescent="0.25">
      <c r="A245" s="4"/>
    </row>
    <row r="246" spans="1:1" s="2" customFormat="1" x14ac:dyDescent="0.25">
      <c r="A246" s="4"/>
    </row>
    <row r="247" spans="1:1" s="2" customFormat="1" x14ac:dyDescent="0.25">
      <c r="A247" s="4"/>
    </row>
    <row r="248" spans="1:1" s="2" customFormat="1" x14ac:dyDescent="0.25">
      <c r="A248" s="4"/>
    </row>
    <row r="249" spans="1:1" s="2" customFormat="1" x14ac:dyDescent="0.25">
      <c r="A249" s="4"/>
    </row>
    <row r="250" spans="1:1" s="2" customFormat="1" x14ac:dyDescent="0.25">
      <c r="A250" s="4"/>
    </row>
    <row r="251" spans="1:1" s="2" customFormat="1" x14ac:dyDescent="0.25">
      <c r="A251" s="4"/>
    </row>
    <row r="252" spans="1:1" s="2" customFormat="1" x14ac:dyDescent="0.25">
      <c r="A252" s="4"/>
    </row>
    <row r="253" spans="1:1" s="2" customFormat="1" x14ac:dyDescent="0.25">
      <c r="A253" s="4"/>
    </row>
    <row r="254" spans="1:1" s="2" customFormat="1" x14ac:dyDescent="0.25">
      <c r="A254" s="4"/>
    </row>
    <row r="255" spans="1:1" s="2" customFormat="1" x14ac:dyDescent="0.25">
      <c r="A255" s="4"/>
    </row>
    <row r="256" spans="1:1" s="2" customFormat="1" x14ac:dyDescent="0.25">
      <c r="A256" s="4"/>
    </row>
    <row r="257" spans="1:1" s="2" customFormat="1" x14ac:dyDescent="0.25">
      <c r="A257" s="4"/>
    </row>
    <row r="258" spans="1:1" s="2" customFormat="1" x14ac:dyDescent="0.25">
      <c r="A258" s="4"/>
    </row>
    <row r="259" spans="1:1" s="2" customFormat="1" x14ac:dyDescent="0.25">
      <c r="A259" s="4"/>
    </row>
    <row r="260" spans="1:1" s="2" customFormat="1" x14ac:dyDescent="0.25">
      <c r="A260" s="4"/>
    </row>
    <row r="261" spans="1:1" s="2" customFormat="1" x14ac:dyDescent="0.25">
      <c r="A261" s="4"/>
    </row>
    <row r="262" spans="1:1" s="2" customFormat="1" x14ac:dyDescent="0.25">
      <c r="A262" s="4"/>
    </row>
    <row r="263" spans="1:1" s="2" customFormat="1" x14ac:dyDescent="0.25">
      <c r="A263" s="4"/>
    </row>
    <row r="264" spans="1:1" s="2" customFormat="1" x14ac:dyDescent="0.25">
      <c r="A264" s="4"/>
    </row>
    <row r="265" spans="1:1" s="2" customFormat="1" x14ac:dyDescent="0.25">
      <c r="A265" s="4"/>
    </row>
    <row r="266" spans="1:1" s="2" customFormat="1" x14ac:dyDescent="0.25">
      <c r="A266" s="4"/>
    </row>
    <row r="267" spans="1:1" s="2" customFormat="1" x14ac:dyDescent="0.25">
      <c r="A267" s="4"/>
    </row>
    <row r="268" spans="1:1" s="2" customFormat="1" x14ac:dyDescent="0.25">
      <c r="A268" s="4"/>
    </row>
    <row r="269" spans="1:1" s="2" customFormat="1" x14ac:dyDescent="0.25">
      <c r="A269" s="4"/>
    </row>
    <row r="270" spans="1:1" s="2" customFormat="1" x14ac:dyDescent="0.25">
      <c r="A270" s="4"/>
    </row>
    <row r="271" spans="1:1" s="2" customFormat="1" x14ac:dyDescent="0.25">
      <c r="A271" s="4"/>
    </row>
    <row r="272" spans="1:1" s="2" customFormat="1" x14ac:dyDescent="0.25">
      <c r="A272" s="4"/>
    </row>
    <row r="273" spans="1:1" s="2" customFormat="1" x14ac:dyDescent="0.25">
      <c r="A273" s="4"/>
    </row>
    <row r="274" spans="1:1" s="2" customFormat="1" x14ac:dyDescent="0.25">
      <c r="A274" s="4"/>
    </row>
    <row r="275" spans="1:1" s="2" customFormat="1" x14ac:dyDescent="0.25">
      <c r="A275" s="4"/>
    </row>
    <row r="276" spans="1:1" s="2" customFormat="1" x14ac:dyDescent="0.25">
      <c r="A276" s="4"/>
    </row>
    <row r="277" spans="1:1" s="2" customFormat="1" x14ac:dyDescent="0.25">
      <c r="A277" s="4"/>
    </row>
    <row r="278" spans="1:1" s="2" customFormat="1" x14ac:dyDescent="0.25">
      <c r="A278" s="4"/>
    </row>
    <row r="279" spans="1:1" s="2" customFormat="1" x14ac:dyDescent="0.25">
      <c r="A279" s="4"/>
    </row>
    <row r="280" spans="1:1" s="2" customFormat="1" x14ac:dyDescent="0.25">
      <c r="A280" s="4"/>
    </row>
    <row r="281" spans="1:1" s="2" customFormat="1" x14ac:dyDescent="0.25">
      <c r="A281" s="4"/>
    </row>
    <row r="282" spans="1:1" s="2" customFormat="1" x14ac:dyDescent="0.25">
      <c r="A282" s="4"/>
    </row>
    <row r="283" spans="1:1" s="2" customFormat="1" x14ac:dyDescent="0.25">
      <c r="A283" s="4"/>
    </row>
    <row r="284" spans="1:1" s="2" customFormat="1" x14ac:dyDescent="0.25">
      <c r="A284" s="4"/>
    </row>
    <row r="285" spans="1:1" s="2" customFormat="1" x14ac:dyDescent="0.25">
      <c r="A285" s="4"/>
    </row>
    <row r="286" spans="1:1" s="2" customFormat="1" x14ac:dyDescent="0.25">
      <c r="A286" s="4"/>
    </row>
    <row r="287" spans="1:1" s="2" customFormat="1" x14ac:dyDescent="0.25">
      <c r="A287" s="4"/>
    </row>
    <row r="288" spans="1:1" s="2" customFormat="1" x14ac:dyDescent="0.25">
      <c r="A288" s="4"/>
    </row>
    <row r="289" spans="1:1" s="2" customFormat="1" x14ac:dyDescent="0.25">
      <c r="A289" s="4"/>
    </row>
    <row r="290" spans="1:1" s="2" customFormat="1" x14ac:dyDescent="0.25">
      <c r="A290" s="4"/>
    </row>
    <row r="291" spans="1:1" s="2" customFormat="1" x14ac:dyDescent="0.25">
      <c r="A291" s="4"/>
    </row>
    <row r="292" spans="1:1" s="2" customFormat="1" x14ac:dyDescent="0.25">
      <c r="A292" s="4"/>
    </row>
    <row r="293" spans="1:1" s="2" customFormat="1" x14ac:dyDescent="0.25">
      <c r="A293" s="4"/>
    </row>
    <row r="294" spans="1:1" s="2" customFormat="1" x14ac:dyDescent="0.25">
      <c r="A294" s="4"/>
    </row>
    <row r="295" spans="1:1" s="2" customFormat="1" x14ac:dyDescent="0.25">
      <c r="A295" s="4"/>
    </row>
    <row r="296" spans="1:1" s="2" customFormat="1" x14ac:dyDescent="0.25">
      <c r="A296" s="4"/>
    </row>
    <row r="297" spans="1:1" s="2" customFormat="1" x14ac:dyDescent="0.25">
      <c r="A297" s="4"/>
    </row>
    <row r="298" spans="1:1" s="2" customFormat="1" x14ac:dyDescent="0.25">
      <c r="A298" s="4"/>
    </row>
    <row r="299" spans="1:1" s="2" customFormat="1" x14ac:dyDescent="0.25">
      <c r="A299" s="4"/>
    </row>
    <row r="300" spans="1:1" s="2" customFormat="1" x14ac:dyDescent="0.25">
      <c r="A300" s="4"/>
    </row>
    <row r="301" spans="1:1" s="2" customFormat="1" x14ac:dyDescent="0.25">
      <c r="A301" s="4"/>
    </row>
    <row r="302" spans="1:1" s="2" customFormat="1" x14ac:dyDescent="0.25">
      <c r="A302" s="4"/>
    </row>
    <row r="303" spans="1:1" s="2" customFormat="1" x14ac:dyDescent="0.25">
      <c r="A303" s="4"/>
    </row>
    <row r="304" spans="1:1" s="2" customFormat="1" x14ac:dyDescent="0.25">
      <c r="A304" s="4"/>
    </row>
    <row r="305" spans="1:1" s="2" customFormat="1" x14ac:dyDescent="0.25">
      <c r="A305" s="4"/>
    </row>
    <row r="306" spans="1:1" s="2" customFormat="1" x14ac:dyDescent="0.25">
      <c r="A306" s="4"/>
    </row>
    <row r="307" spans="1:1" s="2" customFormat="1" x14ac:dyDescent="0.25">
      <c r="A307" s="4"/>
    </row>
    <row r="308" spans="1:1" s="2" customFormat="1" x14ac:dyDescent="0.25">
      <c r="A308" s="4"/>
    </row>
    <row r="309" spans="1:1" s="2" customFormat="1" x14ac:dyDescent="0.25">
      <c r="A309" s="4"/>
    </row>
    <row r="310" spans="1:1" s="2" customFormat="1" x14ac:dyDescent="0.25">
      <c r="A310" s="4"/>
    </row>
    <row r="311" spans="1:1" s="2" customFormat="1" x14ac:dyDescent="0.25">
      <c r="A311" s="4"/>
    </row>
    <row r="312" spans="1:1" s="2" customFormat="1" x14ac:dyDescent="0.25">
      <c r="A312" s="4"/>
    </row>
    <row r="313" spans="1:1" s="2" customFormat="1" x14ac:dyDescent="0.25">
      <c r="A313" s="4"/>
    </row>
    <row r="314" spans="1:1" s="2" customFormat="1" x14ac:dyDescent="0.25">
      <c r="A314" s="4"/>
    </row>
    <row r="315" spans="1:1" s="2" customFormat="1" x14ac:dyDescent="0.25">
      <c r="A315" s="4"/>
    </row>
    <row r="316" spans="1:1" s="2" customFormat="1" x14ac:dyDescent="0.25">
      <c r="A316" s="4"/>
    </row>
    <row r="317" spans="1:1" s="2" customFormat="1" x14ac:dyDescent="0.25">
      <c r="A317" s="4"/>
    </row>
    <row r="318" spans="1:1" s="2" customFormat="1" x14ac:dyDescent="0.25">
      <c r="A318" s="4"/>
    </row>
    <row r="319" spans="1:1" s="2" customFormat="1" x14ac:dyDescent="0.25">
      <c r="A319" s="4"/>
    </row>
    <row r="320" spans="1:1" s="2" customFormat="1" x14ac:dyDescent="0.25">
      <c r="A320" s="4"/>
    </row>
    <row r="321" spans="1:1" s="2" customFormat="1" x14ac:dyDescent="0.25">
      <c r="A321" s="4"/>
    </row>
    <row r="322" spans="1:1" s="2" customFormat="1" x14ac:dyDescent="0.25">
      <c r="A322" s="4"/>
    </row>
    <row r="323" spans="1:1" s="2" customFormat="1" x14ac:dyDescent="0.25">
      <c r="A323" s="4"/>
    </row>
    <row r="324" spans="1:1" s="2" customFormat="1" x14ac:dyDescent="0.25">
      <c r="A324" s="4"/>
    </row>
    <row r="325" spans="1:1" s="2" customFormat="1" x14ac:dyDescent="0.25">
      <c r="A325" s="4"/>
    </row>
    <row r="326" spans="1:1" s="2" customFormat="1" x14ac:dyDescent="0.25">
      <c r="A326" s="4"/>
    </row>
    <row r="327" spans="1:1" s="2" customFormat="1" x14ac:dyDescent="0.25">
      <c r="A327" s="4"/>
    </row>
    <row r="328" spans="1:1" s="2" customFormat="1" x14ac:dyDescent="0.25">
      <c r="A328" s="4"/>
    </row>
    <row r="329" spans="1:1" s="2" customFormat="1" x14ac:dyDescent="0.25">
      <c r="A329" s="4"/>
    </row>
    <row r="330" spans="1:1" s="2" customFormat="1" x14ac:dyDescent="0.25">
      <c r="A330" s="4"/>
    </row>
    <row r="331" spans="1:1" s="2" customFormat="1" x14ac:dyDescent="0.25">
      <c r="A331" s="4"/>
    </row>
    <row r="332" spans="1:1" s="2" customFormat="1" x14ac:dyDescent="0.25">
      <c r="A332" s="4"/>
    </row>
    <row r="333" spans="1:1" s="2" customFormat="1" x14ac:dyDescent="0.25">
      <c r="A333" s="4"/>
    </row>
    <row r="334" spans="1:1" s="2" customFormat="1" x14ac:dyDescent="0.25">
      <c r="A334" s="4"/>
    </row>
    <row r="335" spans="1:1" s="2" customFormat="1" x14ac:dyDescent="0.25">
      <c r="A335" s="4"/>
    </row>
    <row r="336" spans="1:1" s="2" customFormat="1" x14ac:dyDescent="0.25">
      <c r="A336" s="4"/>
    </row>
    <row r="337" spans="1:1" s="2" customFormat="1" x14ac:dyDescent="0.25">
      <c r="A337" s="4"/>
    </row>
    <row r="338" spans="1:1" s="2" customFormat="1" x14ac:dyDescent="0.25">
      <c r="A338" s="4"/>
    </row>
    <row r="339" spans="1:1" s="2" customFormat="1" x14ac:dyDescent="0.25">
      <c r="A339" s="4"/>
    </row>
    <row r="340" spans="1:1" s="2" customFormat="1" x14ac:dyDescent="0.25">
      <c r="A340" s="4"/>
    </row>
    <row r="341" spans="1:1" s="2" customFormat="1" x14ac:dyDescent="0.25">
      <c r="A341" s="4"/>
    </row>
    <row r="342" spans="1:1" s="2" customFormat="1" x14ac:dyDescent="0.25">
      <c r="A342" s="4"/>
    </row>
    <row r="343" spans="1:1" s="2" customFormat="1" x14ac:dyDescent="0.25">
      <c r="A343" s="4"/>
    </row>
    <row r="344" spans="1:1" s="2" customFormat="1" x14ac:dyDescent="0.25">
      <c r="A344" s="4"/>
    </row>
    <row r="345" spans="1:1" s="2" customFormat="1" x14ac:dyDescent="0.25">
      <c r="A345" s="4"/>
    </row>
    <row r="346" spans="1:1" s="2" customFormat="1" x14ac:dyDescent="0.25">
      <c r="A346" s="4"/>
    </row>
    <row r="347" spans="1:1" s="2" customFormat="1" x14ac:dyDescent="0.25">
      <c r="A347" s="4"/>
    </row>
    <row r="348" spans="1:1" s="2" customFormat="1" x14ac:dyDescent="0.25">
      <c r="A348" s="4"/>
    </row>
    <row r="349" spans="1:1" s="2" customFormat="1" x14ac:dyDescent="0.25">
      <c r="A349" s="4"/>
    </row>
    <row r="350" spans="1:1" s="2" customFormat="1" x14ac:dyDescent="0.25">
      <c r="A350" s="4"/>
    </row>
    <row r="351" spans="1:1" s="2" customFormat="1" x14ac:dyDescent="0.25">
      <c r="A351" s="4"/>
    </row>
    <row r="352" spans="1:1" s="2" customFormat="1" x14ac:dyDescent="0.25">
      <c r="A352" s="4"/>
    </row>
    <row r="353" spans="1:1" s="2" customFormat="1" x14ac:dyDescent="0.25">
      <c r="A353" s="4"/>
    </row>
    <row r="354" spans="1:1" s="2" customFormat="1" x14ac:dyDescent="0.25">
      <c r="A354" s="4"/>
    </row>
    <row r="355" spans="1:1" x14ac:dyDescent="0.25">
      <c r="A355" s="4"/>
    </row>
    <row r="356" spans="1:1" x14ac:dyDescent="0.25">
      <c r="A356" s="4"/>
    </row>
  </sheetData>
  <mergeCells count="8">
    <mergeCell ref="B27:D27"/>
    <mergeCell ref="H15:I15"/>
    <mergeCell ref="B6:D6"/>
    <mergeCell ref="F2:I13"/>
    <mergeCell ref="B13:D13"/>
    <mergeCell ref="B3:E3"/>
    <mergeCell ref="B4:E4"/>
    <mergeCell ref="B2:E2"/>
  </mergeCells>
  <hyperlinks>
    <hyperlink ref="B27" r:id="rId1" xr:uid="{00000000-0004-0000-0100-000000000000}"/>
    <hyperlink ref="B13" r:id="rId2" display="Tax Rates" xr:uid="{00000000-0004-0000-0100-000001000000}"/>
    <hyperlink ref="B7" r:id="rId3" xr:uid="{00000000-0004-0000-0100-000002000000}"/>
    <hyperlink ref="C7" r:id="rId4" xr:uid="{00000000-0004-0000-0100-000003000000}"/>
    <hyperlink ref="D7" r:id="rId5" location="interest-rates" xr:uid="{00000000-0004-0000-0100-000004000000}"/>
    <hyperlink ref="B4" r:id="rId6" xr:uid="{00000000-0004-0000-0100-000005000000}"/>
    <hyperlink ref="B13:C13" r:id="rId7" display="2017 Tax Rates and Exemptions" xr:uid="{00000000-0004-0000-0100-000006000000}"/>
    <hyperlink ref="B10" r:id="rId8" xr:uid="{00000000-0004-0000-0100-000007000000}"/>
    <hyperlink ref="C10" r:id="rId9" xr:uid="{00000000-0004-0000-0100-000008000000}"/>
  </hyperlinks>
  <pageMargins left="0.7" right="0.7" top="0.75" bottom="0.75" header="0.3" footer="0.3"/>
  <pageSetup orientation="portrait" r:id="rId10"/>
  <drawing r:id="rId11"/>
  <legacyDrawing r:id="rId1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M330"/>
  <sheetViews>
    <sheetView zoomScale="150" zoomScaleNormal="150" workbookViewId="0">
      <selection activeCell="B2" sqref="B2:E2"/>
    </sheetView>
  </sheetViews>
  <sheetFormatPr defaultRowHeight="15" x14ac:dyDescent="0.25"/>
  <cols>
    <col min="1" max="1" width="1.5703125" style="2" customWidth="1"/>
    <col min="2" max="4" width="13.5703125" style="2" customWidth="1"/>
    <col min="5" max="5" width="1.5703125" style="2" customWidth="1"/>
    <col min="6" max="8" width="13.5703125" style="2" customWidth="1"/>
    <col min="9" max="9" width="1.5703125" style="2" customWidth="1"/>
    <col min="10" max="10" width="8.7109375" style="2"/>
  </cols>
  <sheetData>
    <row r="1" spans="1:143" s="33" customFormat="1" ht="3" customHeight="1" x14ac:dyDescent="0.4">
      <c r="A1" s="42"/>
      <c r="B1" s="42"/>
      <c r="C1" s="43"/>
      <c r="D1" s="43"/>
      <c r="E1" s="43"/>
      <c r="F1" s="43"/>
      <c r="G1" s="44"/>
      <c r="H1" s="47"/>
      <c r="I1" s="184"/>
      <c r="J1" s="48"/>
      <c r="K1" s="48"/>
      <c r="L1" s="48"/>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49"/>
      <c r="CI1" s="49"/>
      <c r="CJ1" s="49"/>
      <c r="CK1" s="49"/>
      <c r="CL1" s="49"/>
      <c r="CM1" s="49"/>
      <c r="CN1" s="49"/>
      <c r="CO1" s="49"/>
      <c r="CP1" s="49"/>
      <c r="CQ1" s="49"/>
      <c r="CR1" s="49"/>
      <c r="CS1" s="49"/>
      <c r="CT1" s="49"/>
      <c r="CU1" s="49"/>
      <c r="CV1" s="49"/>
      <c r="CW1" s="49"/>
      <c r="CX1" s="49"/>
      <c r="CY1" s="49"/>
      <c r="CZ1" s="49"/>
      <c r="DA1" s="49"/>
      <c r="DB1" s="49"/>
      <c r="DC1" s="49"/>
      <c r="DD1" s="49"/>
      <c r="DE1" s="49"/>
      <c r="DF1" s="49"/>
      <c r="DG1" s="49"/>
      <c r="DH1" s="49"/>
      <c r="DI1" s="49"/>
      <c r="DJ1" s="49"/>
      <c r="DK1" s="49"/>
      <c r="DL1" s="49"/>
      <c r="DM1" s="49"/>
      <c r="DN1" s="49"/>
      <c r="DO1" s="49"/>
      <c r="DP1" s="49"/>
      <c r="DQ1" s="49"/>
      <c r="DR1" s="49"/>
      <c r="DS1" s="49"/>
      <c r="DT1" s="49"/>
      <c r="DU1" s="49"/>
      <c r="DV1" s="49"/>
      <c r="DW1" s="49"/>
      <c r="DX1" s="49"/>
      <c r="DY1" s="49"/>
      <c r="DZ1" s="49"/>
      <c r="EA1" s="49"/>
      <c r="EB1" s="49"/>
      <c r="EC1" s="49"/>
      <c r="ED1" s="49"/>
      <c r="EE1" s="49"/>
      <c r="EF1" s="49"/>
      <c r="EG1" s="49"/>
      <c r="EH1" s="49"/>
    </row>
    <row r="2" spans="1:143" s="33" customFormat="1" ht="24" customHeight="1" x14ac:dyDescent="0.25">
      <c r="A2" s="112"/>
      <c r="B2" s="358" t="s">
        <v>134</v>
      </c>
      <c r="C2" s="358"/>
      <c r="D2" s="358"/>
      <c r="E2" s="358"/>
      <c r="F2" s="356" t="s">
        <v>116</v>
      </c>
      <c r="G2" s="356"/>
      <c r="H2" s="356"/>
      <c r="I2" s="113"/>
      <c r="J2" s="34"/>
      <c r="K2" s="34"/>
      <c r="L2" s="34"/>
      <c r="M2" s="34"/>
      <c r="N2" s="34"/>
      <c r="O2" s="34"/>
      <c r="P2" s="34"/>
      <c r="Q2" s="48"/>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49"/>
      <c r="DZ2" s="49"/>
      <c r="EA2" s="49"/>
      <c r="EB2" s="49"/>
      <c r="EC2" s="49"/>
      <c r="ED2" s="49"/>
      <c r="EE2" s="49"/>
      <c r="EF2" s="49"/>
      <c r="EG2" s="49"/>
      <c r="EH2" s="49"/>
      <c r="EI2" s="49"/>
      <c r="EJ2" s="49"/>
      <c r="EK2" s="49"/>
      <c r="EL2" s="49"/>
      <c r="EM2" s="49"/>
    </row>
    <row r="3" spans="1:143" s="52" customFormat="1" ht="20.100000000000001" customHeight="1" x14ac:dyDescent="0.2">
      <c r="A3" s="114"/>
      <c r="B3" s="348" t="s">
        <v>114</v>
      </c>
      <c r="C3" s="348"/>
      <c r="D3" s="348"/>
      <c r="E3" s="348"/>
      <c r="F3" s="356"/>
      <c r="G3" s="356"/>
      <c r="H3" s="356"/>
      <c r="I3" s="113"/>
      <c r="J3" s="34"/>
      <c r="K3" s="34"/>
      <c r="L3" s="34"/>
      <c r="M3" s="34"/>
      <c r="N3" s="34"/>
      <c r="O3" s="34"/>
      <c r="P3" s="34"/>
      <c r="Q3" s="50"/>
      <c r="R3" s="51"/>
      <c r="S3" s="51"/>
      <c r="T3" s="51"/>
      <c r="U3" s="51"/>
      <c r="V3" s="51"/>
      <c r="W3" s="51"/>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51"/>
      <c r="CI3" s="51"/>
      <c r="CJ3" s="51"/>
      <c r="CK3" s="51"/>
      <c r="CL3" s="51"/>
      <c r="CM3" s="51"/>
      <c r="CN3" s="51"/>
      <c r="CO3" s="51"/>
      <c r="CP3" s="51"/>
      <c r="CQ3" s="51"/>
      <c r="CR3" s="51"/>
      <c r="CS3" s="51"/>
      <c r="CT3" s="51"/>
      <c r="CU3" s="51"/>
      <c r="CV3" s="51"/>
      <c r="CW3" s="51"/>
      <c r="CX3" s="51"/>
      <c r="CY3" s="51"/>
      <c r="CZ3" s="51"/>
      <c r="DA3" s="51"/>
      <c r="DB3" s="51"/>
      <c r="DC3" s="51"/>
      <c r="DD3" s="51"/>
      <c r="DE3" s="51"/>
      <c r="DF3" s="51"/>
      <c r="DG3" s="51"/>
      <c r="DH3" s="51"/>
      <c r="DI3" s="51"/>
      <c r="DJ3" s="51"/>
      <c r="DK3" s="51"/>
      <c r="DL3" s="51"/>
      <c r="DM3" s="51"/>
      <c r="DN3" s="51"/>
      <c r="DO3" s="51"/>
      <c r="DP3" s="51"/>
      <c r="DQ3" s="51"/>
      <c r="DR3" s="51"/>
      <c r="DS3" s="51"/>
      <c r="DT3" s="51"/>
      <c r="DU3" s="51"/>
      <c r="DV3" s="51"/>
      <c r="DW3" s="51"/>
      <c r="DX3" s="51"/>
      <c r="DY3" s="51"/>
      <c r="DZ3" s="51"/>
      <c r="EA3" s="51"/>
      <c r="EB3" s="51"/>
      <c r="EC3" s="51"/>
      <c r="ED3" s="51"/>
      <c r="EE3" s="51"/>
      <c r="EF3" s="51"/>
      <c r="EG3" s="51"/>
      <c r="EH3" s="51"/>
      <c r="EI3" s="51"/>
      <c r="EJ3" s="51"/>
      <c r="EK3" s="51"/>
      <c r="EL3" s="51"/>
      <c r="EM3" s="51"/>
    </row>
    <row r="4" spans="1:143" s="52" customFormat="1" ht="20.100000000000001" customHeight="1" x14ac:dyDescent="0.2">
      <c r="A4" s="114"/>
      <c r="B4" s="357" t="s">
        <v>0</v>
      </c>
      <c r="C4" s="357"/>
      <c r="D4" s="357"/>
      <c r="E4" s="357"/>
      <c r="F4" s="356"/>
      <c r="G4" s="356"/>
      <c r="H4" s="356"/>
      <c r="I4" s="113"/>
      <c r="J4" s="34"/>
      <c r="K4" s="34"/>
      <c r="L4" s="34"/>
      <c r="M4" s="34"/>
      <c r="N4" s="34"/>
      <c r="O4" s="34"/>
      <c r="P4" s="34"/>
      <c r="Q4" s="50"/>
      <c r="R4" s="51"/>
      <c r="S4" s="51"/>
      <c r="T4" s="51"/>
      <c r="U4" s="51"/>
      <c r="V4" s="51"/>
      <c r="W4" s="51"/>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51"/>
      <c r="CX4" s="51"/>
      <c r="CY4" s="51"/>
      <c r="CZ4" s="51"/>
      <c r="DA4" s="51"/>
      <c r="DB4" s="51"/>
      <c r="DC4" s="51"/>
      <c r="DD4" s="51"/>
      <c r="DE4" s="51"/>
      <c r="DF4" s="51"/>
      <c r="DG4" s="51"/>
      <c r="DH4" s="51"/>
      <c r="DI4" s="51"/>
      <c r="DJ4" s="51"/>
      <c r="DK4" s="51"/>
      <c r="DL4" s="51"/>
      <c r="DM4" s="51"/>
      <c r="DN4" s="51"/>
      <c r="DO4" s="51"/>
      <c r="DP4" s="51"/>
      <c r="DQ4" s="51"/>
      <c r="DR4" s="51"/>
      <c r="DS4" s="51"/>
      <c r="DT4" s="51"/>
      <c r="DU4" s="51"/>
      <c r="DV4" s="51"/>
      <c r="DW4" s="51"/>
      <c r="DX4" s="51"/>
      <c r="DY4" s="51"/>
      <c r="DZ4" s="51"/>
      <c r="EA4" s="51"/>
      <c r="EB4" s="51"/>
      <c r="EC4" s="51"/>
      <c r="ED4" s="51"/>
      <c r="EE4" s="51"/>
      <c r="EF4" s="51"/>
      <c r="EG4" s="51"/>
      <c r="EH4" s="51"/>
      <c r="EI4" s="51"/>
      <c r="EJ4" s="51"/>
      <c r="EK4" s="51"/>
      <c r="EL4" s="51"/>
      <c r="EM4" s="51"/>
    </row>
    <row r="5" spans="1:143" s="33" customFormat="1" ht="3" customHeight="1" x14ac:dyDescent="0.25">
      <c r="A5" s="112"/>
      <c r="B5" s="112"/>
      <c r="C5" s="115"/>
      <c r="D5" s="115"/>
      <c r="E5" s="115"/>
      <c r="F5" s="356"/>
      <c r="G5" s="356"/>
      <c r="H5" s="356"/>
      <c r="I5" s="185"/>
      <c r="J5" s="48"/>
      <c r="K5" s="48"/>
      <c r="L5" s="48"/>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c r="CW5" s="49"/>
      <c r="CX5" s="49"/>
      <c r="CY5" s="49"/>
      <c r="CZ5" s="49"/>
      <c r="DA5" s="49"/>
      <c r="DB5" s="49"/>
      <c r="DC5" s="49"/>
      <c r="DD5" s="49"/>
      <c r="DE5" s="49"/>
      <c r="DF5" s="49"/>
      <c r="DG5" s="49"/>
      <c r="DH5" s="49"/>
      <c r="DI5" s="49"/>
      <c r="DJ5" s="49"/>
      <c r="DK5" s="49"/>
      <c r="DL5" s="49"/>
      <c r="DM5" s="49"/>
      <c r="DN5" s="49"/>
      <c r="DO5" s="49"/>
      <c r="DP5" s="49"/>
      <c r="DQ5" s="49"/>
      <c r="DR5" s="49"/>
      <c r="DS5" s="49"/>
      <c r="DT5" s="49"/>
      <c r="DU5" s="49"/>
      <c r="DV5" s="49"/>
      <c r="DW5" s="49"/>
      <c r="DX5" s="49"/>
      <c r="DY5" s="49"/>
      <c r="DZ5" s="49"/>
      <c r="EA5" s="49"/>
      <c r="EB5" s="49"/>
      <c r="EC5" s="49"/>
      <c r="ED5" s="49"/>
      <c r="EE5" s="49"/>
      <c r="EF5" s="49"/>
      <c r="EG5" s="49"/>
      <c r="EH5" s="49"/>
    </row>
    <row r="6" spans="1:143" s="28" customFormat="1" ht="18" customHeight="1" x14ac:dyDescent="0.25">
      <c r="A6" s="117"/>
      <c r="B6" s="351" t="s">
        <v>115</v>
      </c>
      <c r="C6" s="351"/>
      <c r="D6" s="351"/>
      <c r="E6" s="117"/>
      <c r="F6" s="356"/>
      <c r="G6" s="356"/>
      <c r="H6" s="356"/>
      <c r="I6" s="117"/>
    </row>
    <row r="7" spans="1:143" s="28" customFormat="1" ht="18" customHeight="1" x14ac:dyDescent="0.25">
      <c r="A7" s="117"/>
      <c r="B7" s="168" t="s">
        <v>120</v>
      </c>
      <c r="C7" s="168" t="s">
        <v>130</v>
      </c>
      <c r="D7" s="168" t="s">
        <v>121</v>
      </c>
      <c r="E7" s="117"/>
      <c r="F7" s="356"/>
      <c r="G7" s="356"/>
      <c r="H7" s="356"/>
      <c r="I7" s="117"/>
    </row>
    <row r="8" spans="1:143" s="2" customFormat="1" ht="18" customHeight="1" x14ac:dyDescent="0.25">
      <c r="A8" s="118"/>
      <c r="B8" s="206" t="s">
        <v>118</v>
      </c>
      <c r="C8" s="295">
        <v>600</v>
      </c>
      <c r="D8" s="296">
        <f>C8*12</f>
        <v>7200</v>
      </c>
      <c r="E8" s="118"/>
      <c r="F8" s="356"/>
      <c r="G8" s="356"/>
      <c r="H8" s="356"/>
      <c r="I8" s="118"/>
      <c r="J8" s="7"/>
    </row>
    <row r="9" spans="1:143" s="2" customFormat="1" ht="18" customHeight="1" x14ac:dyDescent="0.25">
      <c r="A9" s="118"/>
      <c r="B9" s="206" t="s">
        <v>117</v>
      </c>
      <c r="C9" s="295">
        <v>320</v>
      </c>
      <c r="D9" s="296">
        <f t="shared" ref="D9:D14" si="0">C9*12</f>
        <v>3840</v>
      </c>
      <c r="E9" s="118"/>
      <c r="F9" s="356"/>
      <c r="G9" s="356"/>
      <c r="H9" s="356"/>
      <c r="I9" s="118"/>
      <c r="J9" s="7"/>
    </row>
    <row r="10" spans="1:143" s="2" customFormat="1" ht="18" customHeight="1" x14ac:dyDescent="0.25">
      <c r="A10" s="118"/>
      <c r="B10" s="135" t="s">
        <v>126</v>
      </c>
      <c r="C10" s="297">
        <v>0</v>
      </c>
      <c r="D10" s="296">
        <f t="shared" si="0"/>
        <v>0</v>
      </c>
      <c r="E10" s="118"/>
      <c r="F10" s="356"/>
      <c r="G10" s="356"/>
      <c r="H10" s="356"/>
      <c r="I10" s="118"/>
      <c r="J10" s="7"/>
    </row>
    <row r="11" spans="1:143" s="2" customFormat="1" ht="18" customHeight="1" x14ac:dyDescent="0.25">
      <c r="A11" s="118"/>
      <c r="B11" s="206" t="s">
        <v>119</v>
      </c>
      <c r="C11" s="295">
        <v>400</v>
      </c>
      <c r="D11" s="296">
        <f t="shared" si="0"/>
        <v>4800</v>
      </c>
      <c r="E11" s="118"/>
      <c r="F11" s="118"/>
      <c r="G11" s="118"/>
      <c r="H11" s="118"/>
      <c r="I11" s="118"/>
      <c r="J11" s="7"/>
    </row>
    <row r="12" spans="1:143" s="28" customFormat="1" ht="18" customHeight="1" x14ac:dyDescent="0.25">
      <c r="A12" s="118"/>
      <c r="B12" s="206" t="s">
        <v>127</v>
      </c>
      <c r="C12" s="295">
        <v>280</v>
      </c>
      <c r="D12" s="296">
        <f t="shared" si="0"/>
        <v>3360</v>
      </c>
      <c r="E12" s="118"/>
      <c r="F12" s="351" t="s">
        <v>147</v>
      </c>
      <c r="G12" s="351"/>
      <c r="H12" s="351"/>
      <c r="I12" s="117"/>
      <c r="J12" s="27"/>
    </row>
    <row r="13" spans="1:143" s="2" customFormat="1" ht="36" customHeight="1" x14ac:dyDescent="0.25">
      <c r="A13" s="118"/>
      <c r="B13" s="206" t="s">
        <v>129</v>
      </c>
      <c r="C13" s="295">
        <v>380.8</v>
      </c>
      <c r="D13" s="296">
        <f t="shared" si="0"/>
        <v>4569.6000000000004</v>
      </c>
      <c r="E13" s="118"/>
      <c r="F13" s="206" t="s">
        <v>123</v>
      </c>
      <c r="G13" s="206" t="s">
        <v>124</v>
      </c>
      <c r="H13" s="206" t="s">
        <v>125</v>
      </c>
      <c r="I13" s="129"/>
      <c r="J13" s="7"/>
    </row>
    <row r="14" spans="1:143" s="2" customFormat="1" ht="18" customHeight="1" x14ac:dyDescent="0.25">
      <c r="A14" s="118"/>
      <c r="B14" s="135" t="s">
        <v>128</v>
      </c>
      <c r="C14" s="297">
        <v>0</v>
      </c>
      <c r="D14" s="296">
        <f t="shared" si="0"/>
        <v>0</v>
      </c>
      <c r="E14" s="118"/>
      <c r="F14" s="332">
        <v>23770</v>
      </c>
      <c r="G14" s="332">
        <v>15920</v>
      </c>
      <c r="H14" s="332">
        <v>12060</v>
      </c>
      <c r="I14" s="118"/>
      <c r="J14" s="7"/>
    </row>
    <row r="15" spans="1:143" s="2" customFormat="1" ht="3" customHeight="1" x14ac:dyDescent="0.25">
      <c r="A15" s="118"/>
      <c r="B15" s="118"/>
      <c r="C15" s="297"/>
      <c r="D15" s="296"/>
      <c r="E15" s="118"/>
      <c r="F15" s="186"/>
      <c r="G15" s="123"/>
      <c r="H15" s="118"/>
      <c r="I15" s="118"/>
      <c r="J15" s="7"/>
    </row>
    <row r="16" spans="1:143" s="2" customFormat="1" ht="18" customHeight="1" x14ac:dyDescent="0.25">
      <c r="A16" s="118"/>
      <c r="B16" s="118" t="s">
        <v>122</v>
      </c>
      <c r="C16" s="297">
        <f>SUM(C8:C14)</f>
        <v>1980.8</v>
      </c>
      <c r="D16" s="298">
        <f>SUM(D8:D14)</f>
        <v>23769.599999999999</v>
      </c>
      <c r="E16" s="118"/>
      <c r="F16" s="186"/>
      <c r="G16" s="123"/>
      <c r="H16" s="118"/>
      <c r="I16" s="118"/>
      <c r="J16" s="7"/>
    </row>
    <row r="17" spans="1:10" s="2" customFormat="1" ht="18" customHeight="1" x14ac:dyDescent="0.25">
      <c r="A17" s="118"/>
      <c r="B17" s="355" t="str">
        <f>IF(D16&lt;H14,"WARNING: Below poverty level!",IF(D16&lt;G14,"WARNING: Minimal living budget",IF(D16&lt;F14,"Caution: Below moderate living budget","Caution: Budget may be excessive")))</f>
        <v>Caution: Below moderate living budget</v>
      </c>
      <c r="C17" s="355"/>
      <c r="D17" s="355"/>
      <c r="E17" s="118"/>
      <c r="F17" s="186"/>
      <c r="G17" s="123"/>
      <c r="H17" s="118"/>
      <c r="I17" s="118"/>
      <c r="J17" s="7"/>
    </row>
    <row r="18" spans="1:10" s="2" customFormat="1" x14ac:dyDescent="0.25">
      <c r="A18" s="4"/>
      <c r="F18" s="7"/>
      <c r="G18" s="7"/>
      <c r="H18" s="7"/>
    </row>
    <row r="19" spans="1:10" s="2" customFormat="1" x14ac:dyDescent="0.25">
      <c r="A19" s="4"/>
      <c r="F19" s="7"/>
      <c r="G19" s="7"/>
      <c r="H19" s="7"/>
    </row>
    <row r="20" spans="1:10" s="2" customFormat="1" x14ac:dyDescent="0.25">
      <c r="A20" s="4"/>
    </row>
    <row r="21" spans="1:10" s="2" customFormat="1" x14ac:dyDescent="0.25">
      <c r="A21" s="4"/>
    </row>
    <row r="22" spans="1:10" s="2" customFormat="1" x14ac:dyDescent="0.25">
      <c r="A22" s="4"/>
    </row>
    <row r="23" spans="1:10" s="2" customFormat="1" x14ac:dyDescent="0.25">
      <c r="A23" s="4"/>
    </row>
    <row r="24" spans="1:10" s="2" customFormat="1" x14ac:dyDescent="0.25">
      <c r="A24" s="4"/>
    </row>
    <row r="25" spans="1:10" s="2" customFormat="1" x14ac:dyDescent="0.25">
      <c r="A25" s="4"/>
    </row>
    <row r="26" spans="1:10" s="2" customFormat="1" x14ac:dyDescent="0.25">
      <c r="A26" s="4"/>
    </row>
    <row r="27" spans="1:10" s="2" customFormat="1" x14ac:dyDescent="0.25">
      <c r="A27" s="4"/>
    </row>
    <row r="28" spans="1:10" s="2" customFormat="1" x14ac:dyDescent="0.25">
      <c r="A28" s="4"/>
    </row>
    <row r="29" spans="1:10" s="2" customFormat="1" x14ac:dyDescent="0.25">
      <c r="A29" s="4"/>
    </row>
    <row r="30" spans="1:10" s="2" customFormat="1" x14ac:dyDescent="0.25">
      <c r="A30" s="4"/>
    </row>
    <row r="31" spans="1:10" s="2" customFormat="1" x14ac:dyDescent="0.25">
      <c r="A31" s="4"/>
    </row>
    <row r="32" spans="1:10" s="2" customFormat="1" x14ac:dyDescent="0.25">
      <c r="A32" s="4"/>
    </row>
    <row r="33" spans="1:1" s="2" customFormat="1" x14ac:dyDescent="0.25">
      <c r="A33" s="4"/>
    </row>
    <row r="34" spans="1:1" s="2" customFormat="1" x14ac:dyDescent="0.25">
      <c r="A34" s="4"/>
    </row>
    <row r="35" spans="1:1" s="2" customFormat="1" x14ac:dyDescent="0.25">
      <c r="A35" s="4"/>
    </row>
    <row r="36" spans="1:1" s="2" customFormat="1" x14ac:dyDescent="0.25">
      <c r="A36" s="4"/>
    </row>
    <row r="37" spans="1:1" s="2" customFormat="1" x14ac:dyDescent="0.25">
      <c r="A37" s="4"/>
    </row>
    <row r="38" spans="1:1" s="2" customFormat="1" x14ac:dyDescent="0.25">
      <c r="A38" s="4"/>
    </row>
    <row r="39" spans="1:1" s="2" customFormat="1" x14ac:dyDescent="0.25">
      <c r="A39" s="4"/>
    </row>
    <row r="40" spans="1:1" s="2" customFormat="1" x14ac:dyDescent="0.25">
      <c r="A40" s="4"/>
    </row>
    <row r="41" spans="1:1" s="2" customFormat="1" x14ac:dyDescent="0.25">
      <c r="A41" s="4"/>
    </row>
    <row r="42" spans="1:1" s="2" customFormat="1" x14ac:dyDescent="0.25">
      <c r="A42" s="4"/>
    </row>
    <row r="43" spans="1:1" s="2" customFormat="1" x14ac:dyDescent="0.25">
      <c r="A43" s="4"/>
    </row>
    <row r="44" spans="1:1" s="2" customFormat="1" x14ac:dyDescent="0.25">
      <c r="A44" s="4"/>
    </row>
    <row r="45" spans="1:1" s="2" customFormat="1" x14ac:dyDescent="0.25">
      <c r="A45" s="4"/>
    </row>
    <row r="46" spans="1:1" s="2" customFormat="1" x14ac:dyDescent="0.25">
      <c r="A46" s="4"/>
    </row>
    <row r="47" spans="1:1" s="2" customFormat="1" x14ac:dyDescent="0.25">
      <c r="A47" s="4"/>
    </row>
    <row r="48" spans="1:1" s="2" customFormat="1" x14ac:dyDescent="0.25">
      <c r="A48" s="4"/>
    </row>
    <row r="49" spans="1:1" s="2" customFormat="1" x14ac:dyDescent="0.25">
      <c r="A49" s="4"/>
    </row>
    <row r="50" spans="1:1" s="2" customFormat="1" x14ac:dyDescent="0.25">
      <c r="A50" s="4"/>
    </row>
    <row r="51" spans="1:1" s="2" customFormat="1" x14ac:dyDescent="0.25">
      <c r="A51" s="4"/>
    </row>
    <row r="52" spans="1:1" s="2" customFormat="1" x14ac:dyDescent="0.25">
      <c r="A52" s="4"/>
    </row>
    <row r="53" spans="1:1" s="2" customFormat="1" x14ac:dyDescent="0.25">
      <c r="A53" s="4"/>
    </row>
    <row r="54" spans="1:1" s="2" customFormat="1" x14ac:dyDescent="0.25">
      <c r="A54" s="4"/>
    </row>
    <row r="55" spans="1:1" s="2" customFormat="1" x14ac:dyDescent="0.25">
      <c r="A55" s="4"/>
    </row>
    <row r="56" spans="1:1" s="2" customFormat="1" x14ac:dyDescent="0.25">
      <c r="A56" s="4"/>
    </row>
    <row r="57" spans="1:1" s="2" customFormat="1" x14ac:dyDescent="0.25">
      <c r="A57" s="4"/>
    </row>
    <row r="58" spans="1:1" s="2" customFormat="1" x14ac:dyDescent="0.25">
      <c r="A58" s="4"/>
    </row>
    <row r="59" spans="1:1" s="2" customFormat="1" x14ac:dyDescent="0.25">
      <c r="A59" s="4"/>
    </row>
    <row r="60" spans="1:1" s="2" customFormat="1" x14ac:dyDescent="0.25">
      <c r="A60" s="4"/>
    </row>
    <row r="61" spans="1:1" s="2" customFormat="1" x14ac:dyDescent="0.25">
      <c r="A61" s="4"/>
    </row>
    <row r="62" spans="1:1" s="2" customFormat="1" x14ac:dyDescent="0.25">
      <c r="A62" s="4"/>
    </row>
    <row r="63" spans="1:1" s="2" customFormat="1" x14ac:dyDescent="0.25">
      <c r="A63" s="4"/>
    </row>
    <row r="64" spans="1:1" s="2" customFormat="1" x14ac:dyDescent="0.25">
      <c r="A64" s="4"/>
    </row>
    <row r="65" spans="1:1" s="2" customFormat="1" x14ac:dyDescent="0.25">
      <c r="A65" s="4"/>
    </row>
    <row r="66" spans="1:1" s="2" customFormat="1" x14ac:dyDescent="0.25">
      <c r="A66" s="4"/>
    </row>
    <row r="67" spans="1:1" s="2" customFormat="1" x14ac:dyDescent="0.25">
      <c r="A67" s="4"/>
    </row>
    <row r="68" spans="1:1" s="2" customFormat="1" x14ac:dyDescent="0.25">
      <c r="A68" s="4"/>
    </row>
    <row r="69" spans="1:1" s="2" customFormat="1" x14ac:dyDescent="0.25">
      <c r="A69" s="4"/>
    </row>
    <row r="70" spans="1:1" s="2" customFormat="1" x14ac:dyDescent="0.25">
      <c r="A70" s="4"/>
    </row>
    <row r="71" spans="1:1" s="2" customFormat="1" x14ac:dyDescent="0.25">
      <c r="A71" s="4"/>
    </row>
    <row r="72" spans="1:1" s="2" customFormat="1" x14ac:dyDescent="0.25">
      <c r="A72" s="4"/>
    </row>
    <row r="73" spans="1:1" s="2" customFormat="1" x14ac:dyDescent="0.25">
      <c r="A73" s="4"/>
    </row>
    <row r="74" spans="1:1" s="2" customFormat="1" x14ac:dyDescent="0.25">
      <c r="A74" s="4"/>
    </row>
    <row r="75" spans="1:1" s="2" customFormat="1" x14ac:dyDescent="0.25">
      <c r="A75" s="4"/>
    </row>
    <row r="76" spans="1:1" s="2" customFormat="1" x14ac:dyDescent="0.25">
      <c r="A76" s="4"/>
    </row>
    <row r="77" spans="1:1" s="2" customFormat="1" x14ac:dyDescent="0.25">
      <c r="A77" s="4"/>
    </row>
    <row r="78" spans="1:1" s="2" customFormat="1" x14ac:dyDescent="0.25">
      <c r="A78" s="4"/>
    </row>
    <row r="79" spans="1:1" s="2" customFormat="1" x14ac:dyDescent="0.25">
      <c r="A79" s="4"/>
    </row>
    <row r="80" spans="1:1" s="2" customFormat="1" x14ac:dyDescent="0.25">
      <c r="A80" s="4"/>
    </row>
    <row r="81" spans="1:1" s="2" customFormat="1" x14ac:dyDescent="0.25">
      <c r="A81" s="4"/>
    </row>
    <row r="82" spans="1:1" s="2" customFormat="1" x14ac:dyDescent="0.25">
      <c r="A82" s="4"/>
    </row>
    <row r="83" spans="1:1" s="2" customFormat="1" x14ac:dyDescent="0.25">
      <c r="A83" s="4"/>
    </row>
    <row r="84" spans="1:1" s="2" customFormat="1" x14ac:dyDescent="0.25">
      <c r="A84" s="4"/>
    </row>
    <row r="85" spans="1:1" s="2" customFormat="1" x14ac:dyDescent="0.25">
      <c r="A85" s="4"/>
    </row>
    <row r="86" spans="1:1" s="2" customFormat="1" x14ac:dyDescent="0.25">
      <c r="A86" s="4"/>
    </row>
    <row r="87" spans="1:1" s="2" customFormat="1" x14ac:dyDescent="0.25">
      <c r="A87" s="4"/>
    </row>
    <row r="88" spans="1:1" s="2" customFormat="1" x14ac:dyDescent="0.25">
      <c r="A88" s="4"/>
    </row>
    <row r="89" spans="1:1" s="2" customFormat="1" x14ac:dyDescent="0.25">
      <c r="A89" s="4"/>
    </row>
    <row r="90" spans="1:1" s="2" customFormat="1" x14ac:dyDescent="0.25">
      <c r="A90" s="4"/>
    </row>
    <row r="91" spans="1:1" s="2" customFormat="1" x14ac:dyDescent="0.25">
      <c r="A91" s="4"/>
    </row>
    <row r="92" spans="1:1" s="2" customFormat="1" x14ac:dyDescent="0.25">
      <c r="A92" s="4"/>
    </row>
    <row r="93" spans="1:1" s="2" customFormat="1" x14ac:dyDescent="0.25">
      <c r="A93" s="4"/>
    </row>
    <row r="94" spans="1:1" s="2" customFormat="1" x14ac:dyDescent="0.25">
      <c r="A94" s="4"/>
    </row>
    <row r="95" spans="1:1" s="2" customFormat="1" x14ac:dyDescent="0.25">
      <c r="A95" s="4"/>
    </row>
    <row r="96" spans="1:1" s="2" customFormat="1" x14ac:dyDescent="0.25">
      <c r="A96" s="4"/>
    </row>
    <row r="97" spans="1:1" s="2" customFormat="1" x14ac:dyDescent="0.25">
      <c r="A97" s="4"/>
    </row>
    <row r="98" spans="1:1" s="2" customFormat="1" x14ac:dyDescent="0.25">
      <c r="A98" s="4"/>
    </row>
    <row r="99" spans="1:1" s="2" customFormat="1" x14ac:dyDescent="0.25">
      <c r="A99" s="4"/>
    </row>
    <row r="100" spans="1:1" s="2" customFormat="1" x14ac:dyDescent="0.25">
      <c r="A100" s="4"/>
    </row>
    <row r="101" spans="1:1" s="2" customFormat="1" x14ac:dyDescent="0.25">
      <c r="A101" s="4"/>
    </row>
    <row r="102" spans="1:1" s="2" customFormat="1" x14ac:dyDescent="0.25">
      <c r="A102" s="4"/>
    </row>
    <row r="103" spans="1:1" s="2" customFormat="1" x14ac:dyDescent="0.25">
      <c r="A103" s="4"/>
    </row>
    <row r="104" spans="1:1" s="2" customFormat="1" x14ac:dyDescent="0.25">
      <c r="A104" s="4"/>
    </row>
    <row r="105" spans="1:1" s="2" customFormat="1" x14ac:dyDescent="0.25">
      <c r="A105" s="4"/>
    </row>
    <row r="106" spans="1:1" s="2" customFormat="1" x14ac:dyDescent="0.25">
      <c r="A106" s="4"/>
    </row>
    <row r="107" spans="1:1" s="2" customFormat="1" x14ac:dyDescent="0.25">
      <c r="A107" s="4"/>
    </row>
    <row r="108" spans="1:1" s="2" customFormat="1" x14ac:dyDescent="0.25">
      <c r="A108" s="4"/>
    </row>
    <row r="109" spans="1:1" s="2" customFormat="1" x14ac:dyDescent="0.25">
      <c r="A109" s="4"/>
    </row>
    <row r="110" spans="1:1" s="2" customFormat="1" x14ac:dyDescent="0.25">
      <c r="A110" s="4"/>
    </row>
    <row r="111" spans="1:1" s="2" customFormat="1" x14ac:dyDescent="0.25">
      <c r="A111" s="4"/>
    </row>
    <row r="112" spans="1:1" s="2" customFormat="1" x14ac:dyDescent="0.25">
      <c r="A112" s="4"/>
    </row>
    <row r="113" spans="1:1" s="2" customFormat="1" x14ac:dyDescent="0.25">
      <c r="A113" s="4"/>
    </row>
    <row r="114" spans="1:1" s="2" customFormat="1" x14ac:dyDescent="0.25">
      <c r="A114" s="4"/>
    </row>
    <row r="115" spans="1:1" s="2" customFormat="1" x14ac:dyDescent="0.25">
      <c r="A115" s="4"/>
    </row>
    <row r="116" spans="1:1" s="2" customFormat="1" x14ac:dyDescent="0.25">
      <c r="A116" s="4"/>
    </row>
    <row r="117" spans="1:1" s="2" customFormat="1" x14ac:dyDescent="0.25">
      <c r="A117" s="4"/>
    </row>
    <row r="118" spans="1:1" s="2" customFormat="1" x14ac:dyDescent="0.25">
      <c r="A118" s="4"/>
    </row>
    <row r="119" spans="1:1" s="2" customFormat="1" x14ac:dyDescent="0.25">
      <c r="A119" s="4"/>
    </row>
    <row r="120" spans="1:1" s="2" customFormat="1" x14ac:dyDescent="0.25">
      <c r="A120" s="4"/>
    </row>
    <row r="121" spans="1:1" s="2" customFormat="1" x14ac:dyDescent="0.25">
      <c r="A121" s="4"/>
    </row>
    <row r="122" spans="1:1" s="2" customFormat="1" x14ac:dyDescent="0.25">
      <c r="A122" s="4"/>
    </row>
    <row r="123" spans="1:1" s="2" customFormat="1" x14ac:dyDescent="0.25">
      <c r="A123" s="4"/>
    </row>
    <row r="124" spans="1:1" s="2" customFormat="1" x14ac:dyDescent="0.25">
      <c r="A124" s="4"/>
    </row>
    <row r="125" spans="1:1" s="2" customFormat="1" x14ac:dyDescent="0.25">
      <c r="A125" s="4"/>
    </row>
    <row r="126" spans="1:1" s="2" customFormat="1" x14ac:dyDescent="0.25">
      <c r="A126" s="4"/>
    </row>
    <row r="127" spans="1:1" s="2" customFormat="1" x14ac:dyDescent="0.25">
      <c r="A127" s="4"/>
    </row>
    <row r="128" spans="1:1" s="2" customFormat="1" x14ac:dyDescent="0.25">
      <c r="A128" s="4"/>
    </row>
    <row r="129" spans="1:1" s="2" customFormat="1" x14ac:dyDescent="0.25">
      <c r="A129" s="4"/>
    </row>
    <row r="130" spans="1:1" s="2" customFormat="1" x14ac:dyDescent="0.25">
      <c r="A130" s="4"/>
    </row>
    <row r="131" spans="1:1" s="2" customFormat="1" x14ac:dyDescent="0.25">
      <c r="A131" s="4"/>
    </row>
    <row r="132" spans="1:1" s="2" customFormat="1" x14ac:dyDescent="0.25">
      <c r="A132" s="4"/>
    </row>
    <row r="133" spans="1:1" s="2" customFormat="1" x14ac:dyDescent="0.25">
      <c r="A133" s="4"/>
    </row>
    <row r="134" spans="1:1" s="2" customFormat="1" x14ac:dyDescent="0.25">
      <c r="A134" s="4"/>
    </row>
    <row r="135" spans="1:1" s="2" customFormat="1" x14ac:dyDescent="0.25">
      <c r="A135" s="4"/>
    </row>
    <row r="136" spans="1:1" s="2" customFormat="1" x14ac:dyDescent="0.25">
      <c r="A136" s="4"/>
    </row>
    <row r="137" spans="1:1" s="2" customFormat="1" x14ac:dyDescent="0.25">
      <c r="A137" s="4"/>
    </row>
    <row r="138" spans="1:1" s="2" customFormat="1" x14ac:dyDescent="0.25">
      <c r="A138" s="4"/>
    </row>
    <row r="139" spans="1:1" s="2" customFormat="1" x14ac:dyDescent="0.25">
      <c r="A139" s="4"/>
    </row>
    <row r="140" spans="1:1" s="2" customFormat="1" x14ac:dyDescent="0.25">
      <c r="A140" s="4"/>
    </row>
    <row r="141" spans="1:1" s="2" customFormat="1" x14ac:dyDescent="0.25">
      <c r="A141" s="4"/>
    </row>
    <row r="142" spans="1:1" s="2" customFormat="1" x14ac:dyDescent="0.25">
      <c r="A142" s="4"/>
    </row>
    <row r="143" spans="1:1" s="2" customFormat="1" x14ac:dyDescent="0.25">
      <c r="A143" s="4"/>
    </row>
    <row r="144" spans="1:1" s="2" customFormat="1" x14ac:dyDescent="0.25">
      <c r="A144" s="4"/>
    </row>
    <row r="145" spans="1:1" s="2" customFormat="1" x14ac:dyDescent="0.25">
      <c r="A145" s="4"/>
    </row>
    <row r="146" spans="1:1" s="2" customFormat="1" x14ac:dyDescent="0.25">
      <c r="A146" s="4"/>
    </row>
    <row r="147" spans="1:1" s="2" customFormat="1" x14ac:dyDescent="0.25">
      <c r="A147" s="4"/>
    </row>
    <row r="148" spans="1:1" s="2" customFormat="1" x14ac:dyDescent="0.25">
      <c r="A148" s="4"/>
    </row>
    <row r="149" spans="1:1" s="2" customFormat="1" x14ac:dyDescent="0.25">
      <c r="A149" s="4"/>
    </row>
    <row r="150" spans="1:1" s="2" customFormat="1" x14ac:dyDescent="0.25">
      <c r="A150" s="4"/>
    </row>
    <row r="151" spans="1:1" s="2" customFormat="1" x14ac:dyDescent="0.25">
      <c r="A151" s="4"/>
    </row>
    <row r="152" spans="1:1" s="2" customFormat="1" x14ac:dyDescent="0.25">
      <c r="A152" s="4"/>
    </row>
    <row r="153" spans="1:1" s="2" customFormat="1" x14ac:dyDescent="0.25">
      <c r="A153" s="4"/>
    </row>
    <row r="154" spans="1:1" s="2" customFormat="1" x14ac:dyDescent="0.25">
      <c r="A154" s="4"/>
    </row>
    <row r="155" spans="1:1" s="2" customFormat="1" x14ac:dyDescent="0.25">
      <c r="A155" s="4"/>
    </row>
    <row r="156" spans="1:1" s="2" customFormat="1" x14ac:dyDescent="0.25">
      <c r="A156" s="4"/>
    </row>
    <row r="157" spans="1:1" s="2" customFormat="1" x14ac:dyDescent="0.25">
      <c r="A157" s="4"/>
    </row>
    <row r="158" spans="1:1" s="2" customFormat="1" x14ac:dyDescent="0.25">
      <c r="A158" s="4"/>
    </row>
    <row r="159" spans="1:1" s="2" customFormat="1" x14ac:dyDescent="0.25">
      <c r="A159" s="4"/>
    </row>
    <row r="160" spans="1:1" s="2" customFormat="1" x14ac:dyDescent="0.25">
      <c r="A160" s="4"/>
    </row>
    <row r="161" spans="1:1" s="2" customFormat="1" x14ac:dyDescent="0.25">
      <c r="A161" s="4"/>
    </row>
    <row r="162" spans="1:1" s="2" customFormat="1" x14ac:dyDescent="0.25">
      <c r="A162" s="4"/>
    </row>
    <row r="163" spans="1:1" s="2" customFormat="1" x14ac:dyDescent="0.25">
      <c r="A163" s="4"/>
    </row>
    <row r="164" spans="1:1" s="2" customFormat="1" x14ac:dyDescent="0.25">
      <c r="A164" s="4"/>
    </row>
    <row r="165" spans="1:1" s="2" customFormat="1" x14ac:dyDescent="0.25">
      <c r="A165" s="4"/>
    </row>
    <row r="166" spans="1:1" s="2" customFormat="1" x14ac:dyDescent="0.25">
      <c r="A166" s="4"/>
    </row>
    <row r="167" spans="1:1" s="2" customFormat="1" x14ac:dyDescent="0.25">
      <c r="A167" s="4"/>
    </row>
    <row r="168" spans="1:1" s="2" customFormat="1" x14ac:dyDescent="0.25">
      <c r="A168" s="4"/>
    </row>
    <row r="169" spans="1:1" s="2" customFormat="1" x14ac:dyDescent="0.25">
      <c r="A169" s="4"/>
    </row>
    <row r="170" spans="1:1" s="2" customFormat="1" x14ac:dyDescent="0.25">
      <c r="A170" s="4"/>
    </row>
    <row r="171" spans="1:1" s="2" customFormat="1" x14ac:dyDescent="0.25">
      <c r="A171" s="4"/>
    </row>
    <row r="172" spans="1:1" s="2" customFormat="1" x14ac:dyDescent="0.25">
      <c r="A172" s="4"/>
    </row>
    <row r="173" spans="1:1" s="2" customFormat="1" x14ac:dyDescent="0.25">
      <c r="A173" s="4"/>
    </row>
    <row r="174" spans="1:1" s="2" customFormat="1" x14ac:dyDescent="0.25">
      <c r="A174" s="4"/>
    </row>
    <row r="175" spans="1:1" s="2" customFormat="1" x14ac:dyDescent="0.25">
      <c r="A175" s="4"/>
    </row>
    <row r="176" spans="1:1" s="2" customFormat="1" x14ac:dyDescent="0.25">
      <c r="A176" s="4"/>
    </row>
    <row r="177" spans="1:1" s="2" customFormat="1" x14ac:dyDescent="0.25">
      <c r="A177" s="4"/>
    </row>
    <row r="178" spans="1:1" s="2" customFormat="1" x14ac:dyDescent="0.25">
      <c r="A178" s="4"/>
    </row>
    <row r="179" spans="1:1" s="2" customFormat="1" x14ac:dyDescent="0.25">
      <c r="A179" s="4"/>
    </row>
    <row r="180" spans="1:1" s="2" customFormat="1" x14ac:dyDescent="0.25">
      <c r="A180" s="4"/>
    </row>
    <row r="181" spans="1:1" s="2" customFormat="1" x14ac:dyDescent="0.25">
      <c r="A181" s="4"/>
    </row>
    <row r="182" spans="1:1" s="2" customFormat="1" x14ac:dyDescent="0.25">
      <c r="A182" s="4"/>
    </row>
    <row r="183" spans="1:1" s="2" customFormat="1" x14ac:dyDescent="0.25">
      <c r="A183" s="4"/>
    </row>
    <row r="184" spans="1:1" s="2" customFormat="1" x14ac:dyDescent="0.25">
      <c r="A184" s="4"/>
    </row>
    <row r="185" spans="1:1" s="2" customFormat="1" x14ac:dyDescent="0.25">
      <c r="A185" s="4"/>
    </row>
    <row r="186" spans="1:1" s="2" customFormat="1" x14ac:dyDescent="0.25">
      <c r="A186" s="4"/>
    </row>
    <row r="187" spans="1:1" s="2" customFormat="1" x14ac:dyDescent="0.25">
      <c r="A187" s="4"/>
    </row>
    <row r="188" spans="1:1" s="2" customFormat="1" x14ac:dyDescent="0.25">
      <c r="A188" s="4"/>
    </row>
    <row r="189" spans="1:1" s="2" customFormat="1" x14ac:dyDescent="0.25">
      <c r="A189" s="4"/>
    </row>
    <row r="190" spans="1:1" s="2" customFormat="1" x14ac:dyDescent="0.25">
      <c r="A190" s="4"/>
    </row>
    <row r="191" spans="1:1" s="2" customFormat="1" x14ac:dyDescent="0.25">
      <c r="A191" s="4"/>
    </row>
    <row r="192" spans="1:1" s="2" customFormat="1" x14ac:dyDescent="0.25">
      <c r="A192" s="4"/>
    </row>
    <row r="193" spans="1:1" s="2" customFormat="1" x14ac:dyDescent="0.25">
      <c r="A193" s="4"/>
    </row>
    <row r="194" spans="1:1" s="2" customFormat="1" x14ac:dyDescent="0.25">
      <c r="A194" s="4"/>
    </row>
    <row r="195" spans="1:1" s="2" customFormat="1" x14ac:dyDescent="0.25">
      <c r="A195" s="4"/>
    </row>
    <row r="196" spans="1:1" s="2" customFormat="1" x14ac:dyDescent="0.25">
      <c r="A196" s="4"/>
    </row>
    <row r="197" spans="1:1" s="2" customFormat="1" x14ac:dyDescent="0.25">
      <c r="A197" s="4"/>
    </row>
    <row r="198" spans="1:1" s="2" customFormat="1" x14ac:dyDescent="0.25">
      <c r="A198" s="4"/>
    </row>
    <row r="199" spans="1:1" s="2" customFormat="1" x14ac:dyDescent="0.25">
      <c r="A199" s="4"/>
    </row>
    <row r="200" spans="1:1" s="2" customFormat="1" x14ac:dyDescent="0.25">
      <c r="A200" s="4"/>
    </row>
    <row r="201" spans="1:1" s="2" customFormat="1" x14ac:dyDescent="0.25">
      <c r="A201" s="4"/>
    </row>
    <row r="202" spans="1:1" s="2" customFormat="1" x14ac:dyDescent="0.25">
      <c r="A202" s="4"/>
    </row>
    <row r="203" spans="1:1" s="2" customFormat="1" x14ac:dyDescent="0.25">
      <c r="A203" s="4"/>
    </row>
    <row r="204" spans="1:1" s="2" customFormat="1" x14ac:dyDescent="0.25">
      <c r="A204" s="4"/>
    </row>
    <row r="205" spans="1:1" s="2" customFormat="1" x14ac:dyDescent="0.25">
      <c r="A205" s="4"/>
    </row>
    <row r="206" spans="1:1" s="2" customFormat="1" x14ac:dyDescent="0.25">
      <c r="A206" s="4"/>
    </row>
    <row r="207" spans="1:1" s="2" customFormat="1" x14ac:dyDescent="0.25">
      <c r="A207" s="4"/>
    </row>
    <row r="208" spans="1:1" s="2" customFormat="1" x14ac:dyDescent="0.25">
      <c r="A208" s="4"/>
    </row>
    <row r="209" spans="1:1" s="2" customFormat="1" x14ac:dyDescent="0.25">
      <c r="A209" s="4"/>
    </row>
    <row r="210" spans="1:1" s="2" customFormat="1" x14ac:dyDescent="0.25">
      <c r="A210" s="4"/>
    </row>
    <row r="211" spans="1:1" s="2" customFormat="1" x14ac:dyDescent="0.25">
      <c r="A211" s="4"/>
    </row>
    <row r="212" spans="1:1" s="2" customFormat="1" x14ac:dyDescent="0.25">
      <c r="A212" s="4"/>
    </row>
    <row r="213" spans="1:1" s="2" customFormat="1" x14ac:dyDescent="0.25">
      <c r="A213" s="4"/>
    </row>
    <row r="214" spans="1:1" s="2" customFormat="1" x14ac:dyDescent="0.25">
      <c r="A214" s="4"/>
    </row>
    <row r="215" spans="1:1" s="2" customFormat="1" x14ac:dyDescent="0.25">
      <c r="A215" s="4"/>
    </row>
    <row r="216" spans="1:1" s="2" customFormat="1" x14ac:dyDescent="0.25">
      <c r="A216" s="4"/>
    </row>
    <row r="217" spans="1:1" s="2" customFormat="1" x14ac:dyDescent="0.25">
      <c r="A217" s="4"/>
    </row>
    <row r="218" spans="1:1" s="2" customFormat="1" x14ac:dyDescent="0.25">
      <c r="A218" s="4"/>
    </row>
    <row r="219" spans="1:1" s="2" customFormat="1" x14ac:dyDescent="0.25">
      <c r="A219" s="4"/>
    </row>
    <row r="220" spans="1:1" s="2" customFormat="1" x14ac:dyDescent="0.25">
      <c r="A220" s="4"/>
    </row>
    <row r="221" spans="1:1" s="2" customFormat="1" x14ac:dyDescent="0.25">
      <c r="A221" s="4"/>
    </row>
    <row r="222" spans="1:1" s="2" customFormat="1" x14ac:dyDescent="0.25">
      <c r="A222" s="4"/>
    </row>
    <row r="223" spans="1:1" s="2" customFormat="1" x14ac:dyDescent="0.25">
      <c r="A223" s="4"/>
    </row>
    <row r="224" spans="1:1" s="2" customFormat="1" x14ac:dyDescent="0.25">
      <c r="A224" s="4"/>
    </row>
    <row r="225" spans="1:1" s="2" customFormat="1" x14ac:dyDescent="0.25">
      <c r="A225" s="4"/>
    </row>
    <row r="226" spans="1:1" s="2" customFormat="1" x14ac:dyDescent="0.25">
      <c r="A226" s="4"/>
    </row>
    <row r="227" spans="1:1" s="2" customFormat="1" x14ac:dyDescent="0.25">
      <c r="A227" s="4"/>
    </row>
    <row r="228" spans="1:1" s="2" customFormat="1" x14ac:dyDescent="0.25">
      <c r="A228" s="4"/>
    </row>
    <row r="229" spans="1:1" s="2" customFormat="1" x14ac:dyDescent="0.25">
      <c r="A229" s="4"/>
    </row>
    <row r="230" spans="1:1" s="2" customFormat="1" x14ac:dyDescent="0.25">
      <c r="A230" s="4"/>
    </row>
    <row r="231" spans="1:1" s="2" customFormat="1" x14ac:dyDescent="0.25">
      <c r="A231" s="4"/>
    </row>
    <row r="232" spans="1:1" s="2" customFormat="1" x14ac:dyDescent="0.25">
      <c r="A232" s="4"/>
    </row>
    <row r="233" spans="1:1" s="2" customFormat="1" x14ac:dyDescent="0.25">
      <c r="A233" s="4"/>
    </row>
    <row r="234" spans="1:1" s="2" customFormat="1" x14ac:dyDescent="0.25">
      <c r="A234" s="4"/>
    </row>
    <row r="235" spans="1:1" s="2" customFormat="1" x14ac:dyDescent="0.25">
      <c r="A235" s="4"/>
    </row>
    <row r="236" spans="1:1" s="2" customFormat="1" x14ac:dyDescent="0.25">
      <c r="A236" s="4"/>
    </row>
    <row r="237" spans="1:1" s="2" customFormat="1" x14ac:dyDescent="0.25">
      <c r="A237" s="4"/>
    </row>
    <row r="238" spans="1:1" s="2" customFormat="1" x14ac:dyDescent="0.25">
      <c r="A238" s="4"/>
    </row>
    <row r="239" spans="1:1" s="2" customFormat="1" x14ac:dyDescent="0.25">
      <c r="A239" s="4"/>
    </row>
    <row r="240" spans="1:1" s="2" customFormat="1" x14ac:dyDescent="0.25">
      <c r="A240" s="4"/>
    </row>
    <row r="241" spans="1:1" s="2" customFormat="1" x14ac:dyDescent="0.25">
      <c r="A241" s="4"/>
    </row>
    <row r="242" spans="1:1" s="2" customFormat="1" x14ac:dyDescent="0.25">
      <c r="A242" s="4"/>
    </row>
    <row r="243" spans="1:1" s="2" customFormat="1" x14ac:dyDescent="0.25">
      <c r="A243" s="4"/>
    </row>
    <row r="244" spans="1:1" s="2" customFormat="1" x14ac:dyDescent="0.25">
      <c r="A244" s="4"/>
    </row>
    <row r="245" spans="1:1" s="2" customFormat="1" x14ac:dyDescent="0.25">
      <c r="A245" s="4"/>
    </row>
    <row r="246" spans="1:1" s="2" customFormat="1" x14ac:dyDescent="0.25">
      <c r="A246" s="4"/>
    </row>
    <row r="247" spans="1:1" s="2" customFormat="1" x14ac:dyDescent="0.25">
      <c r="A247" s="4"/>
    </row>
    <row r="248" spans="1:1" s="2" customFormat="1" x14ac:dyDescent="0.25">
      <c r="A248" s="4"/>
    </row>
    <row r="249" spans="1:1" s="2" customFormat="1" x14ac:dyDescent="0.25">
      <c r="A249" s="4"/>
    </row>
    <row r="250" spans="1:1" s="2" customFormat="1" x14ac:dyDescent="0.25">
      <c r="A250" s="4"/>
    </row>
    <row r="251" spans="1:1" s="2" customFormat="1" x14ac:dyDescent="0.25">
      <c r="A251" s="4"/>
    </row>
    <row r="252" spans="1:1" s="2" customFormat="1" x14ac:dyDescent="0.25">
      <c r="A252" s="4"/>
    </row>
    <row r="253" spans="1:1" s="2" customFormat="1" x14ac:dyDescent="0.25">
      <c r="A253" s="4"/>
    </row>
    <row r="254" spans="1:1" s="2" customFormat="1" x14ac:dyDescent="0.25">
      <c r="A254" s="4"/>
    </row>
    <row r="255" spans="1:1" s="2" customFormat="1" x14ac:dyDescent="0.25">
      <c r="A255" s="4"/>
    </row>
    <row r="256" spans="1:1" s="2" customFormat="1" x14ac:dyDescent="0.25">
      <c r="A256" s="4"/>
    </row>
    <row r="257" spans="1:1" s="2" customFormat="1" x14ac:dyDescent="0.25">
      <c r="A257" s="4"/>
    </row>
    <row r="258" spans="1:1" s="2" customFormat="1" x14ac:dyDescent="0.25">
      <c r="A258" s="4"/>
    </row>
    <row r="259" spans="1:1" s="2" customFormat="1" x14ac:dyDescent="0.25">
      <c r="A259" s="4"/>
    </row>
    <row r="260" spans="1:1" s="2" customFormat="1" x14ac:dyDescent="0.25">
      <c r="A260" s="4"/>
    </row>
    <row r="261" spans="1:1" s="2" customFormat="1" x14ac:dyDescent="0.25">
      <c r="A261" s="4"/>
    </row>
    <row r="262" spans="1:1" s="2" customFormat="1" x14ac:dyDescent="0.25">
      <c r="A262" s="4"/>
    </row>
    <row r="263" spans="1:1" s="2" customFormat="1" x14ac:dyDescent="0.25">
      <c r="A263" s="4"/>
    </row>
    <row r="264" spans="1:1" s="2" customFormat="1" x14ac:dyDescent="0.25">
      <c r="A264" s="4"/>
    </row>
    <row r="265" spans="1:1" s="2" customFormat="1" x14ac:dyDescent="0.25">
      <c r="A265" s="4"/>
    </row>
    <row r="266" spans="1:1" s="2" customFormat="1" x14ac:dyDescent="0.25">
      <c r="A266" s="4"/>
    </row>
    <row r="267" spans="1:1" s="2" customFormat="1" x14ac:dyDescent="0.25">
      <c r="A267" s="4"/>
    </row>
    <row r="268" spans="1:1" s="2" customFormat="1" x14ac:dyDescent="0.25">
      <c r="A268" s="4"/>
    </row>
    <row r="269" spans="1:1" s="2" customFormat="1" x14ac:dyDescent="0.25">
      <c r="A269" s="4"/>
    </row>
    <row r="270" spans="1:1" s="2" customFormat="1" x14ac:dyDescent="0.25">
      <c r="A270" s="4"/>
    </row>
    <row r="271" spans="1:1" s="2" customFormat="1" x14ac:dyDescent="0.25">
      <c r="A271" s="4"/>
    </row>
    <row r="272" spans="1:1" s="2" customFormat="1" x14ac:dyDescent="0.25">
      <c r="A272" s="4"/>
    </row>
    <row r="273" spans="1:1" s="2" customFormat="1" x14ac:dyDescent="0.25">
      <c r="A273" s="4"/>
    </row>
    <row r="274" spans="1:1" s="2" customFormat="1" x14ac:dyDescent="0.25">
      <c r="A274" s="4"/>
    </row>
    <row r="275" spans="1:1" s="2" customFormat="1" x14ac:dyDescent="0.25">
      <c r="A275" s="4"/>
    </row>
    <row r="276" spans="1:1" s="2" customFormat="1" x14ac:dyDescent="0.25">
      <c r="A276" s="4"/>
    </row>
    <row r="277" spans="1:1" s="2" customFormat="1" x14ac:dyDescent="0.25">
      <c r="A277" s="4"/>
    </row>
    <row r="278" spans="1:1" s="2" customFormat="1" x14ac:dyDescent="0.25">
      <c r="A278" s="4"/>
    </row>
    <row r="279" spans="1:1" s="2" customFormat="1" x14ac:dyDescent="0.25">
      <c r="A279" s="4"/>
    </row>
    <row r="280" spans="1:1" s="2" customFormat="1" x14ac:dyDescent="0.25">
      <c r="A280" s="4"/>
    </row>
    <row r="281" spans="1:1" s="2" customFormat="1" x14ac:dyDescent="0.25">
      <c r="A281" s="4"/>
    </row>
    <row r="282" spans="1:1" s="2" customFormat="1" x14ac:dyDescent="0.25">
      <c r="A282" s="4"/>
    </row>
    <row r="283" spans="1:1" s="2" customFormat="1" x14ac:dyDescent="0.25">
      <c r="A283" s="4"/>
    </row>
    <row r="284" spans="1:1" s="2" customFormat="1" x14ac:dyDescent="0.25">
      <c r="A284" s="4"/>
    </row>
    <row r="285" spans="1:1" s="2" customFormat="1" x14ac:dyDescent="0.25">
      <c r="A285" s="4"/>
    </row>
    <row r="286" spans="1:1" s="2" customFormat="1" x14ac:dyDescent="0.25">
      <c r="A286" s="4"/>
    </row>
    <row r="287" spans="1:1" s="2" customFormat="1" x14ac:dyDescent="0.25">
      <c r="A287" s="4"/>
    </row>
    <row r="288" spans="1:1" s="2" customFormat="1" x14ac:dyDescent="0.25">
      <c r="A288" s="4"/>
    </row>
    <row r="289" spans="1:1" s="2" customFormat="1" x14ac:dyDescent="0.25">
      <c r="A289" s="4"/>
    </row>
    <row r="290" spans="1:1" s="2" customFormat="1" x14ac:dyDescent="0.25">
      <c r="A290" s="4"/>
    </row>
    <row r="291" spans="1:1" s="2" customFormat="1" x14ac:dyDescent="0.25">
      <c r="A291" s="4"/>
    </row>
    <row r="292" spans="1:1" s="2" customFormat="1" x14ac:dyDescent="0.25">
      <c r="A292" s="4"/>
    </row>
    <row r="293" spans="1:1" s="2" customFormat="1" x14ac:dyDescent="0.25">
      <c r="A293" s="4"/>
    </row>
    <row r="294" spans="1:1" s="2" customFormat="1" x14ac:dyDescent="0.25">
      <c r="A294" s="4"/>
    </row>
    <row r="295" spans="1:1" s="2" customFormat="1" x14ac:dyDescent="0.25">
      <c r="A295" s="4"/>
    </row>
    <row r="296" spans="1:1" s="2" customFormat="1" x14ac:dyDescent="0.25">
      <c r="A296" s="4"/>
    </row>
    <row r="297" spans="1:1" s="2" customFormat="1" x14ac:dyDescent="0.25">
      <c r="A297" s="4"/>
    </row>
    <row r="298" spans="1:1" s="2" customFormat="1" x14ac:dyDescent="0.25">
      <c r="A298" s="4"/>
    </row>
    <row r="299" spans="1:1" s="2" customFormat="1" x14ac:dyDescent="0.25">
      <c r="A299" s="4"/>
    </row>
    <row r="300" spans="1:1" s="2" customFormat="1" x14ac:dyDescent="0.25">
      <c r="A300" s="4"/>
    </row>
    <row r="301" spans="1:1" s="2" customFormat="1" x14ac:dyDescent="0.25">
      <c r="A301" s="4"/>
    </row>
    <row r="302" spans="1:1" s="2" customFormat="1" x14ac:dyDescent="0.25">
      <c r="A302" s="4"/>
    </row>
    <row r="303" spans="1:1" s="2" customFormat="1" x14ac:dyDescent="0.25">
      <c r="A303" s="4"/>
    </row>
    <row r="304" spans="1:1" s="2" customFormat="1" x14ac:dyDescent="0.25">
      <c r="A304" s="4"/>
    </row>
    <row r="305" spans="1:1" s="2" customFormat="1" x14ac:dyDescent="0.25">
      <c r="A305" s="4"/>
    </row>
    <row r="306" spans="1:1" s="2" customFormat="1" x14ac:dyDescent="0.25">
      <c r="A306" s="4"/>
    </row>
    <row r="307" spans="1:1" s="2" customFormat="1" x14ac:dyDescent="0.25">
      <c r="A307" s="4"/>
    </row>
    <row r="308" spans="1:1" s="2" customFormat="1" x14ac:dyDescent="0.25">
      <c r="A308" s="4"/>
    </row>
    <row r="309" spans="1:1" s="2" customFormat="1" x14ac:dyDescent="0.25">
      <c r="A309" s="4"/>
    </row>
    <row r="310" spans="1:1" s="2" customFormat="1" x14ac:dyDescent="0.25">
      <c r="A310" s="4"/>
    </row>
    <row r="311" spans="1:1" s="2" customFormat="1" x14ac:dyDescent="0.25">
      <c r="A311" s="4"/>
    </row>
    <row r="312" spans="1:1" s="2" customFormat="1" x14ac:dyDescent="0.25">
      <c r="A312" s="4"/>
    </row>
    <row r="313" spans="1:1" s="2" customFormat="1" x14ac:dyDescent="0.25">
      <c r="A313" s="4"/>
    </row>
    <row r="314" spans="1:1" s="2" customFormat="1" x14ac:dyDescent="0.25">
      <c r="A314" s="4"/>
    </row>
    <row r="315" spans="1:1" s="2" customFormat="1" x14ac:dyDescent="0.25">
      <c r="A315" s="4"/>
    </row>
    <row r="316" spans="1:1" s="2" customFormat="1" x14ac:dyDescent="0.25">
      <c r="A316" s="4"/>
    </row>
    <row r="317" spans="1:1" s="2" customFormat="1" x14ac:dyDescent="0.25">
      <c r="A317" s="4"/>
    </row>
    <row r="318" spans="1:1" s="2" customFormat="1" x14ac:dyDescent="0.25">
      <c r="A318" s="4"/>
    </row>
    <row r="319" spans="1:1" s="2" customFormat="1" x14ac:dyDescent="0.25">
      <c r="A319" s="4"/>
    </row>
    <row r="320" spans="1:1" s="2" customFormat="1" x14ac:dyDescent="0.25">
      <c r="A320" s="4"/>
    </row>
    <row r="321" spans="1:138" s="2" customFormat="1" x14ac:dyDescent="0.25">
      <c r="A321" s="4"/>
    </row>
    <row r="322" spans="1:138" s="2" customFormat="1" x14ac:dyDescent="0.25">
      <c r="A322" s="4"/>
    </row>
    <row r="323" spans="1:138" s="2" customFormat="1" x14ac:dyDescent="0.25">
      <c r="A323" s="4"/>
    </row>
    <row r="324" spans="1:138" s="2" customFormat="1" x14ac:dyDescent="0.25">
      <c r="A324" s="4"/>
    </row>
    <row r="325" spans="1:138" s="2" customFormat="1" x14ac:dyDescent="0.25">
      <c r="A325" s="4"/>
    </row>
    <row r="326" spans="1:138" s="2" customFormat="1" x14ac:dyDescent="0.25">
      <c r="A326" s="4"/>
    </row>
    <row r="327" spans="1:138" s="2" customFormat="1" x14ac:dyDescent="0.25">
      <c r="A327" s="4"/>
    </row>
    <row r="328" spans="1:138" s="2" customFormat="1" x14ac:dyDescent="0.25">
      <c r="A328" s="4"/>
    </row>
    <row r="329" spans="1:138" s="2" customFormat="1" x14ac:dyDescent="0.25">
      <c r="A329" s="4"/>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c r="BE329"/>
      <c r="BF329"/>
      <c r="BG329"/>
      <c r="BH329"/>
      <c r="BI329"/>
      <c r="BJ329"/>
      <c r="BK329"/>
      <c r="BL329"/>
      <c r="BM329"/>
      <c r="BN329"/>
      <c r="BO329"/>
      <c r="BP329"/>
      <c r="BQ329"/>
      <c r="BR329"/>
      <c r="BS329"/>
      <c r="BT329"/>
      <c r="BU329"/>
      <c r="BV329"/>
      <c r="BW329"/>
      <c r="BX329"/>
      <c r="BY329"/>
      <c r="BZ329"/>
      <c r="CA329"/>
      <c r="CB329"/>
      <c r="CC329"/>
      <c r="CD329"/>
      <c r="CE329"/>
      <c r="CF329"/>
      <c r="CG329"/>
      <c r="CH329"/>
      <c r="CI329"/>
      <c r="CJ329"/>
      <c r="CK329"/>
      <c r="CL329"/>
      <c r="CM329"/>
      <c r="CN329"/>
      <c r="CO329"/>
      <c r="CP329"/>
      <c r="CQ329"/>
      <c r="CR329"/>
      <c r="CS329"/>
      <c r="CT329"/>
      <c r="CU329"/>
      <c r="CV329"/>
      <c r="CW329"/>
      <c r="CX329"/>
      <c r="CY329"/>
      <c r="CZ329"/>
      <c r="DA329"/>
      <c r="DB329"/>
      <c r="DC329"/>
      <c r="DD329"/>
      <c r="DE329"/>
      <c r="DF329"/>
      <c r="DG329"/>
      <c r="DH329"/>
      <c r="DI329"/>
      <c r="DJ329"/>
      <c r="DK329"/>
      <c r="DL329"/>
      <c r="DM329"/>
      <c r="DN329"/>
      <c r="DO329"/>
      <c r="DP329"/>
      <c r="DQ329"/>
      <c r="DR329"/>
      <c r="DS329"/>
      <c r="DT329"/>
      <c r="DU329"/>
      <c r="DV329"/>
      <c r="DW329"/>
      <c r="DX329"/>
      <c r="DY329"/>
      <c r="DZ329"/>
      <c r="EA329"/>
      <c r="EB329"/>
      <c r="EC329"/>
      <c r="ED329"/>
      <c r="EE329"/>
      <c r="EF329"/>
      <c r="EG329"/>
      <c r="EH329"/>
    </row>
    <row r="330" spans="1:138" s="2" customFormat="1" x14ac:dyDescent="0.25">
      <c r="A330" s="4"/>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c r="BE330"/>
      <c r="BF330"/>
      <c r="BG330"/>
      <c r="BH330"/>
      <c r="BI330"/>
      <c r="BJ330"/>
      <c r="BK330"/>
      <c r="BL330"/>
      <c r="BM330"/>
      <c r="BN330"/>
      <c r="BO330"/>
      <c r="BP330"/>
      <c r="BQ330"/>
      <c r="BR330"/>
      <c r="BS330"/>
      <c r="BT330"/>
      <c r="BU330"/>
      <c r="BV330"/>
      <c r="BW330"/>
      <c r="BX330"/>
      <c r="BY330"/>
      <c r="BZ330"/>
      <c r="CA330"/>
      <c r="CB330"/>
      <c r="CC330"/>
      <c r="CD330"/>
      <c r="CE330"/>
      <c r="CF330"/>
      <c r="CG330"/>
      <c r="CH330"/>
      <c r="CI330"/>
      <c r="CJ330"/>
      <c r="CK330"/>
      <c r="CL330"/>
      <c r="CM330"/>
      <c r="CN330"/>
      <c r="CO330"/>
      <c r="CP330"/>
      <c r="CQ330"/>
      <c r="CR330"/>
      <c r="CS330"/>
      <c r="CT330"/>
      <c r="CU330"/>
      <c r="CV330"/>
      <c r="CW330"/>
      <c r="CX330"/>
      <c r="CY330"/>
      <c r="CZ330"/>
      <c r="DA330"/>
      <c r="DB330"/>
      <c r="DC330"/>
      <c r="DD330"/>
      <c r="DE330"/>
      <c r="DF330"/>
      <c r="DG330"/>
      <c r="DH330"/>
      <c r="DI330"/>
      <c r="DJ330"/>
      <c r="DK330"/>
      <c r="DL330"/>
      <c r="DM330"/>
      <c r="DN330"/>
      <c r="DO330"/>
      <c r="DP330"/>
      <c r="DQ330"/>
      <c r="DR330"/>
      <c r="DS330"/>
      <c r="DT330"/>
      <c r="DU330"/>
      <c r="DV330"/>
      <c r="DW330"/>
      <c r="DX330"/>
      <c r="DY330"/>
      <c r="DZ330"/>
      <c r="EA330"/>
      <c r="EB330"/>
      <c r="EC330"/>
      <c r="ED330"/>
      <c r="EE330"/>
      <c r="EF330"/>
      <c r="EG330"/>
      <c r="EH330"/>
    </row>
  </sheetData>
  <mergeCells count="7">
    <mergeCell ref="B17:D17"/>
    <mergeCell ref="F2:H10"/>
    <mergeCell ref="F12:H12"/>
    <mergeCell ref="B6:D6"/>
    <mergeCell ref="B2:E2"/>
    <mergeCell ref="B3:E3"/>
    <mergeCell ref="B4:E4"/>
  </mergeCells>
  <hyperlinks>
    <hyperlink ref="F13" r:id="rId1" display="Annual  cost of living" xr:uid="{00000000-0004-0000-0200-000000000000}"/>
    <hyperlink ref="G13" r:id="rId2" display="Annual  cost of living" xr:uid="{00000000-0004-0000-0200-000001000000}"/>
    <hyperlink ref="H13" r:id="rId3" display="Low Budget Academic Year" xr:uid="{00000000-0004-0000-0200-000002000000}"/>
    <hyperlink ref="B8" r:id="rId4" xr:uid="{00000000-0004-0000-0200-000003000000}"/>
    <hyperlink ref="B9" r:id="rId5" display="Housing" xr:uid="{00000000-0004-0000-0200-000004000000}"/>
    <hyperlink ref="B11" r:id="rId6" display="Housing" xr:uid="{00000000-0004-0000-0200-000005000000}"/>
    <hyperlink ref="B12" r:id="rId7" display="Housing" xr:uid="{00000000-0004-0000-0200-000006000000}"/>
    <hyperlink ref="B13" r:id="rId8" display="Housing" xr:uid="{00000000-0004-0000-0200-000007000000}"/>
    <hyperlink ref="B4" r:id="rId9" xr:uid="{00000000-0004-0000-0200-000008000000}"/>
  </hyperlinks>
  <pageMargins left="0.7" right="0.7" top="0.75" bottom="0.75" header="0.3" footer="0.3"/>
  <pageSetup orientation="portrait" r:id="rId10"/>
  <drawing r:id="rId11"/>
  <legacyDrawing r:id="rId1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D425"/>
  <sheetViews>
    <sheetView zoomScaleNormal="100" workbookViewId="0">
      <pane ySplit="13" topLeftCell="A14" activePane="bottomLeft" state="frozen"/>
      <selection pane="bottomLeft" activeCell="B2" sqref="B2:F2"/>
    </sheetView>
  </sheetViews>
  <sheetFormatPr defaultColWidth="8.85546875" defaultRowHeight="15" x14ac:dyDescent="0.25"/>
  <cols>
    <col min="1" max="1" width="1.5703125" style="2" customWidth="1"/>
    <col min="2" max="2" width="6.5703125" style="2" customWidth="1"/>
    <col min="3" max="3" width="13" style="2" customWidth="1"/>
    <col min="4" max="4" width="14.5703125" style="2" customWidth="1"/>
    <col min="5" max="5" width="16.5703125" style="2" customWidth="1"/>
    <col min="6" max="6" width="14.85546875" style="2" customWidth="1"/>
    <col min="7" max="7" width="1.5703125" style="2" customWidth="1"/>
    <col min="8" max="10" width="12.5703125" style="2" customWidth="1"/>
    <col min="11" max="11" width="13.5703125" style="2" customWidth="1"/>
    <col min="12" max="12" width="12.5703125" style="2" customWidth="1"/>
    <col min="13" max="13" width="1.5703125" style="2" customWidth="1"/>
    <col min="14" max="15" width="12.140625" style="2" customWidth="1"/>
    <col min="16" max="18" width="12.5703125" style="2" customWidth="1"/>
    <col min="19" max="19" width="1.5703125" style="2" customWidth="1"/>
    <col min="20" max="20" width="13.42578125" style="2" customWidth="1"/>
    <col min="21" max="21" width="10.42578125" style="2" bestFit="1" customWidth="1"/>
    <col min="22" max="22" width="8.85546875" style="2"/>
    <col min="23" max="27" width="14.5703125" style="2" customWidth="1"/>
    <col min="28" max="32" width="12.5703125" style="2" customWidth="1"/>
    <col min="33" max="16384" width="8.85546875" style="2"/>
  </cols>
  <sheetData>
    <row r="1" spans="1:160" s="5" customFormat="1" ht="3" customHeight="1" x14ac:dyDescent="0.4">
      <c r="A1" s="21"/>
      <c r="B1" s="21"/>
      <c r="C1" s="21"/>
      <c r="D1" s="21"/>
      <c r="E1" s="22"/>
      <c r="F1" s="22"/>
      <c r="G1" s="22"/>
      <c r="H1" s="22"/>
      <c r="I1" s="22"/>
      <c r="J1" s="22"/>
      <c r="K1" s="22"/>
      <c r="L1" s="22"/>
      <c r="M1" s="22"/>
      <c r="N1" s="6"/>
      <c r="O1" s="6"/>
      <c r="P1" s="6"/>
      <c r="Q1" s="6"/>
      <c r="R1" s="6"/>
      <c r="S1" s="6"/>
      <c r="T1" s="24"/>
      <c r="U1" s="23"/>
      <c r="V1" s="24"/>
      <c r="W1" s="24"/>
      <c r="X1" s="19"/>
      <c r="Y1" s="19"/>
      <c r="Z1" s="19"/>
      <c r="AA1" s="19"/>
      <c r="AB1" s="20"/>
      <c r="AC1" s="20"/>
      <c r="AD1" s="20"/>
      <c r="AE1" s="20"/>
      <c r="AF1" s="20"/>
      <c r="AG1" s="20"/>
      <c r="AH1" s="20"/>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row>
    <row r="2" spans="1:160" s="5" customFormat="1" ht="24" customHeight="1" x14ac:dyDescent="0.4">
      <c r="A2" s="129"/>
      <c r="B2" s="359" t="s">
        <v>134</v>
      </c>
      <c r="C2" s="359"/>
      <c r="D2" s="359"/>
      <c r="E2" s="359"/>
      <c r="F2" s="359"/>
      <c r="G2" s="183"/>
      <c r="H2" s="362" t="s">
        <v>139</v>
      </c>
      <c r="I2" s="362"/>
      <c r="J2" s="362"/>
      <c r="K2" s="362"/>
      <c r="L2" s="362"/>
      <c r="M2" s="141"/>
      <c r="N2" s="57"/>
      <c r="O2" s="57"/>
      <c r="P2" s="57"/>
      <c r="Q2" s="57"/>
      <c r="R2" s="57"/>
      <c r="S2" s="57"/>
      <c r="T2" s="24"/>
      <c r="U2" s="18"/>
      <c r="V2" s="18"/>
      <c r="W2" s="197"/>
      <c r="Y2" s="197"/>
      <c r="Z2" s="18"/>
      <c r="AA2" s="18"/>
      <c r="AB2" s="18"/>
      <c r="AC2" s="18"/>
      <c r="AD2" s="18"/>
      <c r="AE2" s="18"/>
      <c r="AF2" s="18"/>
      <c r="AG2" s="18"/>
      <c r="AH2" s="20"/>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row>
    <row r="3" spans="1:160" s="199" customFormat="1" ht="15.95" customHeight="1" x14ac:dyDescent="0.2">
      <c r="A3" s="192"/>
      <c r="B3" s="360" t="s">
        <v>114</v>
      </c>
      <c r="C3" s="360"/>
      <c r="D3" s="360"/>
      <c r="E3" s="360"/>
      <c r="F3" s="360"/>
      <c r="G3" s="193"/>
      <c r="H3" s="362"/>
      <c r="I3" s="362"/>
      <c r="J3" s="362"/>
      <c r="K3" s="362"/>
      <c r="L3" s="362"/>
      <c r="M3" s="194"/>
      <c r="N3" s="195"/>
      <c r="O3" s="195"/>
      <c r="P3" s="195"/>
      <c r="Q3" s="195"/>
      <c r="R3" s="195"/>
      <c r="S3" s="195"/>
      <c r="T3" s="196"/>
      <c r="U3" s="197"/>
      <c r="V3" s="197"/>
      <c r="W3" s="18"/>
      <c r="X3" s="324" t="s">
        <v>279</v>
      </c>
      <c r="Y3" s="18"/>
      <c r="Z3" s="197"/>
      <c r="AA3" s="197"/>
      <c r="AB3" s="197"/>
      <c r="AC3" s="197"/>
      <c r="AD3" s="197"/>
      <c r="AE3" s="197"/>
      <c r="AF3" s="197"/>
      <c r="AG3" s="197"/>
      <c r="AH3" s="198"/>
      <c r="AI3" s="196"/>
      <c r="AJ3" s="196"/>
      <c r="AK3" s="196"/>
      <c r="AL3" s="196"/>
      <c r="AM3" s="196"/>
      <c r="AN3" s="196"/>
      <c r="AO3" s="196"/>
      <c r="AP3" s="196"/>
      <c r="AQ3" s="196"/>
      <c r="AR3" s="196"/>
      <c r="AS3" s="196"/>
      <c r="AT3" s="196"/>
      <c r="AU3" s="196"/>
      <c r="AV3" s="196"/>
      <c r="AW3" s="196"/>
      <c r="AX3" s="196"/>
      <c r="AY3" s="196"/>
      <c r="AZ3" s="196"/>
      <c r="BA3" s="196"/>
      <c r="BB3" s="196"/>
      <c r="BC3" s="196"/>
      <c r="BD3" s="196"/>
      <c r="BE3" s="196"/>
      <c r="BF3" s="196"/>
      <c r="BG3" s="196"/>
      <c r="BH3" s="196"/>
      <c r="BI3" s="196"/>
      <c r="BJ3" s="196"/>
      <c r="BK3" s="196"/>
      <c r="BL3" s="196"/>
      <c r="BM3" s="196"/>
      <c r="BN3" s="196"/>
      <c r="BO3" s="196"/>
      <c r="BP3" s="196"/>
      <c r="BQ3" s="196"/>
      <c r="BR3" s="196"/>
      <c r="BS3" s="196"/>
      <c r="BT3" s="196"/>
      <c r="BU3" s="196"/>
      <c r="BV3" s="196"/>
      <c r="BW3" s="196"/>
      <c r="BX3" s="196"/>
      <c r="BY3" s="196"/>
      <c r="BZ3" s="196"/>
      <c r="CA3" s="196"/>
      <c r="CB3" s="196"/>
      <c r="CC3" s="196"/>
      <c r="CD3" s="196"/>
      <c r="CE3" s="196"/>
      <c r="CF3" s="196"/>
      <c r="CG3" s="196"/>
      <c r="CH3" s="196"/>
      <c r="CI3" s="196"/>
      <c r="CJ3" s="196"/>
      <c r="CK3" s="196"/>
      <c r="CL3" s="196"/>
      <c r="CM3" s="196"/>
      <c r="CN3" s="196"/>
      <c r="CO3" s="196"/>
      <c r="CP3" s="196"/>
      <c r="CQ3" s="196"/>
      <c r="CR3" s="196"/>
      <c r="CS3" s="196"/>
      <c r="CT3" s="196"/>
      <c r="CU3" s="196"/>
      <c r="CV3" s="196"/>
      <c r="CW3" s="196"/>
      <c r="CX3" s="196"/>
      <c r="CY3" s="196"/>
      <c r="CZ3" s="196"/>
      <c r="DA3" s="196"/>
      <c r="DB3" s="196"/>
      <c r="DC3" s="196"/>
      <c r="DD3" s="196"/>
      <c r="DE3" s="196"/>
      <c r="DF3" s="196"/>
      <c r="DG3" s="196"/>
      <c r="DH3" s="196"/>
      <c r="DI3" s="196"/>
      <c r="DJ3" s="196"/>
      <c r="DK3" s="196"/>
      <c r="DL3" s="196"/>
      <c r="DM3" s="196"/>
      <c r="DN3" s="196"/>
      <c r="DO3" s="196"/>
      <c r="DP3" s="196"/>
      <c r="DQ3" s="196"/>
      <c r="DR3" s="196"/>
      <c r="DS3" s="196"/>
      <c r="DT3" s="196"/>
      <c r="DU3" s="196"/>
      <c r="DV3" s="196"/>
      <c r="DW3" s="196"/>
      <c r="DX3" s="196"/>
      <c r="DY3" s="196"/>
      <c r="DZ3" s="196"/>
      <c r="EA3" s="196"/>
      <c r="EB3" s="196"/>
      <c r="EC3" s="196"/>
      <c r="ED3" s="196"/>
      <c r="EE3" s="196"/>
      <c r="EF3" s="196"/>
      <c r="EG3" s="196"/>
      <c r="EH3" s="196"/>
      <c r="EI3" s="196"/>
      <c r="EJ3" s="196"/>
      <c r="EK3" s="196"/>
      <c r="EL3" s="196"/>
      <c r="EM3" s="196"/>
      <c r="EN3" s="196"/>
      <c r="EO3" s="196"/>
      <c r="EP3" s="196"/>
      <c r="EQ3" s="196"/>
      <c r="ER3" s="196"/>
      <c r="ES3" s="196"/>
      <c r="ET3" s="196"/>
      <c r="EU3" s="196"/>
      <c r="EV3" s="196"/>
      <c r="EW3" s="196"/>
      <c r="EX3" s="196"/>
      <c r="EY3" s="196"/>
      <c r="EZ3" s="196"/>
      <c r="FA3" s="196"/>
      <c r="FB3" s="196"/>
      <c r="FC3" s="196"/>
      <c r="FD3" s="196"/>
    </row>
    <row r="4" spans="1:160" s="199" customFormat="1" ht="15.95" customHeight="1" x14ac:dyDescent="0.25">
      <c r="A4" s="192"/>
      <c r="B4" s="361" t="s">
        <v>0</v>
      </c>
      <c r="C4" s="361"/>
      <c r="D4" s="361"/>
      <c r="E4" s="361"/>
      <c r="F4" s="361"/>
      <c r="G4" s="200"/>
      <c r="H4" s="362"/>
      <c r="I4" s="362"/>
      <c r="J4" s="362"/>
      <c r="K4" s="362"/>
      <c r="L4" s="362"/>
      <c r="M4" s="201"/>
      <c r="N4" s="202"/>
      <c r="O4" s="202"/>
      <c r="P4" s="202"/>
      <c r="Q4" s="202"/>
      <c r="R4" s="202"/>
      <c r="S4" s="202"/>
      <c r="T4" s="366" t="s">
        <v>146</v>
      </c>
      <c r="U4" s="366"/>
      <c r="V4" s="366"/>
      <c r="W4" s="2"/>
      <c r="X4" s="323" t="s">
        <v>282</v>
      </c>
      <c r="Y4" s="325" t="s">
        <v>281</v>
      </c>
      <c r="Z4" s="323" t="s">
        <v>280</v>
      </c>
      <c r="AA4" s="327" t="s">
        <v>283</v>
      </c>
      <c r="AB4" s="197"/>
      <c r="AC4" s="197"/>
      <c r="AD4" s="197"/>
      <c r="AE4" s="197"/>
      <c r="AF4" s="197"/>
      <c r="AG4" s="197"/>
      <c r="AH4" s="198"/>
      <c r="AI4" s="196"/>
      <c r="AJ4" s="196"/>
      <c r="AK4" s="196"/>
      <c r="AL4" s="196"/>
      <c r="AM4" s="196"/>
      <c r="AN4" s="196"/>
      <c r="AO4" s="196"/>
      <c r="AP4" s="196"/>
      <c r="AQ4" s="196"/>
      <c r="AR4" s="196"/>
      <c r="AS4" s="196"/>
      <c r="AT4" s="196"/>
      <c r="AU4" s="196"/>
      <c r="AV4" s="196"/>
      <c r="AW4" s="196"/>
      <c r="AX4" s="196"/>
      <c r="AY4" s="196"/>
      <c r="AZ4" s="196"/>
      <c r="BA4" s="196"/>
      <c r="BB4" s="196"/>
      <c r="BC4" s="196"/>
      <c r="BD4" s="196"/>
      <c r="BE4" s="196"/>
      <c r="BF4" s="196"/>
      <c r="BG4" s="196"/>
      <c r="BH4" s="196"/>
      <c r="BI4" s="196"/>
      <c r="BJ4" s="196"/>
      <c r="BK4" s="196"/>
      <c r="BL4" s="196"/>
      <c r="BM4" s="196"/>
      <c r="BN4" s="196"/>
      <c r="BO4" s="196"/>
      <c r="BP4" s="196"/>
      <c r="BQ4" s="196"/>
      <c r="BR4" s="196"/>
      <c r="BS4" s="196"/>
      <c r="BT4" s="196"/>
      <c r="BU4" s="196"/>
      <c r="BV4" s="196"/>
      <c r="BW4" s="196"/>
      <c r="BX4" s="196"/>
      <c r="BY4" s="196"/>
      <c r="BZ4" s="196"/>
      <c r="CA4" s="196"/>
      <c r="CB4" s="196"/>
      <c r="CC4" s="196"/>
      <c r="CD4" s="196"/>
      <c r="CE4" s="196"/>
      <c r="CF4" s="196"/>
      <c r="CG4" s="196"/>
      <c r="CH4" s="196"/>
      <c r="CI4" s="196"/>
      <c r="CJ4" s="196"/>
      <c r="CK4" s="196"/>
      <c r="CL4" s="196"/>
      <c r="CM4" s="196"/>
      <c r="CN4" s="196"/>
      <c r="CO4" s="196"/>
      <c r="CP4" s="196"/>
      <c r="CQ4" s="196"/>
      <c r="CR4" s="196"/>
      <c r="CS4" s="196"/>
      <c r="CT4" s="196"/>
      <c r="CU4" s="196"/>
      <c r="CV4" s="196"/>
      <c r="CW4" s="196"/>
      <c r="CX4" s="196"/>
      <c r="CY4" s="196"/>
      <c r="CZ4" s="196"/>
      <c r="DA4" s="196"/>
      <c r="DB4" s="196"/>
      <c r="DC4" s="196"/>
      <c r="DD4" s="196"/>
      <c r="DE4" s="196"/>
      <c r="DF4" s="196"/>
      <c r="DG4" s="196"/>
      <c r="DH4" s="196"/>
      <c r="DI4" s="196"/>
      <c r="DJ4" s="196"/>
      <c r="DK4" s="196"/>
      <c r="DL4" s="196"/>
      <c r="DM4" s="196"/>
      <c r="DN4" s="196"/>
      <c r="DO4" s="196"/>
      <c r="DP4" s="196"/>
      <c r="DQ4" s="196"/>
      <c r="DR4" s="196"/>
      <c r="DS4" s="196"/>
      <c r="DT4" s="196"/>
      <c r="DU4" s="196"/>
      <c r="DV4" s="196"/>
      <c r="DW4" s="196"/>
      <c r="DX4" s="196"/>
      <c r="DY4" s="196"/>
      <c r="DZ4" s="196"/>
      <c r="EA4" s="196"/>
      <c r="EB4" s="196"/>
      <c r="EC4" s="196"/>
      <c r="ED4" s="196"/>
      <c r="EE4" s="196"/>
      <c r="EF4" s="196"/>
      <c r="EG4" s="196"/>
      <c r="EH4" s="196"/>
      <c r="EI4" s="196"/>
      <c r="EJ4" s="196"/>
      <c r="EK4" s="196"/>
      <c r="EL4" s="196"/>
      <c r="EM4" s="196"/>
      <c r="EN4" s="196"/>
      <c r="EO4" s="196"/>
      <c r="EP4" s="196"/>
      <c r="EQ4" s="196"/>
      <c r="ER4" s="196"/>
      <c r="ES4" s="196"/>
      <c r="ET4" s="196"/>
      <c r="EU4" s="196"/>
      <c r="EV4" s="196"/>
      <c r="EW4" s="196"/>
      <c r="EX4" s="196"/>
      <c r="EY4" s="196"/>
      <c r="EZ4" s="196"/>
      <c r="FA4" s="196"/>
      <c r="FB4" s="196"/>
      <c r="FC4" s="196"/>
      <c r="FD4" s="196"/>
    </row>
    <row r="5" spans="1:160" s="5" customFormat="1" ht="3" customHeight="1" x14ac:dyDescent="0.4">
      <c r="A5" s="129"/>
      <c r="B5" s="129"/>
      <c r="C5" s="129"/>
      <c r="D5" s="82"/>
      <c r="E5" s="78"/>
      <c r="F5" s="78"/>
      <c r="G5" s="78"/>
      <c r="H5" s="78"/>
      <c r="I5" s="78"/>
      <c r="J5" s="78"/>
      <c r="K5" s="78"/>
      <c r="L5" s="78"/>
      <c r="M5" s="78"/>
      <c r="N5" s="58"/>
      <c r="O5" s="58"/>
      <c r="P5" s="58"/>
      <c r="Q5" s="58"/>
      <c r="R5" s="58"/>
      <c r="S5" s="58"/>
      <c r="T5" s="24"/>
      <c r="U5" s="18"/>
      <c r="V5" s="18"/>
      <c r="Z5" s="18"/>
      <c r="AA5" s="18"/>
      <c r="AB5" s="18"/>
      <c r="AC5" s="18"/>
      <c r="AD5" s="18"/>
      <c r="AE5" s="18"/>
      <c r="AF5" s="18"/>
      <c r="AG5" s="18"/>
      <c r="AH5" s="20"/>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row>
    <row r="6" spans="1:160" ht="14.45" customHeight="1" x14ac:dyDescent="0.25">
      <c r="A6" s="130"/>
      <c r="B6" s="372" t="s">
        <v>55</v>
      </c>
      <c r="C6" s="372"/>
      <c r="D6" s="372"/>
      <c r="E6" s="372"/>
      <c r="F6" s="372"/>
      <c r="G6" s="131"/>
      <c r="H6" s="372" t="s">
        <v>56</v>
      </c>
      <c r="I6" s="372"/>
      <c r="J6" s="372"/>
      <c r="K6" s="372"/>
      <c r="L6" s="372"/>
      <c r="M6" s="118"/>
      <c r="N6" s="171"/>
      <c r="P6" s="7"/>
      <c r="Q6" s="7"/>
      <c r="R6" s="7"/>
      <c r="S6" s="7"/>
      <c r="T6" s="370" t="s">
        <v>144</v>
      </c>
      <c r="U6" s="364" t="s">
        <v>145</v>
      </c>
      <c r="V6" s="364" t="s">
        <v>143</v>
      </c>
      <c r="X6" s="326">
        <v>0</v>
      </c>
      <c r="Y6" s="321">
        <v>7500</v>
      </c>
      <c r="Z6" s="322">
        <v>10</v>
      </c>
      <c r="AA6" s="2" t="str">
        <f ca="1">IF(X6&lt;=-$I$8, IF(-$I$8&lt;Y6, Z6*12, " "), " ")</f>
        <v xml:space="preserve"> </v>
      </c>
    </row>
    <row r="7" spans="1:160" x14ac:dyDescent="0.25">
      <c r="A7" s="130"/>
      <c r="B7" s="204" t="s">
        <v>57</v>
      </c>
      <c r="C7" s="118" t="s">
        <v>58</v>
      </c>
      <c r="D7" s="118"/>
      <c r="E7" s="153">
        <v>12</v>
      </c>
      <c r="F7" s="118"/>
      <c r="G7" s="118"/>
      <c r="H7" s="373" t="s">
        <v>59</v>
      </c>
      <c r="I7" s="373"/>
      <c r="J7" s="118"/>
      <c r="K7" s="373" t="s">
        <v>60</v>
      </c>
      <c r="L7" s="373"/>
      <c r="M7" s="118"/>
      <c r="N7" s="171"/>
      <c r="P7" s="54"/>
      <c r="T7" s="371"/>
      <c r="U7" s="365"/>
      <c r="V7" s="365"/>
      <c r="X7" s="326">
        <f>Y6</f>
        <v>7500</v>
      </c>
      <c r="Y7" s="321">
        <v>10000</v>
      </c>
      <c r="Z7" s="322">
        <v>12</v>
      </c>
      <c r="AA7" s="2" t="str">
        <f t="shared" ref="AA7:AA11" ca="1" si="0">IF(X7&lt;=-$I$8, IF(-$I$8&lt;Y7, Z7*12, " "), " ")</f>
        <v xml:space="preserve"> </v>
      </c>
      <c r="AB7" s="12"/>
      <c r="AC7" s="12"/>
      <c r="AD7" s="12"/>
      <c r="AE7" s="12"/>
      <c r="AF7" s="12"/>
    </row>
    <row r="8" spans="1:160" x14ac:dyDescent="0.25">
      <c r="A8" s="130"/>
      <c r="B8" s="204" t="s">
        <v>142</v>
      </c>
      <c r="C8" s="268" t="s">
        <v>61</v>
      </c>
      <c r="D8" s="118"/>
      <c r="E8" s="153">
        <f>IF(C8="Semester", U8, IF(C8="Quarter", U9, " "))</f>
        <v>3</v>
      </c>
      <c r="F8" s="118"/>
      <c r="G8" s="118"/>
      <c r="H8" s="153" t="s">
        <v>62</v>
      </c>
      <c r="I8" s="303">
        <f ca="1">IF($E$8=3, L41, L79)</f>
        <v>-99428.040348529583</v>
      </c>
      <c r="J8" s="118"/>
      <c r="K8" s="118" t="s">
        <v>63</v>
      </c>
      <c r="L8" s="303">
        <f>IF($E$8=3, Y41, Y79)</f>
        <v>2038.6622275910313</v>
      </c>
      <c r="M8" s="118"/>
      <c r="N8" s="7"/>
      <c r="T8" s="268" t="s">
        <v>61</v>
      </c>
      <c r="U8" s="270">
        <v>3</v>
      </c>
      <c r="V8" s="273">
        <v>15</v>
      </c>
      <c r="X8" s="326">
        <f t="shared" ref="X8:X11" si="1">Y7</f>
        <v>10000</v>
      </c>
      <c r="Y8" s="321">
        <v>20000</v>
      </c>
      <c r="Z8" s="322">
        <v>15</v>
      </c>
      <c r="AA8" s="2" t="str">
        <f t="shared" ca="1" si="0"/>
        <v xml:space="preserve"> </v>
      </c>
      <c r="AB8" s="12"/>
      <c r="AC8" s="12"/>
      <c r="AD8" s="12"/>
      <c r="AE8" s="12"/>
      <c r="AF8" s="12"/>
    </row>
    <row r="9" spans="1:160" x14ac:dyDescent="0.25">
      <c r="A9" s="130"/>
      <c r="B9" s="204" t="s">
        <v>64</v>
      </c>
      <c r="C9" s="368" t="s">
        <v>65</v>
      </c>
      <c r="D9" s="368"/>
      <c r="E9" s="153">
        <v>0</v>
      </c>
      <c r="F9" s="118"/>
      <c r="G9" s="118"/>
      <c r="H9" s="153" t="s">
        <v>66</v>
      </c>
      <c r="I9" s="303">
        <f ca="1">IF($E$8=3, R41, R79)</f>
        <v>51251.686010205674</v>
      </c>
      <c r="J9" s="118"/>
      <c r="K9" s="118" t="s">
        <v>67</v>
      </c>
      <c r="L9" s="303">
        <f>IF($E$8=3, Z41, Z79)</f>
        <v>4540.0033075591909</v>
      </c>
      <c r="M9" s="118"/>
      <c r="N9" s="53"/>
      <c r="O9" s="56"/>
      <c r="P9" s="7"/>
      <c r="R9" s="12"/>
      <c r="T9" s="268" t="s">
        <v>111</v>
      </c>
      <c r="U9" s="270">
        <v>4</v>
      </c>
      <c r="V9" s="273">
        <v>45</v>
      </c>
      <c r="W9" s="53"/>
      <c r="X9" s="326">
        <f t="shared" si="1"/>
        <v>20000</v>
      </c>
      <c r="Y9" s="321">
        <v>40000</v>
      </c>
      <c r="Z9" s="322">
        <v>20</v>
      </c>
      <c r="AA9" s="2" t="str">
        <f t="shared" ca="1" si="0"/>
        <v xml:space="preserve"> </v>
      </c>
      <c r="AB9" s="171"/>
      <c r="AC9" s="171"/>
      <c r="AD9" s="12"/>
      <c r="AE9" s="12"/>
      <c r="AF9" s="12"/>
    </row>
    <row r="10" spans="1:160" x14ac:dyDescent="0.25">
      <c r="A10" s="130"/>
      <c r="B10" s="204" t="s">
        <v>68</v>
      </c>
      <c r="C10" s="368" t="s">
        <v>69</v>
      </c>
      <c r="D10" s="368"/>
      <c r="E10" s="270">
        <v>52</v>
      </c>
      <c r="F10" s="118"/>
      <c r="G10" s="118"/>
      <c r="H10" s="118" t="s">
        <v>70</v>
      </c>
      <c r="I10" s="162">
        <f ca="1">IF($E$8=3, X41, X79)</f>
        <v>1</v>
      </c>
      <c r="J10" s="118"/>
      <c r="K10" s="118" t="s">
        <v>71</v>
      </c>
      <c r="L10" s="303">
        <f>IF($E$8=3, AA41, AA79)</f>
        <v>2724.001984535515</v>
      </c>
      <c r="M10" s="118"/>
      <c r="N10" s="53"/>
      <c r="O10" s="56"/>
      <c r="P10" s="7"/>
      <c r="W10" s="53"/>
      <c r="X10" s="326">
        <f t="shared" si="1"/>
        <v>40000</v>
      </c>
      <c r="Y10" s="321">
        <v>60000</v>
      </c>
      <c r="Z10" s="322">
        <v>25</v>
      </c>
      <c r="AA10" s="2" t="str">
        <f t="shared" ca="1" si="0"/>
        <v xml:space="preserve"> </v>
      </c>
      <c r="AB10" s="171"/>
      <c r="AC10" s="171"/>
      <c r="AD10" s="12"/>
      <c r="AE10" s="12"/>
      <c r="AF10" s="12"/>
    </row>
    <row r="11" spans="1:160" ht="14.1" customHeight="1" x14ac:dyDescent="0.25">
      <c r="A11" s="130"/>
      <c r="B11" s="204"/>
      <c r="C11" s="369" t="s">
        <v>140</v>
      </c>
      <c r="D11" s="369"/>
      <c r="E11" s="271">
        <v>3520</v>
      </c>
      <c r="F11" s="118"/>
      <c r="G11" s="118"/>
      <c r="H11" s="118"/>
      <c r="I11" s="178"/>
      <c r="J11" s="118"/>
      <c r="K11" s="118"/>
      <c r="L11" s="179"/>
      <c r="M11" s="118"/>
      <c r="N11" s="53"/>
      <c r="O11" s="56"/>
      <c r="P11" s="7"/>
      <c r="W11" s="53"/>
      <c r="X11" s="326">
        <f t="shared" si="1"/>
        <v>60000</v>
      </c>
      <c r="Y11" s="321">
        <v>9990000</v>
      </c>
      <c r="Z11" s="322">
        <v>30</v>
      </c>
      <c r="AA11" s="2">
        <f t="shared" ca="1" si="0"/>
        <v>360</v>
      </c>
      <c r="AB11" s="56"/>
      <c r="AC11" s="56"/>
      <c r="AD11" s="56"/>
      <c r="AE11" s="56"/>
      <c r="AF11" s="56"/>
    </row>
    <row r="12" spans="1:160" ht="14.1" customHeight="1" x14ac:dyDescent="0.25">
      <c r="A12" s="130"/>
      <c r="B12" s="205"/>
      <c r="C12" s="368" t="s">
        <v>141</v>
      </c>
      <c r="D12" s="368"/>
      <c r="E12" s="270">
        <v>0</v>
      </c>
      <c r="F12" s="118"/>
      <c r="G12" s="118"/>
      <c r="H12" s="118"/>
      <c r="I12" s="178"/>
      <c r="J12" s="118"/>
      <c r="K12" s="118"/>
      <c r="L12" s="179"/>
      <c r="M12" s="118"/>
      <c r="N12" s="53"/>
      <c r="O12" s="56"/>
      <c r="P12" s="7"/>
      <c r="W12" s="53"/>
      <c r="AA12" s="56"/>
      <c r="AB12" s="56"/>
      <c r="AC12" s="56"/>
      <c r="AD12" s="56"/>
      <c r="AE12" s="56"/>
      <c r="AF12" s="56"/>
    </row>
    <row r="13" spans="1:160" ht="18" customHeight="1" x14ac:dyDescent="0.25">
      <c r="A13" s="118"/>
      <c r="B13" s="204"/>
      <c r="C13" s="363" t="s">
        <v>109</v>
      </c>
      <c r="D13" s="363"/>
      <c r="E13" s="272">
        <v>2017</v>
      </c>
      <c r="F13" s="118"/>
      <c r="G13" s="167"/>
      <c r="H13" s="372" t="s">
        <v>72</v>
      </c>
      <c r="I13" s="372"/>
      <c r="J13" s="372"/>
      <c r="K13" s="372"/>
      <c r="L13" s="372"/>
      <c r="M13" s="153"/>
      <c r="N13" s="372" t="s">
        <v>73</v>
      </c>
      <c r="O13" s="372"/>
      <c r="P13" s="372"/>
      <c r="Q13" s="372"/>
      <c r="R13" s="372"/>
      <c r="S13" s="118"/>
      <c r="T13" s="131"/>
      <c r="U13" s="118"/>
      <c r="V13" s="131"/>
      <c r="W13" s="118"/>
      <c r="X13" s="118"/>
      <c r="Y13" s="118"/>
      <c r="Z13" s="118" t="s">
        <v>8</v>
      </c>
      <c r="AA13" s="118" t="s">
        <v>74</v>
      </c>
    </row>
    <row r="14" spans="1:160" ht="48" customHeight="1" thickBot="1" x14ac:dyDescent="0.3">
      <c r="A14" s="118"/>
      <c r="B14" s="132" t="s">
        <v>75</v>
      </c>
      <c r="C14" s="133" t="s">
        <v>65</v>
      </c>
      <c r="D14" s="132" t="s">
        <v>76</v>
      </c>
      <c r="E14" s="134" t="s">
        <v>63</v>
      </c>
      <c r="F14" s="134" t="s">
        <v>12</v>
      </c>
      <c r="G14" s="134"/>
      <c r="H14" s="134" t="s">
        <v>11</v>
      </c>
      <c r="I14" s="134" t="s">
        <v>77</v>
      </c>
      <c r="J14" s="134" t="s">
        <v>78</v>
      </c>
      <c r="K14" s="134" t="s">
        <v>79</v>
      </c>
      <c r="L14" s="134" t="s">
        <v>80</v>
      </c>
      <c r="M14" s="134"/>
      <c r="N14" s="134" t="s">
        <v>81</v>
      </c>
      <c r="O14" s="134" t="s">
        <v>82</v>
      </c>
      <c r="P14" s="134" t="s">
        <v>83</v>
      </c>
      <c r="Q14" s="134" t="s">
        <v>84</v>
      </c>
      <c r="R14" s="134" t="s">
        <v>85</v>
      </c>
      <c r="S14" s="118"/>
      <c r="T14" s="118" t="s">
        <v>86</v>
      </c>
      <c r="U14" s="142" t="s">
        <v>87</v>
      </c>
      <c r="V14" s="143" t="s">
        <v>88</v>
      </c>
      <c r="W14" s="143" t="s">
        <v>89</v>
      </c>
      <c r="X14" s="143" t="s">
        <v>90</v>
      </c>
      <c r="Y14" s="143" t="s">
        <v>91</v>
      </c>
      <c r="Z14" s="143" t="s">
        <v>92</v>
      </c>
      <c r="AA14" s="143" t="s">
        <v>92</v>
      </c>
    </row>
    <row r="15" spans="1:160" s="281" customFormat="1" x14ac:dyDescent="0.25">
      <c r="A15" s="274"/>
      <c r="B15" s="275">
        <v>1</v>
      </c>
      <c r="C15" s="275">
        <f t="shared" ref="C15:C38" si="2">IF($E$8=3, ($E$9+$E$7*(B15-1)/$E$8), "Quarter")</f>
        <v>0</v>
      </c>
      <c r="D15" s="276" t="str">
        <f xml:space="preserve"> "Summer " &amp; (0+$E$13)</f>
        <v>Summer 2017</v>
      </c>
      <c r="E15" s="304">
        <f>-('Cost of Living'!$D$16/$E$8)*(1+'Government Figures'!$B$8/$E$8)^(C15/$E$7)</f>
        <v>-7923.2</v>
      </c>
      <c r="F15" s="304">
        <f>IF($E$8=3, ('Career Comparison'!$D$20/$E$8)*(1+'Government Figures'!$B$8/$E$8)^(C15/$E$7), "#VALUE!")</f>
        <v>2333.3333333333335</v>
      </c>
      <c r="G15" s="294"/>
      <c r="H15" s="304">
        <f>IF($E$8=3, ('Career Comparison'!$C$20/$E$8)*(1+'Government Figures'!$B$8/$E$8)^(C15/$E$7), "#VALUE!")</f>
        <v>1666.6666666666667</v>
      </c>
      <c r="I15" s="294"/>
      <c r="J15" s="294"/>
      <c r="K15" s="304">
        <f>SUM(E15:J15)</f>
        <v>-3923.2</v>
      </c>
      <c r="L15" s="304">
        <f>K15*(1+'Government Figures'!$D$8)^(($E$10-$C15)/$E$7)</f>
        <v>-4737.8034575240727</v>
      </c>
      <c r="M15" s="274"/>
      <c r="N15" s="278">
        <v>1</v>
      </c>
      <c r="O15" s="279">
        <f>'Government Figures'!$I$37</f>
        <v>0.13735784313725496</v>
      </c>
      <c r="P15" s="304">
        <f>N15*(1-O15)*('Career Comparison'!$F$15/$E$8)*(1+'Government Figures'!$B$8)^(C15/$E$7)</f>
        <v>8626.4215686274511</v>
      </c>
      <c r="Q15" s="304">
        <f t="shared" ref="Q15:Q38" si="3">IF($E$8=3, (E15+F15+P15), "#VALUE!")</f>
        <v>3036.5549019607843</v>
      </c>
      <c r="R15" s="304">
        <f>Q15*(1+'Government Figures'!$D$8)^(($E$10-$C15)/$E$7)</f>
        <v>3667.0575839802905</v>
      </c>
      <c r="S15" s="294"/>
      <c r="T15" s="294"/>
      <c r="U15" s="294"/>
      <c r="V15" s="274"/>
      <c r="W15" s="274">
        <f>SUM($V$15:V15)</f>
        <v>0</v>
      </c>
      <c r="X15" s="280" t="str">
        <f t="shared" ref="X15:X38" si="4">IF($E$10=C15, W15/4, " ")</f>
        <v xml:space="preserve"> </v>
      </c>
      <c r="Y15" s="309" t="str">
        <f t="shared" ref="Y15:Y38" si="5">IF($E$10=C15, -$E$8*E15/12, " ")</f>
        <v xml:space="preserve"> </v>
      </c>
      <c r="Z15" s="309" t="str">
        <f>IF($E$10=C15, (('Career Comparison'!$C$15/$E$8)*(1+'Government Figures'!$B$8)^(C15/$E$7)*$E$8/12), " ")</f>
        <v xml:space="preserve"> </v>
      </c>
      <c r="AA15" s="309" t="str">
        <f t="shared" ref="AA15:AA38" si="6">IF($E$10=C15, $E$8*P15/(12*(1-O15)), " ")</f>
        <v xml:space="preserve"> </v>
      </c>
    </row>
    <row r="16" spans="1:160" s="281" customFormat="1" x14ac:dyDescent="0.25">
      <c r="A16" s="274"/>
      <c r="B16" s="275">
        <f>B15+1</f>
        <v>2</v>
      </c>
      <c r="C16" s="275">
        <f t="shared" si="2"/>
        <v>4</v>
      </c>
      <c r="D16" s="276" t="str">
        <f>"Fall " &amp; (0+$E$13)</f>
        <v>Fall 2017</v>
      </c>
      <c r="E16" s="304">
        <f>-('Cost of Living'!$D$16/$E$8)*(1+'Government Figures'!$B$8/$E$8)^(C16/$E$7)</f>
        <v>-7940.7681284710934</v>
      </c>
      <c r="F16" s="304">
        <f>IF($E$8=3, ('Career Comparison'!$D$20/$E$8)*(1+'Government Figures'!$B$8/$E$8)^(C16/$E$7), "#VALUE!")</f>
        <v>2338.5070383724446</v>
      </c>
      <c r="G16" s="304"/>
      <c r="H16" s="304">
        <f>IF($E$8=3, ('Career Comparison'!$C$20/$E$8)*(1+'Government Figures'!$B$8/$E$8)^(C16/$E$7), "#VALUE!")</f>
        <v>1670.3621702660319</v>
      </c>
      <c r="I16" s="304">
        <f>IF($E$8=3, ('Career Comparison'!$E$20/2)*(1+'Government Figures'!$B$8)^(C16/$E$7), "#VALUE!")</f>
        <v>2516.5567739002827</v>
      </c>
      <c r="J16" s="304">
        <f>IF(C16&lt;=$E$12, -('College Schedule'!$E$11/2)*(1+'Government Figures'!$C$8)^(C16/$E$7), -('Career Comparison'!$F$20/2)*(1+'Government Figures'!$C$8)^(C16/$E$7))</f>
        <v>-6069.1988516966449</v>
      </c>
      <c r="K16" s="304">
        <f t="shared" ref="K16:K38" si="7">SUM(E16:J16)</f>
        <v>-7484.5409976289793</v>
      </c>
      <c r="L16" s="304">
        <f>K16*(1+'Government Figures'!$D$8)^(($E$10-$C16)/$E$7)</f>
        <v>-8908.3844035662332</v>
      </c>
      <c r="M16" s="277"/>
      <c r="N16" s="278">
        <v>1</v>
      </c>
      <c r="O16" s="279">
        <f>'Government Figures'!$I$37</f>
        <v>0.13735784313725496</v>
      </c>
      <c r="P16" s="304">
        <f>N16*(1-O16)*('Career Comparison'!$F$15/$E$8)*(1+'Government Figures'!$B$8)^(C16/$E$7)</f>
        <v>8683.5518532195656</v>
      </c>
      <c r="Q16" s="304">
        <f t="shared" si="3"/>
        <v>3081.2907631209164</v>
      </c>
      <c r="R16" s="304">
        <f>Q16*(1+'Government Figures'!$D$8)^(($E$10-$C16)/$E$7)</f>
        <v>3667.4690653354314</v>
      </c>
      <c r="S16" s="294"/>
      <c r="T16" s="294"/>
      <c r="U16" s="294"/>
      <c r="V16" s="274"/>
      <c r="W16" s="274">
        <f>SUM($V$15:V16)</f>
        <v>0</v>
      </c>
      <c r="X16" s="280" t="str">
        <f t="shared" si="4"/>
        <v xml:space="preserve"> </v>
      </c>
      <c r="Y16" s="309" t="str">
        <f t="shared" si="5"/>
        <v xml:space="preserve"> </v>
      </c>
      <c r="Z16" s="309" t="str">
        <f>IF($E$10=C16, (('Career Comparison'!$C$15/$E$8)*(1+'Government Figures'!$B$8)^(C16/$E$7)*$E$8/12), " ")</f>
        <v xml:space="preserve"> </v>
      </c>
      <c r="AA16" s="309" t="str">
        <f t="shared" si="6"/>
        <v xml:space="preserve"> </v>
      </c>
    </row>
    <row r="17" spans="1:27" s="281" customFormat="1" x14ac:dyDescent="0.25">
      <c r="A17" s="274"/>
      <c r="B17" s="275">
        <f t="shared" ref="B17:B38" si="8">B16+1</f>
        <v>3</v>
      </c>
      <c r="C17" s="275">
        <f t="shared" si="2"/>
        <v>8</v>
      </c>
      <c r="D17" s="276" t="str">
        <f xml:space="preserve"> "Spring " &amp; (1+$E$13)</f>
        <v>Spring 2018</v>
      </c>
      <c r="E17" s="304">
        <f>-('Cost of Living'!$D$16/$E$8)*(1+'Government Figures'!$B$8/$E$8)^(C17/$E$7)</f>
        <v>-7958.375210791387</v>
      </c>
      <c r="F17" s="304">
        <f>IF($E$8=3, ('Career Comparison'!$D$20/$E$8)*(1+'Government Figures'!$B$8/$E$8)^(C17/$E$7), "#VALUE!")</f>
        <v>2343.6922150789123</v>
      </c>
      <c r="G17" s="304"/>
      <c r="H17" s="304">
        <f>IF($E$8=3, ('Career Comparison'!$C$20/$E$8)*(1+'Government Figures'!$B$8/$E$8)^(C17/$E$7), "#VALUE!")</f>
        <v>1674.0658679135088</v>
      </c>
      <c r="I17" s="304">
        <f>IF($E$8=3, ('Career Comparison'!$E$20/2)*(1+'Government Figures'!$B$8)^(C17/$E$7), "#VALUE!")</f>
        <v>2533.2231985053586</v>
      </c>
      <c r="J17" s="304">
        <f>IF(C17&lt;=$E$12, -('College Schedule'!$E$11/2)*(1+'Government Figures'!$C$8)^(C17/$E$7), -('Career Comparison'!$F$20/2)*(1+'Government Figures'!$C$8)^(C17/$E$7))</f>
        <v>-6139.1957835726471</v>
      </c>
      <c r="K17" s="304">
        <f t="shared" si="7"/>
        <v>-7546.5897128662546</v>
      </c>
      <c r="L17" s="304">
        <f>K17*(1+'Government Figures'!$D$8)^(($E$10-$C17)/$E$7)</f>
        <v>-8852.8213805522428</v>
      </c>
      <c r="M17" s="277"/>
      <c r="N17" s="278">
        <v>1</v>
      </c>
      <c r="O17" s="279">
        <f>'Government Figures'!$I$37</f>
        <v>0.13735784313725496</v>
      </c>
      <c r="P17" s="304">
        <f>N17*(1-O17)*('Career Comparison'!$F$15/$E$8)*(1+'Government Figures'!$B$8)^(C17/$E$7)</f>
        <v>8741.0604950936176</v>
      </c>
      <c r="Q17" s="304">
        <f t="shared" si="3"/>
        <v>3126.377499381143</v>
      </c>
      <c r="R17" s="304">
        <f>Q17*(1+'Government Figures'!$D$8)^(($E$10-$C17)/$E$7)</f>
        <v>3667.5190547343</v>
      </c>
      <c r="S17" s="294"/>
      <c r="T17" s="294">
        <f>SUM(K15:K17)</f>
        <v>-18954.330710495233</v>
      </c>
      <c r="U17" s="309">
        <v>9500</v>
      </c>
      <c r="V17" s="274">
        <f>IF(-T17&gt;U17, 1, 0)</f>
        <v>1</v>
      </c>
      <c r="W17" s="274">
        <f>SUM($V$15:V17)</f>
        <v>1</v>
      </c>
      <c r="X17" s="280" t="str">
        <f t="shared" si="4"/>
        <v xml:space="preserve"> </v>
      </c>
      <c r="Y17" s="309" t="str">
        <f t="shared" si="5"/>
        <v xml:space="preserve"> </v>
      </c>
      <c r="Z17" s="309" t="str">
        <f>IF($E$10=C17, (('Career Comparison'!$C$15/$E$8)*(1+'Government Figures'!$B$8)^(C17/$E$7)*$E$8/12), " ")</f>
        <v xml:space="preserve"> </v>
      </c>
      <c r="AA17" s="309" t="str">
        <f t="shared" si="6"/>
        <v xml:space="preserve"> </v>
      </c>
    </row>
    <row r="18" spans="1:27" s="281" customFormat="1" x14ac:dyDescent="0.25">
      <c r="A18" s="274"/>
      <c r="B18" s="275">
        <f t="shared" si="8"/>
        <v>4</v>
      </c>
      <c r="C18" s="275">
        <f t="shared" si="2"/>
        <v>12</v>
      </c>
      <c r="D18" s="276" t="str">
        <f xml:space="preserve"> "Summer " &amp; (1+$E$13)</f>
        <v>Summer 2018</v>
      </c>
      <c r="E18" s="304">
        <f>-('Cost of Living'!$D$16/$E$8)*(1+'Government Figures'!$B$8/$E$8)^(C18/$E$7)</f>
        <v>-7976.0213333333322</v>
      </c>
      <c r="F18" s="304">
        <f>IF($E$8=3, ('Career Comparison'!$D$20/$E$8)*(1+'Government Figures'!$B$8/$E$8)^(C18/$E$7), "#VALUE!")</f>
        <v>2348.8888888888887</v>
      </c>
      <c r="G18" s="304"/>
      <c r="H18" s="304">
        <f>IF($E$8=3, ('Career Comparison'!$C$20/$E$8)*(1+'Government Figures'!$B$8/$E$8)^(C18/$E$7), "#VALUE!")</f>
        <v>1677.7777777777778</v>
      </c>
      <c r="I18" s="304"/>
      <c r="J18" s="304"/>
      <c r="K18" s="304">
        <f t="shared" si="7"/>
        <v>-3949.3546666666657</v>
      </c>
      <c r="L18" s="304">
        <f>K18*(1+'Government Figures'!$D$8)^(($E$10-$C18)/$E$7)</f>
        <v>-4566.1932158042755</v>
      </c>
      <c r="M18" s="277"/>
      <c r="N18" s="278">
        <v>1</v>
      </c>
      <c r="O18" s="279">
        <f>'Government Figures'!$I$37</f>
        <v>0.13735784313725496</v>
      </c>
      <c r="P18" s="304">
        <f>N18*(1-O18)*('Career Comparison'!$F$15/$E$8)*(1+'Government Figures'!$B$8)^(C18/$E$7)</f>
        <v>8798.9500000000007</v>
      </c>
      <c r="Q18" s="304">
        <f t="shared" si="3"/>
        <v>3171.8175555555572</v>
      </c>
      <c r="R18" s="304">
        <f>Q18*(1+'Government Figures'!$D$8)^(($E$10-$C18)/$E$7)</f>
        <v>3667.2147797176035</v>
      </c>
      <c r="S18" s="294"/>
      <c r="T18" s="294"/>
      <c r="U18" s="294"/>
      <c r="V18" s="274"/>
      <c r="W18" s="274">
        <f>SUM($V$15:V18)</f>
        <v>1</v>
      </c>
      <c r="X18" s="280" t="str">
        <f t="shared" si="4"/>
        <v xml:space="preserve"> </v>
      </c>
      <c r="Y18" s="309" t="str">
        <f t="shared" si="5"/>
        <v xml:space="preserve"> </v>
      </c>
      <c r="Z18" s="309" t="str">
        <f>IF($E$10=C18, (('Career Comparison'!$C$15/$E$8)*(1+'Government Figures'!$B$8)^(C18/$E$7)*$E$8/12), " ")</f>
        <v xml:space="preserve"> </v>
      </c>
      <c r="AA18" s="309" t="str">
        <f t="shared" si="6"/>
        <v xml:space="preserve"> </v>
      </c>
    </row>
    <row r="19" spans="1:27" s="281" customFormat="1" x14ac:dyDescent="0.25">
      <c r="A19" s="274"/>
      <c r="B19" s="275">
        <f t="shared" si="8"/>
        <v>5</v>
      </c>
      <c r="C19" s="275">
        <f t="shared" si="2"/>
        <v>16</v>
      </c>
      <c r="D19" s="276" t="str">
        <f>"Fall " &amp; (1+$E$13)</f>
        <v>Fall 2018</v>
      </c>
      <c r="E19" s="304">
        <f>-('Cost of Living'!$D$16/$E$8)*(1+'Government Figures'!$B$8/$E$8)^(C19/$E$7)</f>
        <v>-7993.7065826608996</v>
      </c>
      <c r="F19" s="304">
        <f>IF($E$8=3, ('Career Comparison'!$D$20/$E$8)*(1+'Government Figures'!$B$8/$E$8)^(C19/$E$7), "#VALUE!")</f>
        <v>2354.0970852949272</v>
      </c>
      <c r="G19" s="304"/>
      <c r="H19" s="304">
        <f>IF($E$8=3, ('Career Comparison'!$C$20/$E$8)*(1+'Government Figures'!$B$8/$E$8)^(C19/$E$7), "#VALUE!")</f>
        <v>1681.4979180678051</v>
      </c>
      <c r="I19" s="304">
        <f>IF($E$8=3, ('Career Comparison'!$E$20/2)*(1+'Government Figures'!$B$8)^(C19/$E$7), "#VALUE!")</f>
        <v>2566.887909378288</v>
      </c>
      <c r="J19" s="304">
        <f>IF(C19&lt;=$E$12, -('College Schedule'!$E$11/2)*(1+'Government Figures'!$C$8)^(C19/$E$7), -('Career Comparison'!$F$20/2)*(1+'Government Figures'!$C$8)^(C19/$E$7))</f>
        <v>-6281.6208115060272</v>
      </c>
      <c r="K19" s="304">
        <f t="shared" si="7"/>
        <v>-7672.8444814259074</v>
      </c>
      <c r="L19" s="304">
        <f>K19*(1+'Government Figures'!$D$8)^(($E$10-$C19)/$E$7)</f>
        <v>-8743.4278102369481</v>
      </c>
      <c r="M19" s="277"/>
      <c r="N19" s="278">
        <v>1</v>
      </c>
      <c r="O19" s="279">
        <f>'Government Figures'!$I$37</f>
        <v>0.13735784313725496</v>
      </c>
      <c r="P19" s="304">
        <f>N19*(1-O19)*('Career Comparison'!$F$15/$E$8)*(1+'Government Figures'!$B$8)^(C19/$E$7)</f>
        <v>8857.2228902839561</v>
      </c>
      <c r="Q19" s="304">
        <f t="shared" si="3"/>
        <v>3217.6133929179832</v>
      </c>
      <c r="R19" s="304">
        <f>Q19*(1+'Government Figures'!$D$8)^(($E$10-$C19)/$E$7)</f>
        <v>3666.5633573485097</v>
      </c>
      <c r="S19" s="294"/>
      <c r="T19" s="294"/>
      <c r="U19" s="309"/>
      <c r="V19" s="274"/>
      <c r="W19" s="274">
        <f>SUM($V$15:V19)</f>
        <v>1</v>
      </c>
      <c r="X19" s="280" t="str">
        <f t="shared" si="4"/>
        <v xml:space="preserve"> </v>
      </c>
      <c r="Y19" s="309" t="str">
        <f t="shared" si="5"/>
        <v xml:space="preserve"> </v>
      </c>
      <c r="Z19" s="309" t="str">
        <f>IF($E$10=C19, (('Career Comparison'!$C$15/$E$8)*(1+'Government Figures'!$B$8)^(C19/$E$7)*$E$8/12), " ")</f>
        <v xml:space="preserve"> </v>
      </c>
      <c r="AA19" s="309" t="str">
        <f t="shared" si="6"/>
        <v xml:space="preserve"> </v>
      </c>
    </row>
    <row r="20" spans="1:27" s="281" customFormat="1" x14ac:dyDescent="0.25">
      <c r="A20" s="274"/>
      <c r="B20" s="275">
        <f t="shared" si="8"/>
        <v>6</v>
      </c>
      <c r="C20" s="275">
        <f t="shared" si="2"/>
        <v>20</v>
      </c>
      <c r="D20" s="276" t="str">
        <f xml:space="preserve"> "Spring " &amp; (2+$E$13)</f>
        <v>Spring 2019</v>
      </c>
      <c r="E20" s="304">
        <f>-('Cost of Living'!$D$16/$E$8)*(1+'Government Figures'!$B$8/$E$8)^(C20/$E$7)</f>
        <v>-8011.4310455299947</v>
      </c>
      <c r="F20" s="304">
        <f>IF($E$8=3, ('Career Comparison'!$D$20/$E$8)*(1+'Government Figures'!$B$8/$E$8)^(C20/$E$7), "#VALUE!")</f>
        <v>2359.3168298461046</v>
      </c>
      <c r="G20" s="304"/>
      <c r="H20" s="304">
        <f>IF($E$8=3, ('Career Comparison'!$C$20/$E$8)*(1+'Government Figures'!$B$8/$E$8)^(C20/$E$7), "#VALUE!")</f>
        <v>1685.2263070329318</v>
      </c>
      <c r="I20" s="304">
        <f>IF($E$8=3, ('Career Comparison'!$E$20/2)*(1+'Government Figures'!$B$8)^(C20/$E$7), "#VALUE!")</f>
        <v>2583.8876624754657</v>
      </c>
      <c r="J20" s="304">
        <f>IF(C20&lt;=$E$12, -('College Schedule'!$E$11/2)*(1+'Government Figures'!$C$8)^(C20/$E$7), -('Career Comparison'!$F$20/2)*(1+'Government Figures'!$C$8)^(C20/$E$7))</f>
        <v>-6354.0676359976887</v>
      </c>
      <c r="K20" s="304">
        <f t="shared" si="7"/>
        <v>-7737.0678821731817</v>
      </c>
      <c r="L20" s="304">
        <f>K20*(1+'Government Figures'!$D$8)^(($E$10-$C20)/$E$7)</f>
        <v>-8689.5827915064037</v>
      </c>
      <c r="M20" s="277"/>
      <c r="N20" s="278">
        <v>1</v>
      </c>
      <c r="O20" s="279">
        <f>'Government Figures'!$I$37</f>
        <v>0.13735784313725496</v>
      </c>
      <c r="P20" s="304">
        <f>N20*(1-O20)*('Career Comparison'!$F$15/$E$8)*(1+'Government Figures'!$B$8)^(C20/$E$7)</f>
        <v>8915.8817049954905</v>
      </c>
      <c r="Q20" s="304">
        <f t="shared" si="3"/>
        <v>3263.7674893116</v>
      </c>
      <c r="R20" s="304">
        <f>Q20*(1+'Government Figures'!$D$8)^(($E$10-$C20)/$E$7)</f>
        <v>3665.571795737455</v>
      </c>
      <c r="S20" s="294"/>
      <c r="T20" s="294">
        <f>SUM(K18:K20)</f>
        <v>-19359.267030265757</v>
      </c>
      <c r="U20" s="309">
        <v>10500</v>
      </c>
      <c r="V20" s="274">
        <f>IF(-T20&gt;U20, 1, 0)</f>
        <v>1</v>
      </c>
      <c r="W20" s="274">
        <f>SUM($V$15:V20)</f>
        <v>2</v>
      </c>
      <c r="X20" s="280" t="str">
        <f t="shared" si="4"/>
        <v xml:space="preserve"> </v>
      </c>
      <c r="Y20" s="309" t="str">
        <f t="shared" si="5"/>
        <v xml:space="preserve"> </v>
      </c>
      <c r="Z20" s="309" t="str">
        <f>IF($E$10=C20, (('Career Comparison'!$C$15/$E$8)*(1+'Government Figures'!$B$8)^(C20/$E$7)*$E$8/12), " ")</f>
        <v xml:space="preserve"> </v>
      </c>
      <c r="AA20" s="309" t="str">
        <f t="shared" si="6"/>
        <v xml:space="preserve"> </v>
      </c>
    </row>
    <row r="21" spans="1:27" s="281" customFormat="1" x14ac:dyDescent="0.25">
      <c r="A21" s="274"/>
      <c r="B21" s="275">
        <f t="shared" si="8"/>
        <v>7</v>
      </c>
      <c r="C21" s="275">
        <f t="shared" si="2"/>
        <v>24</v>
      </c>
      <c r="D21" s="276" t="str">
        <f xml:space="preserve"> "Summer " &amp; (2+$E$13)</f>
        <v>Summer 2019</v>
      </c>
      <c r="E21" s="304">
        <f>-('Cost of Living'!$D$16/$E$8)*(1+'Government Figures'!$B$8/$E$8)^(C21/$E$7)</f>
        <v>-8029.1948088888885</v>
      </c>
      <c r="F21" s="304">
        <f>IF($E$8=3, ('Career Comparison'!$D$20/$E$8)*(1+'Government Figures'!$B$8/$E$8)^(C21/$E$7), "#VALUE!")</f>
        <v>2364.5481481481484</v>
      </c>
      <c r="G21" s="304"/>
      <c r="H21" s="304">
        <f>IF($E$8=3, ('Career Comparison'!$C$20/$E$8)*(1+'Government Figures'!$B$8/$E$8)^(C21/$E$7), "#VALUE!")</f>
        <v>1688.9629629629628</v>
      </c>
      <c r="I21" s="304"/>
      <c r="J21" s="304"/>
      <c r="K21" s="304">
        <f t="shared" si="7"/>
        <v>-3975.6836977777775</v>
      </c>
      <c r="L21" s="304">
        <f>K21*(1+'Government Figures'!$D$8)^(($E$10-$C21)/$E$7)</f>
        <v>-4400.7989506076001</v>
      </c>
      <c r="M21" s="277"/>
      <c r="N21" s="278">
        <v>1</v>
      </c>
      <c r="O21" s="279">
        <f>'Government Figures'!$I$37</f>
        <v>0.13735784313725496</v>
      </c>
      <c r="P21" s="304">
        <f>N21*(1-O21)*('Career Comparison'!$F$15/$E$8)*(1+'Government Figures'!$B$8)^(C21/$E$7)</f>
        <v>8974.9290000000001</v>
      </c>
      <c r="Q21" s="304">
        <f t="shared" si="3"/>
        <v>3310.28233925926</v>
      </c>
      <c r="R21" s="304">
        <f>Q21*(1+'Government Figures'!$D$8)^(($E$10-$C21)/$E$7)</f>
        <v>3664.2469955469032</v>
      </c>
      <c r="S21" s="294"/>
      <c r="T21" s="294"/>
      <c r="U21" s="309"/>
      <c r="V21" s="274"/>
      <c r="W21" s="274">
        <f>SUM($V$15:V21)</f>
        <v>2</v>
      </c>
      <c r="X21" s="280" t="str">
        <f t="shared" si="4"/>
        <v xml:space="preserve"> </v>
      </c>
      <c r="Y21" s="309" t="str">
        <f t="shared" si="5"/>
        <v xml:space="preserve"> </v>
      </c>
      <c r="Z21" s="309" t="str">
        <f>IF($E$10=C21, (('Career Comparison'!$C$15/$E$8)*(1+'Government Figures'!$B$8)^(C21/$E$7)*$E$8/12), " ")</f>
        <v xml:space="preserve"> </v>
      </c>
      <c r="AA21" s="309" t="str">
        <f t="shared" si="6"/>
        <v xml:space="preserve"> </v>
      </c>
    </row>
    <row r="22" spans="1:27" s="281" customFormat="1" x14ac:dyDescent="0.25">
      <c r="A22" s="274"/>
      <c r="B22" s="275">
        <f t="shared" si="8"/>
        <v>8</v>
      </c>
      <c r="C22" s="275">
        <f t="shared" si="2"/>
        <v>28</v>
      </c>
      <c r="D22" s="276" t="str">
        <f>"Fall " &amp; (2+$E$13)</f>
        <v>Fall 2019</v>
      </c>
      <c r="E22" s="304">
        <f>-('Cost of Living'!$D$16/$E$8)*(1+'Government Figures'!$B$8/$E$8)^(C22/$E$7)</f>
        <v>-8046.9979598786394</v>
      </c>
      <c r="F22" s="304">
        <f>IF($E$8=3, ('Career Comparison'!$D$20/$E$8)*(1+'Government Figures'!$B$8/$E$8)^(C22/$E$7), "#VALUE!")</f>
        <v>2369.7910658635601</v>
      </c>
      <c r="G22" s="304"/>
      <c r="H22" s="304">
        <f>IF($E$8=3, ('Career Comparison'!$C$20/$E$8)*(1+'Government Figures'!$B$8/$E$8)^(C22/$E$7), "#VALUE!")</f>
        <v>1692.7079041882573</v>
      </c>
      <c r="I22" s="304">
        <f>IF($E$8=3, ('Career Comparison'!$E$20/2)*(1+'Government Figures'!$B$8)^(C22/$E$7), "#VALUE!")</f>
        <v>2618.2256675658537</v>
      </c>
      <c r="J22" s="304">
        <f>IF(C22&lt;=$E$12, -('College Schedule'!$E$11/2)*(1+'Government Figures'!$C$8)^(C22/$E$7), -('Career Comparison'!$F$20/2)*(1+'Government Figures'!$C$8)^(C22/$E$7))</f>
        <v>-6501.4775399087384</v>
      </c>
      <c r="K22" s="304">
        <f t="shared" si="7"/>
        <v>-7867.750862169707</v>
      </c>
      <c r="L22" s="304">
        <f>K22*(1+'Government Figures'!$D$8)^(($E$10-$C22)/$E$7)</f>
        <v>-8583.5608025476213</v>
      </c>
      <c r="M22" s="277"/>
      <c r="N22" s="278">
        <v>1</v>
      </c>
      <c r="O22" s="279">
        <f>'Government Figures'!$I$37</f>
        <v>0.13735784313725496</v>
      </c>
      <c r="P22" s="304">
        <f>N22*(1-O22)*('Career Comparison'!$F$15/$E$8)*(1+'Government Figures'!$B$8)^(C22/$E$7)</f>
        <v>9034.3673480896359</v>
      </c>
      <c r="Q22" s="304">
        <f t="shared" si="3"/>
        <v>3357.1604540745566</v>
      </c>
      <c r="R22" s="304">
        <f>Q22*(1+'Government Figures'!$D$8)^(($E$10-$C22)/$E$7)</f>
        <v>3662.5957514763727</v>
      </c>
      <c r="S22" s="294"/>
      <c r="T22" s="294"/>
      <c r="U22" s="309"/>
      <c r="V22" s="274"/>
      <c r="W22" s="274">
        <f>SUM($V$15:V22)</f>
        <v>2</v>
      </c>
      <c r="X22" s="280" t="str">
        <f t="shared" si="4"/>
        <v xml:space="preserve"> </v>
      </c>
      <c r="Y22" s="309" t="str">
        <f t="shared" si="5"/>
        <v xml:space="preserve"> </v>
      </c>
      <c r="Z22" s="309" t="str">
        <f>IF($E$10=C22, (('Career Comparison'!$C$15/$E$8)*(1+'Government Figures'!$B$8)^(C22/$E$7)*$E$8/12), " ")</f>
        <v xml:space="preserve"> </v>
      </c>
      <c r="AA22" s="309" t="str">
        <f t="shared" si="6"/>
        <v xml:space="preserve"> </v>
      </c>
    </row>
    <row r="23" spans="1:27" s="281" customFormat="1" x14ac:dyDescent="0.25">
      <c r="A23" s="274"/>
      <c r="B23" s="275">
        <f t="shared" si="8"/>
        <v>9</v>
      </c>
      <c r="C23" s="275">
        <f t="shared" si="2"/>
        <v>32</v>
      </c>
      <c r="D23" s="276" t="str">
        <f xml:space="preserve"> "Spring " &amp; (3+$E$13)</f>
        <v>Spring 2020</v>
      </c>
      <c r="E23" s="304">
        <f>-('Cost of Living'!$D$16/$E$8)*(1+'Government Figures'!$B$8/$E$8)^(C23/$E$7)</f>
        <v>-8064.8405858335282</v>
      </c>
      <c r="F23" s="304">
        <f>IF($E$8=3, ('Career Comparison'!$D$20/$E$8)*(1+'Government Figures'!$B$8/$E$8)^(C23/$E$7), "#VALUE!")</f>
        <v>2375.0456087117454</v>
      </c>
      <c r="G23" s="304"/>
      <c r="H23" s="304">
        <f>IF($E$8=3, ('Career Comparison'!$C$20/$E$8)*(1+'Government Figures'!$B$8/$E$8)^(C23/$E$7), "#VALUE!")</f>
        <v>1696.4611490798181</v>
      </c>
      <c r="I23" s="304">
        <f>IF($E$8=3, ('Career Comparison'!$E$20/2)*(1+'Government Figures'!$B$8)^(C23/$E$7), "#VALUE!")</f>
        <v>2635.5654157249751</v>
      </c>
      <c r="J23" s="304">
        <f>IF(C23&lt;=$E$12, -('College Schedule'!$E$11/2)*(1+'Government Figures'!$C$8)^(C23/$E$7), -('Career Comparison'!$F$20/2)*(1+'Government Figures'!$C$8)^(C23/$E$7))</f>
        <v>-6576.4600032576072</v>
      </c>
      <c r="K23" s="304">
        <f t="shared" si="7"/>
        <v>-7934.2284155745965</v>
      </c>
      <c r="L23" s="304">
        <f>K23*(1+'Government Figures'!$D$8)^(($E$10-$C23)/$E$7)</f>
        <v>-8531.3699113422517</v>
      </c>
      <c r="M23" s="277"/>
      <c r="N23" s="278">
        <v>1</v>
      </c>
      <c r="O23" s="279">
        <f>'Government Figures'!$I$37</f>
        <v>0.13735784313725496</v>
      </c>
      <c r="P23" s="304">
        <f>N23*(1-O23)*('Career Comparison'!$F$15/$E$8)*(1+'Government Figures'!$B$8)^(C23/$E$7)</f>
        <v>9094.1993390954012</v>
      </c>
      <c r="Q23" s="304">
        <f t="shared" si="3"/>
        <v>3404.4043619736185</v>
      </c>
      <c r="R23" s="304">
        <f>Q23*(1+'Government Figures'!$D$8)^(($E$10-$C23)/$E$7)</f>
        <v>3660.6247537279482</v>
      </c>
      <c r="S23" s="294"/>
      <c r="T23" s="294">
        <f>SUM(K21:K23)</f>
        <v>-19777.662975522078</v>
      </c>
      <c r="U23" s="309">
        <v>12500</v>
      </c>
      <c r="V23" s="274">
        <f>IF(-T23&gt;U23, 1, 0)</f>
        <v>1</v>
      </c>
      <c r="W23" s="274">
        <f>SUM($V$15:V23)</f>
        <v>3</v>
      </c>
      <c r="X23" s="280" t="str">
        <f t="shared" si="4"/>
        <v xml:space="preserve"> </v>
      </c>
      <c r="Y23" s="309" t="str">
        <f t="shared" si="5"/>
        <v xml:space="preserve"> </v>
      </c>
      <c r="Z23" s="309" t="str">
        <f>IF($E$10=C23, (('Career Comparison'!$C$15/$E$8)*(1+'Government Figures'!$B$8)^(C23/$E$7)*$E$8/12), " ")</f>
        <v xml:space="preserve"> </v>
      </c>
      <c r="AA23" s="309" t="str">
        <f t="shared" si="6"/>
        <v xml:space="preserve"> </v>
      </c>
    </row>
    <row r="24" spans="1:27" s="281" customFormat="1" x14ac:dyDescent="0.25">
      <c r="A24" s="274"/>
      <c r="B24" s="275">
        <f t="shared" si="8"/>
        <v>10</v>
      </c>
      <c r="C24" s="275">
        <f t="shared" si="2"/>
        <v>36</v>
      </c>
      <c r="D24" s="276" t="str">
        <f xml:space="preserve"> "Summer " &amp; (3+$E$13)</f>
        <v>Summer 2020</v>
      </c>
      <c r="E24" s="304">
        <f>-('Cost of Living'!$D$16/$E$8)*(1+'Government Figures'!$B$8/$E$8)^(C24/$E$7)</f>
        <v>-8082.7227742814803</v>
      </c>
      <c r="F24" s="304">
        <f>IF($E$8=3, ('Career Comparison'!$D$20/$E$8)*(1+'Government Figures'!$B$8/$E$8)^(C24/$E$7), "#VALUE!")</f>
        <v>2380.3118024691357</v>
      </c>
      <c r="G24" s="304"/>
      <c r="H24" s="304">
        <f>IF($E$8=3, ('Career Comparison'!$C$20/$E$8)*(1+'Government Figures'!$B$8/$E$8)^(C24/$E$7), "#VALUE!")</f>
        <v>1700.2227160493826</v>
      </c>
      <c r="I24" s="304"/>
      <c r="J24" s="304"/>
      <c r="K24" s="304">
        <f t="shared" si="7"/>
        <v>-4002.1882557629619</v>
      </c>
      <c r="L24" s="304">
        <f>K24*(1+'Government Figures'!$D$8)^(($E$10-$C24)/$E$7)</f>
        <v>-4241.3955100797675</v>
      </c>
      <c r="M24" s="277"/>
      <c r="N24" s="278">
        <v>1</v>
      </c>
      <c r="O24" s="279">
        <f>'Government Figures'!$I$37</f>
        <v>0.13735784313725496</v>
      </c>
      <c r="P24" s="304">
        <f>N24*(1-O24)*('Career Comparison'!$F$15/$E$8)*(1+'Government Figures'!$B$8)^(C24/$E$7)</f>
        <v>9154.4275799999996</v>
      </c>
      <c r="Q24" s="304">
        <f t="shared" si="3"/>
        <v>3452.016608187655</v>
      </c>
      <c r="R24" s="304">
        <f>Q24*(1+'Government Figures'!$D$8)^(($E$10-$C24)/$E$7)</f>
        <v>3658.3405894525399</v>
      </c>
      <c r="S24" s="294"/>
      <c r="T24" s="294"/>
      <c r="U24" s="309"/>
      <c r="V24" s="274"/>
      <c r="W24" s="274">
        <f>SUM($V$15:V24)</f>
        <v>3</v>
      </c>
      <c r="X24" s="280" t="str">
        <f t="shared" si="4"/>
        <v xml:space="preserve"> </v>
      </c>
      <c r="Y24" s="309" t="str">
        <f t="shared" si="5"/>
        <v xml:space="preserve"> </v>
      </c>
      <c r="Z24" s="309" t="str">
        <f>IF($E$10=C24, (('Career Comparison'!$C$15/$E$8)*(1+'Government Figures'!$B$8)^(C24/$E$7)*$E$8/12), " ")</f>
        <v xml:space="preserve"> </v>
      </c>
      <c r="AA24" s="309" t="str">
        <f t="shared" si="6"/>
        <v xml:space="preserve"> </v>
      </c>
    </row>
    <row r="25" spans="1:27" s="281" customFormat="1" x14ac:dyDescent="0.25">
      <c r="A25" s="274"/>
      <c r="B25" s="275">
        <f t="shared" si="8"/>
        <v>11</v>
      </c>
      <c r="C25" s="275">
        <f t="shared" si="2"/>
        <v>40</v>
      </c>
      <c r="D25" s="276" t="str">
        <f>"Fall " &amp; (3+$E$13)</f>
        <v>Fall 2020</v>
      </c>
      <c r="E25" s="304">
        <f>-('Cost of Living'!$D$16/$E$8)*(1+'Government Figures'!$B$8/$E$8)^(C25/$E$7)</f>
        <v>-8100.6446129444967</v>
      </c>
      <c r="F25" s="304">
        <f>IF($E$8=3, ('Career Comparison'!$D$20/$E$8)*(1+'Government Figures'!$B$8/$E$8)^(C25/$E$7), "#VALUE!")</f>
        <v>2385.5896729693172</v>
      </c>
      <c r="G25" s="304"/>
      <c r="H25" s="304">
        <f>IF($E$8=3, ('Career Comparison'!$C$20/$E$8)*(1+'Government Figures'!$B$8/$E$8)^(C25/$E$7), "#VALUE!")</f>
        <v>1703.9926235495122</v>
      </c>
      <c r="I25" s="304">
        <f>IF($E$8=3, ('Career Comparison'!$E$20/2)*(1+'Government Figures'!$B$8)^(C25/$E$7), "#VALUE!")</f>
        <v>2670.590180917171</v>
      </c>
      <c r="J25" s="304">
        <f>IF(C25&lt;=$E$12, -('College Schedule'!$E$11/2)*(1+'Government Figures'!$C$8)^(C25/$E$7), -('Career Comparison'!$F$20/2)*(1+'Government Figures'!$C$8)^(C25/$E$7))</f>
        <v>-6729.0292538055428</v>
      </c>
      <c r="K25" s="304">
        <f t="shared" si="7"/>
        <v>-8069.5013893140394</v>
      </c>
      <c r="L25" s="304">
        <f>K25*(1+'Government Figures'!$D$8)^(($E$10-$C25)/$E$7)</f>
        <v>-8428.5942011385141</v>
      </c>
      <c r="M25" s="277"/>
      <c r="N25" s="278">
        <v>1</v>
      </c>
      <c r="O25" s="279">
        <f>'Government Figures'!$I$37</f>
        <v>0.13735784313725496</v>
      </c>
      <c r="P25" s="304">
        <f>N25*(1-O25)*('Career Comparison'!$F$15/$E$8)*(1+'Government Figures'!$B$8)^(C25/$E$7)</f>
        <v>9215.054695051429</v>
      </c>
      <c r="Q25" s="304">
        <f t="shared" si="3"/>
        <v>3499.9997550762491</v>
      </c>
      <c r="R25" s="304">
        <f>Q25*(1+'Government Figures'!$D$8)^(($E$10-$C25)/$E$7)</f>
        <v>3655.749744177142</v>
      </c>
      <c r="S25" s="294"/>
      <c r="T25" s="294"/>
      <c r="U25" s="309"/>
      <c r="V25" s="274"/>
      <c r="W25" s="274">
        <f>SUM($V$15:V25)</f>
        <v>3</v>
      </c>
      <c r="X25" s="280" t="str">
        <f t="shared" si="4"/>
        <v xml:space="preserve"> </v>
      </c>
      <c r="Y25" s="309" t="str">
        <f t="shared" si="5"/>
        <v xml:space="preserve"> </v>
      </c>
      <c r="Z25" s="309" t="str">
        <f>IF($E$10=C25, (('Career Comparison'!$C$15/$E$8)*(1+'Government Figures'!$B$8)^(C25/$E$7)*$E$8/12), " ")</f>
        <v xml:space="preserve"> </v>
      </c>
      <c r="AA25" s="309" t="str">
        <f t="shared" si="6"/>
        <v xml:space="preserve"> </v>
      </c>
    </row>
    <row r="26" spans="1:27" s="281" customFormat="1" x14ac:dyDescent="0.25">
      <c r="A26" s="274"/>
      <c r="B26" s="275">
        <f t="shared" si="8"/>
        <v>12</v>
      </c>
      <c r="C26" s="275">
        <f t="shared" si="2"/>
        <v>44</v>
      </c>
      <c r="D26" s="276" t="str">
        <f xml:space="preserve"> "Spring " &amp; (4+$E$13)</f>
        <v>Spring 2021</v>
      </c>
      <c r="E26" s="304">
        <f>-('Cost of Living'!$D$16/$E$8)*(1+'Government Figures'!$B$8/$E$8)^(C26/$E$7)</f>
        <v>-8118.6061897390837</v>
      </c>
      <c r="F26" s="304">
        <f>IF($E$8=3, ('Career Comparison'!$D$20/$E$8)*(1+'Government Figures'!$B$8/$E$8)^(C26/$E$7), "#VALUE!")</f>
        <v>2390.8792461031567</v>
      </c>
      <c r="G26" s="304"/>
      <c r="H26" s="304">
        <f>IF($E$8=3, ('Career Comparison'!$C$20/$E$8)*(1+'Government Figures'!$B$8/$E$8)^(C26/$E$7), "#VALUE!")</f>
        <v>1707.7708900736832</v>
      </c>
      <c r="I26" s="304">
        <f>IF($E$8=3, ('Career Comparison'!$E$20/2)*(1+'Government Figures'!$B$8)^(C26/$E$7), "#VALUE!")</f>
        <v>2688.2767240394751</v>
      </c>
      <c r="J26" s="304">
        <f>IF(C26&lt;=$E$12, -('College Schedule'!$E$11/2)*(1+'Government Figures'!$C$8)^(C26/$E$7), -('Career Comparison'!$F$20/2)*(1+'Government Figures'!$C$8)^(C26/$E$7))</f>
        <v>-6806.636103371623</v>
      </c>
      <c r="K26" s="304">
        <f t="shared" si="7"/>
        <v>-8138.315432894392</v>
      </c>
      <c r="L26" s="304">
        <f>K26*(1+'Government Figures'!$D$8)^(($E$10-$C26)/$E$7)</f>
        <v>-8377.9959909025802</v>
      </c>
      <c r="M26" s="277"/>
      <c r="N26" s="278">
        <v>1</v>
      </c>
      <c r="O26" s="279">
        <f>'Government Figures'!$I$37</f>
        <v>0.13735784313725496</v>
      </c>
      <c r="P26" s="304">
        <f>N26*(1-O26)*('Career Comparison'!$F$15/$E$8)*(1+'Government Figures'!$B$8)^(C26/$E$7)</f>
        <v>9276.0833258773091</v>
      </c>
      <c r="Q26" s="304">
        <f t="shared" si="3"/>
        <v>3548.3563822413817</v>
      </c>
      <c r="R26" s="304">
        <f>Q26*(1+'Government Figures'!$D$8)^(($E$10-$C26)/$E$7)</f>
        <v>3652.858603213303</v>
      </c>
      <c r="S26" s="294"/>
      <c r="T26" s="294">
        <f>SUM(K24:K26)</f>
        <v>-20210.005077971393</v>
      </c>
      <c r="U26" s="309">
        <v>12500</v>
      </c>
      <c r="V26" s="274">
        <f>IF(-T26&gt;U26, 1, 0)</f>
        <v>1</v>
      </c>
      <c r="W26" s="274">
        <f>SUM($V$15:V26)</f>
        <v>4</v>
      </c>
      <c r="X26" s="280" t="str">
        <f t="shared" si="4"/>
        <v xml:space="preserve"> </v>
      </c>
      <c r="Y26" s="309" t="str">
        <f t="shared" si="5"/>
        <v xml:space="preserve"> </v>
      </c>
      <c r="Z26" s="309" t="str">
        <f>IF($E$10=C26, (('Career Comparison'!$C$15/$E$8)*(1+'Government Figures'!$B$8)^(C26/$E$7)*$E$8/12), " ")</f>
        <v xml:space="preserve"> </v>
      </c>
      <c r="AA26" s="309" t="str">
        <f t="shared" si="6"/>
        <v xml:space="preserve"> </v>
      </c>
    </row>
    <row r="27" spans="1:27" s="281" customFormat="1" x14ac:dyDescent="0.25">
      <c r="A27" s="274"/>
      <c r="B27" s="275">
        <f t="shared" si="8"/>
        <v>13</v>
      </c>
      <c r="C27" s="275">
        <f t="shared" si="2"/>
        <v>48</v>
      </c>
      <c r="D27" s="276" t="str">
        <f xml:space="preserve"> "Summer " &amp; (4+$E$13)</f>
        <v>Summer 2021</v>
      </c>
      <c r="E27" s="304">
        <f>-('Cost of Living'!$D$16/$E$8)*(1+'Government Figures'!$B$8/$E$8)^(C27/$E$7)</f>
        <v>-8136.6075927766897</v>
      </c>
      <c r="F27" s="304">
        <f>IF($E$8=3, ('Career Comparison'!$D$20/$E$8)*(1+'Government Figures'!$B$8/$E$8)^(C27/$E$7), "#VALUE!")</f>
        <v>2396.1805478189299</v>
      </c>
      <c r="G27" s="304"/>
      <c r="H27" s="304">
        <f>IF($E$8=3, ('Career Comparison'!$C$20/$E$8)*(1+'Government Figures'!$B$8/$E$8)^(C27/$E$7), "#VALUE!")</f>
        <v>1711.5575341563783</v>
      </c>
      <c r="I27" s="304"/>
      <c r="J27" s="304"/>
      <c r="K27" s="304">
        <f t="shared" si="7"/>
        <v>-4028.8695108013817</v>
      </c>
      <c r="L27" s="304">
        <f>K27*(1+'Government Figures'!$D$8)^(($E$10-$C27)/$E$7)</f>
        <v>-4087.7658976993453</v>
      </c>
      <c r="M27" s="277"/>
      <c r="N27" s="278">
        <v>1</v>
      </c>
      <c r="O27" s="279">
        <f>'Government Figures'!$I$37</f>
        <v>0.13735784313725496</v>
      </c>
      <c r="P27" s="304">
        <f>N27*(1-O27)*('Career Comparison'!$F$15/$E$8)*(1+'Government Figures'!$B$8)^(C27/$E$7)</f>
        <v>9337.5161315999994</v>
      </c>
      <c r="Q27" s="304">
        <f t="shared" si="3"/>
        <v>3597.0890866422396</v>
      </c>
      <c r="R27" s="304">
        <f>Q27*(1+'Government Figures'!$D$8)^(($E$10-$C27)/$E$7)</f>
        <v>3649.6734530470931</v>
      </c>
      <c r="S27" s="294"/>
      <c r="T27" s="294"/>
      <c r="U27" s="294"/>
      <c r="V27" s="274"/>
      <c r="W27" s="274">
        <f>SUM($V$15:V27)</f>
        <v>4</v>
      </c>
      <c r="X27" s="280" t="str">
        <f t="shared" si="4"/>
        <v xml:space="preserve"> </v>
      </c>
      <c r="Y27" s="309" t="str">
        <f t="shared" si="5"/>
        <v xml:space="preserve"> </v>
      </c>
      <c r="Z27" s="309" t="str">
        <f>IF($E$10=C27, (('Career Comparison'!$C$15/$E$8)*(1+'Government Figures'!$B$8)^(C27/$E$7)*$E$8/12), " ")</f>
        <v xml:space="preserve"> </v>
      </c>
      <c r="AA27" s="309" t="str">
        <f t="shared" si="6"/>
        <v xml:space="preserve"> </v>
      </c>
    </row>
    <row r="28" spans="1:27" s="281" customFormat="1" x14ac:dyDescent="0.25">
      <c r="A28" s="274"/>
      <c r="B28" s="275">
        <f t="shared" si="8"/>
        <v>14</v>
      </c>
      <c r="C28" s="275">
        <f t="shared" si="2"/>
        <v>52</v>
      </c>
      <c r="D28" s="276" t="str">
        <f>"Fall " &amp; (4+$E$13)</f>
        <v>Fall 2021</v>
      </c>
      <c r="E28" s="304">
        <f>-('Cost of Living'!$D$16/$E$8)*(1+'Government Figures'!$B$8/$E$8)^(C28/$E$7)</f>
        <v>-8154.6489103641252</v>
      </c>
      <c r="F28" s="304">
        <f>IF($E$8=3, ('Career Comparison'!$D$20/$E$8)*(1+'Government Figures'!$B$8/$E$8)^(C28/$E$7), "#VALUE!")</f>
        <v>2401.4936041224455</v>
      </c>
      <c r="G28" s="304"/>
      <c r="H28" s="304">
        <f>IF($E$8=3, ('Career Comparison'!$C$20/$E$8)*(1+'Government Figures'!$B$8/$E$8)^(C28/$E$7), "#VALUE!")</f>
        <v>1715.3525743731755</v>
      </c>
      <c r="I28" s="304">
        <f>IF($E$8=3, ('Career Comparison'!$E$20/2)*(1+'Government Figures'!$B$8)^(C28/$E$7), "#VALUE!")</f>
        <v>2724.0019845355146</v>
      </c>
      <c r="J28" s="304">
        <f>IF(C28&lt;=$E$12, -('College Schedule'!$E$11/2)*(1+'Government Figures'!$C$8)^(C28/$E$7), -('Career Comparison'!$F$20/2)*(1+'Government Figures'!$C$8)^(C28/$E$7))</f>
        <v>-6964.5452776887369</v>
      </c>
      <c r="K28" s="304">
        <f t="shared" si="7"/>
        <v>-8278.3460250217267</v>
      </c>
      <c r="L28" s="304">
        <f>K28*(1+'Government Figures'!$D$8)^(($E$10-$C28)/$E$7)</f>
        <v>-8278.3460250217267</v>
      </c>
      <c r="M28" s="277"/>
      <c r="N28" s="278">
        <v>1</v>
      </c>
      <c r="O28" s="279">
        <f>'Government Figures'!$I$37</f>
        <v>0.13735784313725496</v>
      </c>
      <c r="P28" s="304">
        <f>N28*(1-O28)*('Career Comparison'!$F$15/$E$8)*(1+'Government Figures'!$B$8)^(C28/$E$7)</f>
        <v>9399.3557889524582</v>
      </c>
      <c r="Q28" s="304">
        <f t="shared" si="3"/>
        <v>3646.2004827107785</v>
      </c>
      <c r="R28" s="304">
        <f>Q28*(1+'Government Figures'!$D$8)^(($E$10-$C28)/$E$7)</f>
        <v>3646.2004827107785</v>
      </c>
      <c r="S28" s="294"/>
      <c r="T28" s="294"/>
      <c r="U28" s="294"/>
      <c r="V28" s="274"/>
      <c r="W28" s="274">
        <f>SUM($V$15:V28)</f>
        <v>4</v>
      </c>
      <c r="X28" s="280">
        <f t="shared" si="4"/>
        <v>1</v>
      </c>
      <c r="Y28" s="309">
        <f t="shared" si="5"/>
        <v>2038.6622275910313</v>
      </c>
      <c r="Z28" s="309">
        <f>IF($E$10=C28, (('Career Comparison'!$C$15/$E$8)*(1+'Government Figures'!$B$8)^(C28/$E$7)*$E$8/12), " ")</f>
        <v>4540.0033075591909</v>
      </c>
      <c r="AA28" s="309">
        <f t="shared" si="6"/>
        <v>2724.001984535515</v>
      </c>
    </row>
    <row r="29" spans="1:27" s="281" customFormat="1" x14ac:dyDescent="0.25">
      <c r="A29" s="274"/>
      <c r="B29" s="275">
        <f t="shared" si="8"/>
        <v>15</v>
      </c>
      <c r="C29" s="275">
        <f t="shared" si="2"/>
        <v>56</v>
      </c>
      <c r="D29" s="276" t="str">
        <f xml:space="preserve"> "Spring " &amp; (5+$E$13)</f>
        <v>Spring 2022</v>
      </c>
      <c r="E29" s="304">
        <f>-('Cost of Living'!$D$16/$E$8)*(1+'Government Figures'!$B$8/$E$8)^(C29/$E$7)</f>
        <v>-8172.7302310040113</v>
      </c>
      <c r="F29" s="304">
        <f>IF($E$8=3, ('Career Comparison'!$D$20/$E$8)*(1+'Government Figures'!$B$8/$E$8)^(C29/$E$7), "#VALUE!")</f>
        <v>2406.8184410771778</v>
      </c>
      <c r="G29" s="304"/>
      <c r="H29" s="304">
        <f>IF($E$8=3, ('Career Comparison'!$C$20/$E$8)*(1+'Government Figures'!$B$8/$E$8)^(C29/$E$7), "#VALUE!")</f>
        <v>1719.1560293408411</v>
      </c>
      <c r="I29" s="304">
        <f>IF($E$8=3, ('Career Comparison'!$E$20/2)*(1+'Government Figures'!$B$8)^(C29/$E$7), "#VALUE!")</f>
        <v>2742.0422585202641</v>
      </c>
      <c r="J29" s="304">
        <f>IF(C29&lt;=$E$12, -('College Schedule'!$E$11/2)*(1+'Government Figures'!$C$8)^(C29/$E$7), -('Career Comparison'!$F$20/2)*(1+'Government Figures'!$C$8)^(C29/$E$7))</f>
        <v>-7044.8683669896291</v>
      </c>
      <c r="K29" s="304">
        <f t="shared" si="7"/>
        <v>-8349.5818690553569</v>
      </c>
      <c r="L29" s="304">
        <f>K29*(1+'Government Figures'!$D$8)^(($E$10-$C29)/$E$7)</f>
        <v>-8229.2813879361038</v>
      </c>
      <c r="M29" s="277"/>
      <c r="N29" s="278">
        <v>1</v>
      </c>
      <c r="O29" s="279">
        <f>'Government Figures'!$I$37</f>
        <v>0.13735784313725496</v>
      </c>
      <c r="P29" s="304">
        <f>N29*(1-O29)*('Career Comparison'!$F$15/$E$8)*(1+'Government Figures'!$B$8)^(C29/$E$7)</f>
        <v>9461.604992394854</v>
      </c>
      <c r="Q29" s="304">
        <f t="shared" si="3"/>
        <v>3695.6932024680209</v>
      </c>
      <c r="R29" s="304">
        <f>Q29*(1+'Government Figures'!$D$8)^(($E$10-$C29)/$E$7)</f>
        <v>3642.4457851364086</v>
      </c>
      <c r="S29" s="310"/>
      <c r="T29" s="294">
        <f>SUM(K27:K29)</f>
        <v>-20656.797404878467</v>
      </c>
      <c r="U29" s="309">
        <v>12500</v>
      </c>
      <c r="V29" s="274">
        <f>IF(-T29&gt;U29, 1, 0)</f>
        <v>1</v>
      </c>
      <c r="W29" s="274">
        <f>SUM($V$15:V29)</f>
        <v>5</v>
      </c>
      <c r="X29" s="280" t="str">
        <f t="shared" si="4"/>
        <v xml:space="preserve"> </v>
      </c>
      <c r="Y29" s="309" t="str">
        <f t="shared" si="5"/>
        <v xml:space="preserve"> </v>
      </c>
      <c r="Z29" s="309" t="str">
        <f>IF($E$10=C29, (('Career Comparison'!$C$15/$E$8)*(1+'Government Figures'!$B$8)^(C29/$E$7)*$E$8/12), " ")</f>
        <v xml:space="preserve"> </v>
      </c>
      <c r="AA29" s="309" t="str">
        <f t="shared" si="6"/>
        <v xml:space="preserve"> </v>
      </c>
    </row>
    <row r="30" spans="1:27" s="281" customFormat="1" x14ac:dyDescent="0.25">
      <c r="A30" s="274"/>
      <c r="B30" s="275">
        <f t="shared" si="8"/>
        <v>16</v>
      </c>
      <c r="C30" s="275">
        <f t="shared" si="2"/>
        <v>60</v>
      </c>
      <c r="D30" s="276" t="str">
        <f xml:space="preserve"> "Summer " &amp; (5+$E$13)</f>
        <v>Summer 2022</v>
      </c>
      <c r="E30" s="304">
        <f>-('Cost of Living'!$D$16/$E$8)*(1+'Government Figures'!$B$8/$E$8)^(C30/$E$7)</f>
        <v>-8190.8516433952</v>
      </c>
      <c r="F30" s="304">
        <f>IF($E$8=3, ('Career Comparison'!$D$20/$E$8)*(1+'Government Figures'!$B$8/$E$8)^(C30/$E$7), "#VALUE!")</f>
        <v>2412.1550848043889</v>
      </c>
      <c r="G30" s="304"/>
      <c r="H30" s="304">
        <f>IF($E$8=3, ('Career Comparison'!$C$20/$E$8)*(1+'Government Figures'!$B$8/$E$8)^(C30/$E$7), "#VALUE!")</f>
        <v>1722.9679177174207</v>
      </c>
      <c r="I30" s="304"/>
      <c r="J30" s="304"/>
      <c r="K30" s="304">
        <f t="shared" si="7"/>
        <v>-4055.7286408733903</v>
      </c>
      <c r="L30" s="304">
        <f>K30*(1+'Government Figures'!$D$8)^(($E$10-$C30)/$E$7)</f>
        <v>-3939.7009768795338</v>
      </c>
      <c r="M30" s="277"/>
      <c r="N30" s="278">
        <v>1</v>
      </c>
      <c r="O30" s="279">
        <f>'Government Figures'!$I$37</f>
        <v>0.13735784313725496</v>
      </c>
      <c r="P30" s="304">
        <f>N30*(1-O30)*('Career Comparison'!$F$15/$E$8)*(1+'Government Figures'!$B$8)^(C30/$E$7)</f>
        <v>9524.2664542319999</v>
      </c>
      <c r="Q30" s="304">
        <f t="shared" si="3"/>
        <v>3745.5698956411889</v>
      </c>
      <c r="R30" s="304">
        <f>Q30*(1+'Government Figures'!$D$8)^(($E$10-$C30)/$E$7)</f>
        <v>3638.4153584916389</v>
      </c>
      <c r="S30" s="311"/>
      <c r="T30" s="294"/>
      <c r="U30" s="294"/>
      <c r="V30" s="274"/>
      <c r="W30" s="274">
        <f>SUM($V$15:V30)</f>
        <v>5</v>
      </c>
      <c r="X30" s="280" t="str">
        <f t="shared" si="4"/>
        <v xml:space="preserve"> </v>
      </c>
      <c r="Y30" s="309" t="str">
        <f t="shared" si="5"/>
        <v xml:space="preserve"> </v>
      </c>
      <c r="Z30" s="309" t="str">
        <f>IF($E$10=C30, (('Career Comparison'!$C$15/$E$8)*(1+'Government Figures'!$B$8)^(C30/$E$7)*$E$8/12), " ")</f>
        <v xml:space="preserve"> </v>
      </c>
      <c r="AA30" s="309" t="str">
        <f t="shared" si="6"/>
        <v xml:space="preserve"> </v>
      </c>
    </row>
    <row r="31" spans="1:27" s="281" customFormat="1" x14ac:dyDescent="0.25">
      <c r="A31" s="274"/>
      <c r="B31" s="275">
        <f t="shared" si="8"/>
        <v>17</v>
      </c>
      <c r="C31" s="275">
        <f t="shared" si="2"/>
        <v>64</v>
      </c>
      <c r="D31" s="276" t="str">
        <f>"Fall " &amp; (5+$E$13)</f>
        <v>Fall 2022</v>
      </c>
      <c r="E31" s="304">
        <f>-('Cost of Living'!$D$16/$E$8)*(1+'Government Figures'!$B$8/$E$8)^(C31/$E$7)</f>
        <v>-8209.0132364332185</v>
      </c>
      <c r="F31" s="304">
        <f>IF($E$8=3, ('Career Comparison'!$D$20/$E$8)*(1+'Government Figures'!$B$8/$E$8)^(C31/$E$7), "#VALUE!")</f>
        <v>2417.5035614832618</v>
      </c>
      <c r="G31" s="304"/>
      <c r="H31" s="304">
        <f>IF($E$8=3, ('Career Comparison'!$C$20/$E$8)*(1+'Government Figures'!$B$8/$E$8)^(C31/$E$7), "#VALUE!")</f>
        <v>1726.7882582023299</v>
      </c>
      <c r="I31" s="304">
        <f>IF($E$8=3, ('Career Comparison'!$E$20/2)*(1+'Government Figures'!$B$8)^(C31/$E$7), "#VALUE!")</f>
        <v>2778.4820242262249</v>
      </c>
      <c r="J31" s="304">
        <f>IF(C31&lt;=$E$12, -('College Schedule'!$E$11/2)*(1+'Government Figures'!$C$8)^(C31/$E$7), -('Career Comparison'!$F$20/2)*(1+'Government Figures'!$C$8)^(C31/$E$7))</f>
        <v>-7208.3043624078427</v>
      </c>
      <c r="K31" s="304">
        <f t="shared" si="7"/>
        <v>-8494.5437549292456</v>
      </c>
      <c r="L31" s="304">
        <f>K31*(1+'Government Figures'!$D$8)^(($E$10-$C31)/$E$7)</f>
        <v>-8132.6412206120112</v>
      </c>
      <c r="M31" s="277"/>
      <c r="N31" s="278">
        <v>1</v>
      </c>
      <c r="O31" s="279">
        <f>'Government Figures'!$I$37</f>
        <v>0.13735784313725496</v>
      </c>
      <c r="P31" s="304">
        <f>N31*(1-O31)*('Career Comparison'!$F$15/$E$8)*(1+'Government Figures'!$B$8)^(C31/$E$7)</f>
        <v>9587.3429047315058</v>
      </c>
      <c r="Q31" s="304">
        <f t="shared" si="3"/>
        <v>3795.8332297815487</v>
      </c>
      <c r="R31" s="304">
        <f>Q31*(1+'Government Figures'!$D$8)^(($E$10-$C31)/$E$7)</f>
        <v>3634.1151074978925</v>
      </c>
      <c r="S31" s="312"/>
      <c r="T31" s="294"/>
      <c r="U31" s="294"/>
      <c r="V31" s="274"/>
      <c r="W31" s="274">
        <f>SUM($V$15:V31)</f>
        <v>5</v>
      </c>
      <c r="X31" s="280" t="str">
        <f t="shared" si="4"/>
        <v xml:space="preserve"> </v>
      </c>
      <c r="Y31" s="309" t="str">
        <f t="shared" si="5"/>
        <v xml:space="preserve"> </v>
      </c>
      <c r="Z31" s="309" t="str">
        <f>IF($E$10=C31, (('Career Comparison'!$C$15/$E$8)*(1+'Government Figures'!$B$8)^(C31/$E$7)*$E$8/12), " ")</f>
        <v xml:space="preserve"> </v>
      </c>
      <c r="AA31" s="309" t="str">
        <f t="shared" si="6"/>
        <v xml:space="preserve"> </v>
      </c>
    </row>
    <row r="32" spans="1:27" s="281" customFormat="1" x14ac:dyDescent="0.25">
      <c r="A32" s="274"/>
      <c r="B32" s="275">
        <f t="shared" si="8"/>
        <v>18</v>
      </c>
      <c r="C32" s="275">
        <f t="shared" si="2"/>
        <v>68</v>
      </c>
      <c r="D32" s="276" t="str">
        <f xml:space="preserve"> "Spring " &amp; (6+$E$13)</f>
        <v>Spring 2023</v>
      </c>
      <c r="E32" s="304">
        <f>-('Cost of Living'!$D$16/$E$8)*(1+'Government Figures'!$B$8/$E$8)^(C32/$E$7)</f>
        <v>-8227.2150992107036</v>
      </c>
      <c r="F32" s="304">
        <f>IF($E$8=3, ('Career Comparison'!$D$20/$E$8)*(1+'Government Figures'!$B$8/$E$8)^(C32/$E$7), "#VALUE!")</f>
        <v>2422.8638973510251</v>
      </c>
      <c r="G32" s="304"/>
      <c r="H32" s="304">
        <f>IF($E$8=3, ('Career Comparison'!$C$20/$E$8)*(1+'Government Figures'!$B$8/$E$8)^(C32/$E$7), "#VALUE!")</f>
        <v>1730.6170695364465</v>
      </c>
      <c r="I32" s="304">
        <f>IF($E$8=3, ('Career Comparison'!$E$20/2)*(1+'Government Figures'!$B$8)^(C32/$E$7), "#VALUE!")</f>
        <v>2796.8831036906699</v>
      </c>
      <c r="J32" s="304">
        <f>IF(C32&lt;=$E$12, -('College Schedule'!$E$11/2)*(1+'Government Figures'!$C$8)^(C32/$E$7), -('Career Comparison'!$F$20/2)*(1+'Government Figures'!$C$8)^(C32/$E$7))</f>
        <v>-7291.4387598342664</v>
      </c>
      <c r="K32" s="304">
        <f t="shared" si="7"/>
        <v>-8568.2897884668291</v>
      </c>
      <c r="L32" s="304">
        <f>K32*(1+'Government Figures'!$D$8)^(($E$10-$C32)/$E$7)</f>
        <v>-8085.0532995284702</v>
      </c>
      <c r="M32" s="277"/>
      <c r="N32" s="278">
        <v>1</v>
      </c>
      <c r="O32" s="279">
        <f>'Government Figures'!$I$37</f>
        <v>0.13735784313725496</v>
      </c>
      <c r="P32" s="304">
        <f>N32*(1-O32)*('Career Comparison'!$F$15/$E$8)*(1+'Government Figures'!$B$8)^(C32/$E$7)</f>
        <v>9650.837092242753</v>
      </c>
      <c r="Q32" s="304">
        <f t="shared" si="3"/>
        <v>3846.4858903830745</v>
      </c>
      <c r="R32" s="304">
        <f>Q32*(1+'Government Figures'!$D$8)^(($E$10-$C32)/$E$7)</f>
        <v>3629.5508447311868</v>
      </c>
      <c r="S32" s="304"/>
      <c r="T32" s="294">
        <f>SUM(K30:K32)</f>
        <v>-21118.562184269467</v>
      </c>
      <c r="U32" s="309">
        <v>12500</v>
      </c>
      <c r="V32" s="274">
        <f>IF(-T32&gt;U32, 1, 0)</f>
        <v>1</v>
      </c>
      <c r="W32" s="274">
        <f>SUM($V$15:V32)</f>
        <v>6</v>
      </c>
      <c r="X32" s="280" t="str">
        <f t="shared" si="4"/>
        <v xml:space="preserve"> </v>
      </c>
      <c r="Y32" s="309" t="str">
        <f t="shared" si="5"/>
        <v xml:space="preserve"> </v>
      </c>
      <c r="Z32" s="309" t="str">
        <f>IF($E$10=C32, (('Career Comparison'!$C$15/$E$8)*(1+'Government Figures'!$B$8)^(C32/$E$7)*$E$8/12), " ")</f>
        <v xml:space="preserve"> </v>
      </c>
      <c r="AA32" s="309" t="str">
        <f t="shared" si="6"/>
        <v xml:space="preserve"> </v>
      </c>
    </row>
    <row r="33" spans="1:31" s="281" customFormat="1" x14ac:dyDescent="0.25">
      <c r="A33" s="274"/>
      <c r="B33" s="275">
        <f t="shared" si="8"/>
        <v>19</v>
      </c>
      <c r="C33" s="275">
        <f t="shared" si="2"/>
        <v>72</v>
      </c>
      <c r="D33" s="276" t="str">
        <f xml:space="preserve"> "Summer " &amp; (6+$E$13)</f>
        <v>Summer 2023</v>
      </c>
      <c r="E33" s="304">
        <f>-('Cost of Living'!$D$16/$E$8)*(1+'Government Figures'!$B$8/$E$8)^(C33/$E$7)</f>
        <v>-8245.4573210178351</v>
      </c>
      <c r="F33" s="304">
        <f>IF($E$8=3, ('Career Comparison'!$D$20/$E$8)*(1+'Government Figures'!$B$8/$E$8)^(C33/$E$7), "#VALUE!")</f>
        <v>2428.2361187030851</v>
      </c>
      <c r="G33" s="304"/>
      <c r="H33" s="304">
        <f>IF($E$8=3, ('Career Comparison'!$C$20/$E$8)*(1+'Government Figures'!$B$8/$E$8)^(C33/$E$7), "#VALUE!")</f>
        <v>1734.4543705022036</v>
      </c>
      <c r="I33" s="304"/>
      <c r="J33" s="304"/>
      <c r="K33" s="304">
        <f t="shared" si="7"/>
        <v>-4082.7668318125461</v>
      </c>
      <c r="L33" s="304">
        <f>K33*(1+'Government Figures'!$D$8)^(($E$10-$C33)/$E$7)</f>
        <v>-3796.9991862697279</v>
      </c>
      <c r="M33" s="277"/>
      <c r="N33" s="278">
        <v>1</v>
      </c>
      <c r="O33" s="279">
        <f>'Government Figures'!$I$37</f>
        <v>0.13735784313725496</v>
      </c>
      <c r="P33" s="304">
        <f>N33*(1-O33)*('Career Comparison'!$F$15/$E$8)*(1+'Government Figures'!$B$8)^(C33/$E$7)</f>
        <v>9714.7517833166403</v>
      </c>
      <c r="Q33" s="304">
        <f t="shared" si="3"/>
        <v>3897.5305810018908</v>
      </c>
      <c r="R33" s="304">
        <f>Q33*(1+'Government Figures'!$D$8)^(($E$10-$C33)/$E$7)</f>
        <v>3624.7282919058034</v>
      </c>
      <c r="S33" s="304"/>
      <c r="T33" s="294"/>
      <c r="U33" s="294"/>
      <c r="V33" s="274"/>
      <c r="W33" s="274">
        <f>SUM($V$15:V33)</f>
        <v>6</v>
      </c>
      <c r="X33" s="280" t="str">
        <f t="shared" si="4"/>
        <v xml:space="preserve"> </v>
      </c>
      <c r="Y33" s="309" t="str">
        <f t="shared" si="5"/>
        <v xml:space="preserve"> </v>
      </c>
      <c r="Z33" s="309" t="str">
        <f>IF($E$10=C33, (('Career Comparison'!$C$15/$E$8)*(1+'Government Figures'!$B$8)^(C33/$E$7)*$E$8/12), " ")</f>
        <v xml:space="preserve"> </v>
      </c>
      <c r="AA33" s="309" t="str">
        <f t="shared" si="6"/>
        <v xml:space="preserve"> </v>
      </c>
    </row>
    <row r="34" spans="1:31" s="281" customFormat="1" x14ac:dyDescent="0.25">
      <c r="A34" s="274"/>
      <c r="B34" s="275">
        <f t="shared" si="8"/>
        <v>20</v>
      </c>
      <c r="C34" s="275">
        <f t="shared" si="2"/>
        <v>76</v>
      </c>
      <c r="D34" s="276" t="str">
        <f>"Fall " &amp; (6+$E$13)</f>
        <v>Fall 2023</v>
      </c>
      <c r="E34" s="304">
        <f>-('Cost of Living'!$D$16/$E$8)*(1+'Government Figures'!$B$8/$E$8)^(C34/$E$7)</f>
        <v>-8263.7399913427744</v>
      </c>
      <c r="F34" s="304">
        <f>IF($E$8=3, ('Career Comparison'!$D$20/$E$8)*(1+'Government Figures'!$B$8/$E$8)^(C34/$E$7), "#VALUE!")</f>
        <v>2433.62025189315</v>
      </c>
      <c r="G34" s="304"/>
      <c r="H34" s="304">
        <f>IF($E$8=3, ('Career Comparison'!$C$20/$E$8)*(1+'Government Figures'!$B$8/$E$8)^(C34/$E$7), "#VALUE!")</f>
        <v>1738.3001799236786</v>
      </c>
      <c r="I34" s="304">
        <f>IF($E$8=3, ('Career Comparison'!$E$20/2)*(1+'Government Figures'!$B$8)^(C34/$E$7), "#VALUE!")</f>
        <v>2834.0516647107493</v>
      </c>
      <c r="J34" s="304">
        <f>IF(C34&lt;=$E$12, -('College Schedule'!$E$11/2)*(1+'Government Figures'!$C$8)^(C34/$E$7), -('Career Comparison'!$F$20/2)*(1+'Government Figures'!$C$8)^(C34/$E$7))</f>
        <v>-7460.5950150921162</v>
      </c>
      <c r="K34" s="304">
        <f t="shared" si="7"/>
        <v>-8718.3629099073132</v>
      </c>
      <c r="L34" s="304">
        <f>K34*(1+'Government Figures'!$D$8)^(($E$10-$C34)/$E$7)</f>
        <v>-7991.311400831788</v>
      </c>
      <c r="M34" s="277"/>
      <c r="N34" s="278">
        <v>1</v>
      </c>
      <c r="O34" s="279">
        <f>'Government Figures'!$I$37</f>
        <v>0.13735784313725496</v>
      </c>
      <c r="P34" s="304">
        <f>N34*(1-O34)*('Career Comparison'!$F$15/$E$8)*(1+'Government Figures'!$B$8)^(C34/$E$7)</f>
        <v>9779.0897628261373</v>
      </c>
      <c r="Q34" s="304">
        <f t="shared" si="3"/>
        <v>3948.9700233765125</v>
      </c>
      <c r="R34" s="304">
        <f>Q34*(1+'Government Figures'!$D$8)^(($E$10-$C34)/$E$7)</f>
        <v>3619.6530811410316</v>
      </c>
      <c r="S34" s="304"/>
      <c r="T34" s="294"/>
      <c r="U34" s="294"/>
      <c r="V34" s="274"/>
      <c r="W34" s="274">
        <f>SUM($V$15:V34)</f>
        <v>6</v>
      </c>
      <c r="X34" s="280" t="str">
        <f t="shared" si="4"/>
        <v xml:space="preserve"> </v>
      </c>
      <c r="Y34" s="309" t="str">
        <f t="shared" si="5"/>
        <v xml:space="preserve"> </v>
      </c>
      <c r="Z34" s="309" t="str">
        <f>IF($E$10=C34, (('Career Comparison'!$C$15/$E$8)*(1+'Government Figures'!$B$8)^(C34/$E$7)*$E$8/12), " ")</f>
        <v xml:space="preserve"> </v>
      </c>
      <c r="AA34" s="309" t="str">
        <f t="shared" si="6"/>
        <v xml:space="preserve"> </v>
      </c>
    </row>
    <row r="35" spans="1:31" s="281" customFormat="1" x14ac:dyDescent="0.25">
      <c r="A35" s="274"/>
      <c r="B35" s="275">
        <f t="shared" si="8"/>
        <v>21</v>
      </c>
      <c r="C35" s="275">
        <f t="shared" si="2"/>
        <v>80</v>
      </c>
      <c r="D35" s="276" t="str">
        <f xml:space="preserve"> "Spring " &amp; (7+$E$13)</f>
        <v>Spring 2024</v>
      </c>
      <c r="E35" s="304">
        <f>-('Cost of Living'!$D$16/$E$8)*(1+'Government Figures'!$B$8/$E$8)^(C35/$E$7)</f>
        <v>-8282.0631998721074</v>
      </c>
      <c r="F35" s="304">
        <f>IF($E$8=3, ('Career Comparison'!$D$20/$E$8)*(1+'Government Figures'!$B$8/$E$8)^(C35/$E$7), "#VALUE!")</f>
        <v>2439.0163233333651</v>
      </c>
      <c r="G35" s="304"/>
      <c r="H35" s="304">
        <f>IF($E$8=3, ('Career Comparison'!$C$20/$E$8)*(1+'Government Figures'!$B$8/$E$8)^(C35/$E$7), "#VALUE!")</f>
        <v>1742.1545166666892</v>
      </c>
      <c r="I35" s="304">
        <f>IF($E$8=3, ('Career Comparison'!$E$20/2)*(1+'Government Figures'!$B$8)^(C35/$E$7), "#VALUE!")</f>
        <v>2852.8207657644834</v>
      </c>
      <c r="J35" s="304">
        <f>IF(C35&lt;=$E$12, -('College Schedule'!$E$11/2)*(1+'Government Figures'!$C$8)^(C35/$E$7), -('Career Comparison'!$F$20/2)*(1+'Government Figures'!$C$8)^(C35/$E$7))</f>
        <v>-7546.6391164284641</v>
      </c>
      <c r="K35" s="304">
        <f t="shared" si="7"/>
        <v>-8794.7107105360337</v>
      </c>
      <c r="L35" s="304">
        <f>K35*(1+'Government Figures'!$D$8)^(($E$10-$C35)/$E$7)</f>
        <v>-7945.145504482146</v>
      </c>
      <c r="M35" s="277"/>
      <c r="N35" s="278">
        <v>1</v>
      </c>
      <c r="O35" s="279">
        <f>'Government Figures'!$I$37</f>
        <v>0.13735784313725496</v>
      </c>
      <c r="P35" s="304">
        <f>N35*(1-O35)*('Career Comparison'!$F$15/$E$8)*(1+'Government Figures'!$B$8)^(C35/$E$7)</f>
        <v>9843.8538340876075</v>
      </c>
      <c r="Q35" s="304">
        <f t="shared" si="3"/>
        <v>4000.8069575488653</v>
      </c>
      <c r="R35" s="304">
        <f>Q35*(1+'Government Figures'!$D$8)^(($E$10-$C35)/$E$7)</f>
        <v>3614.3307562111791</v>
      </c>
      <c r="S35" s="312"/>
      <c r="T35" s="294">
        <f>SUM(K33:K35)</f>
        <v>-21595.840452255892</v>
      </c>
      <c r="U35" s="309">
        <v>12500</v>
      </c>
      <c r="V35" s="274">
        <f>IF(-T35&gt;U35, 1, 0)</f>
        <v>1</v>
      </c>
      <c r="W35" s="274">
        <f>SUM($V$15:V35)</f>
        <v>7</v>
      </c>
      <c r="X35" s="280" t="str">
        <f t="shared" si="4"/>
        <v xml:space="preserve"> </v>
      </c>
      <c r="Y35" s="309" t="str">
        <f t="shared" si="5"/>
        <v xml:space="preserve"> </v>
      </c>
      <c r="Z35" s="309" t="str">
        <f>IF($E$10=C35, (('Career Comparison'!$C$15/$E$8)*(1+'Government Figures'!$B$8)^(C35/$E$7)*$E$8/12), " ")</f>
        <v xml:space="preserve"> </v>
      </c>
      <c r="AA35" s="309" t="str">
        <f t="shared" si="6"/>
        <v xml:space="preserve"> </v>
      </c>
    </row>
    <row r="36" spans="1:31" s="281" customFormat="1" x14ac:dyDescent="0.25">
      <c r="A36" s="274"/>
      <c r="B36" s="275">
        <f t="shared" si="8"/>
        <v>22</v>
      </c>
      <c r="C36" s="275">
        <f t="shared" si="2"/>
        <v>84</v>
      </c>
      <c r="D36" s="276" t="str">
        <f xml:space="preserve"> "Summer " &amp; (7+$E$13)</f>
        <v>Summer 2024</v>
      </c>
      <c r="E36" s="304">
        <f>-('Cost of Living'!$D$16/$E$8)*(1+'Government Figures'!$B$8/$E$8)^(C36/$E$7)</f>
        <v>-8300.4270364912863</v>
      </c>
      <c r="F36" s="304">
        <f>IF($E$8=3, ('Career Comparison'!$D$20/$E$8)*(1+'Government Figures'!$B$8/$E$8)^(C36/$E$7), "#VALUE!")</f>
        <v>2444.4243594944387</v>
      </c>
      <c r="G36" s="304"/>
      <c r="H36" s="304">
        <f>IF($E$8=3, ('Career Comparison'!$C$20/$E$8)*(1+'Government Figures'!$B$8/$E$8)^(C36/$E$7), "#VALUE!")</f>
        <v>1746.0173996388846</v>
      </c>
      <c r="I36" s="304"/>
      <c r="J36" s="304"/>
      <c r="K36" s="304">
        <f t="shared" si="7"/>
        <v>-4109.9852773579632</v>
      </c>
      <c r="L36" s="304">
        <f>K36*(1+'Government Figures'!$D$8)^(($E$10-$C36)/$E$7)</f>
        <v>-3659.4662653692608</v>
      </c>
      <c r="M36" s="277"/>
      <c r="N36" s="278">
        <v>1</v>
      </c>
      <c r="O36" s="279">
        <f>'Government Figures'!$I$37</f>
        <v>0.13735784313725496</v>
      </c>
      <c r="P36" s="304">
        <f>N36*(1-O36)*('Career Comparison'!$F$15/$E$8)*(1+'Government Figures'!$B$8)^(C36/$E$7)</f>
        <v>9909.0468189829717</v>
      </c>
      <c r="Q36" s="304">
        <f t="shared" si="3"/>
        <v>4053.0441419861236</v>
      </c>
      <c r="R36" s="304">
        <f>Q36*(1+'Government Figures'!$D$8)^(($E$10-$C36)/$E$7)</f>
        <v>3608.7667737791057</v>
      </c>
      <c r="S36" s="304"/>
      <c r="T36" s="294"/>
      <c r="U36" s="309"/>
      <c r="V36" s="274"/>
      <c r="W36" s="274">
        <f>SUM($V$15:V36)</f>
        <v>7</v>
      </c>
      <c r="X36" s="280" t="str">
        <f t="shared" si="4"/>
        <v xml:space="preserve"> </v>
      </c>
      <c r="Y36" s="309" t="str">
        <f t="shared" si="5"/>
        <v xml:space="preserve"> </v>
      </c>
      <c r="Z36" s="309" t="str">
        <f>IF($E$10=C36, (('Career Comparison'!$C$15/$E$8)*(1+'Government Figures'!$B$8)^(C36/$E$7)*$E$8/12), " ")</f>
        <v xml:space="preserve"> </v>
      </c>
      <c r="AA36" s="309" t="str">
        <f t="shared" si="6"/>
        <v xml:space="preserve"> </v>
      </c>
    </row>
    <row r="37" spans="1:31" s="281" customFormat="1" x14ac:dyDescent="0.25">
      <c r="A37" s="274"/>
      <c r="B37" s="275">
        <f t="shared" si="8"/>
        <v>23</v>
      </c>
      <c r="C37" s="275">
        <f t="shared" si="2"/>
        <v>88</v>
      </c>
      <c r="D37" s="276" t="str">
        <f>"Fall " &amp; (7+$E$13)</f>
        <v>Fall 2024</v>
      </c>
      <c r="E37" s="304">
        <f>-('Cost of Living'!$D$16/$E$8)*(1+'Government Figures'!$B$8/$E$8)^(C37/$E$7)</f>
        <v>-8318.8315912850576</v>
      </c>
      <c r="F37" s="304">
        <f>IF($E$8=3, ('Career Comparison'!$D$20/$E$8)*(1+'Government Figures'!$B$8/$E$8)^(C37/$E$7), "#VALUE!")</f>
        <v>2449.844386905771</v>
      </c>
      <c r="G37" s="304"/>
      <c r="H37" s="304">
        <f>IF($E$8=3, ('Career Comparison'!$C$20/$E$8)*(1+'Government Figures'!$B$8/$E$8)^(C37/$E$7), "#VALUE!")</f>
        <v>1749.8888477898363</v>
      </c>
      <c r="I37" s="304">
        <f>IF($E$8=3, ('Career Comparison'!$E$20/2)*(1+'Government Figures'!$B$8)^(C37/$E$7), "#VALUE!")</f>
        <v>2890.7326980049643</v>
      </c>
      <c r="J37" s="304">
        <f>IF(C37&lt;=$E$12, -('College Schedule'!$E$11/2)*(1+'Government Figures'!$C$8)^(C37/$E$7), -('Career Comparison'!$F$20/2)*(1+'Government Figures'!$C$8)^(C37/$E$7))</f>
        <v>-7721.7158406203398</v>
      </c>
      <c r="K37" s="304">
        <f t="shared" si="7"/>
        <v>-8950.0814992048254</v>
      </c>
      <c r="L37" s="304">
        <f>K37*(1+'Government Figures'!$D$8)^(($E$10-$C37)/$E$7)</f>
        <v>-7854.1945939192028</v>
      </c>
      <c r="M37" s="277"/>
      <c r="N37" s="278">
        <v>1</v>
      </c>
      <c r="O37" s="279">
        <f>'Government Figures'!$I$37</f>
        <v>0.13735784313725496</v>
      </c>
      <c r="P37" s="304">
        <f>N37*(1-O37)*('Career Comparison'!$F$15/$E$8)*(1+'Government Figures'!$B$8)^(C37/$E$7)</f>
        <v>9974.6715580826585</v>
      </c>
      <c r="Q37" s="304">
        <f t="shared" si="3"/>
        <v>4105.6843537033719</v>
      </c>
      <c r="R37" s="304">
        <f>Q37*(1+'Government Figures'!$D$8)^(($E$10-$C37)/$E$7)</f>
        <v>3602.9665046134683</v>
      </c>
      <c r="S37" s="304"/>
      <c r="T37" s="294"/>
      <c r="U37" s="294"/>
      <c r="V37" s="274"/>
      <c r="W37" s="274">
        <f>SUM($V$15:V37)</f>
        <v>7</v>
      </c>
      <c r="X37" s="280" t="str">
        <f t="shared" si="4"/>
        <v xml:space="preserve"> </v>
      </c>
      <c r="Y37" s="309" t="str">
        <f t="shared" si="5"/>
        <v xml:space="preserve"> </v>
      </c>
      <c r="Z37" s="309" t="str">
        <f>IF($E$10=C37, (('Career Comparison'!$C$15/$E$8)*(1+'Government Figures'!$B$8)^(C37/$E$7)*$E$8/12), " ")</f>
        <v xml:space="preserve"> </v>
      </c>
      <c r="AA37" s="309" t="str">
        <f t="shared" si="6"/>
        <v xml:space="preserve"> </v>
      </c>
    </row>
    <row r="38" spans="1:31" s="281" customFormat="1" x14ac:dyDescent="0.25">
      <c r="A38" s="274"/>
      <c r="B38" s="275">
        <f t="shared" si="8"/>
        <v>24</v>
      </c>
      <c r="C38" s="275">
        <f t="shared" si="2"/>
        <v>92</v>
      </c>
      <c r="D38" s="276" t="str">
        <f xml:space="preserve"> "Spring " &amp; (8+$E$13)</f>
        <v>Spring 2025</v>
      </c>
      <c r="E38" s="304">
        <f>-('Cost of Living'!$D$16/$E$8)*(1+'Government Figures'!$B$8/$E$8)^(C38/$E$7)</f>
        <v>-8337.2769545379215</v>
      </c>
      <c r="F38" s="304">
        <f>IF($E$8=3, ('Career Comparison'!$D$20/$E$8)*(1+'Government Figures'!$B$8/$E$8)^(C38/$E$7), "#VALUE!")</f>
        <v>2455.2764321555878</v>
      </c>
      <c r="G38" s="304"/>
      <c r="H38" s="304">
        <f>IF($E$8=3, ('Career Comparison'!$C$20/$E$8)*(1+'Government Figures'!$B$8/$E$8)^(C38/$E$7), "#VALUE!")</f>
        <v>1753.768880111134</v>
      </c>
      <c r="I38" s="304">
        <f>IF($E$8=3, ('Career Comparison'!$E$20/2)*(1+'Government Figures'!$B$8)^(C38/$E$7), "#VALUE!")</f>
        <v>2909.877181079773</v>
      </c>
      <c r="J38" s="304">
        <f>IF(C38&lt;=$E$12, -('College Schedule'!$E$11/2)*(1+'Government Figures'!$C$8)^(C38/$E$7), -('Career Comparison'!$F$20/2)*(1+'Government Figures'!$C$8)^(C38/$E$7))</f>
        <v>-7810.7714855034601</v>
      </c>
      <c r="K38" s="304">
        <f t="shared" si="7"/>
        <v>-9029.1259466948868</v>
      </c>
      <c r="L38" s="304">
        <f>K38*(1+'Government Figures'!$D$8)^(($E$10-$C38)/$E$7)</f>
        <v>-7809.398115278751</v>
      </c>
      <c r="M38" s="277"/>
      <c r="N38" s="278">
        <v>1</v>
      </c>
      <c r="O38" s="279">
        <f>'Government Figures'!$I$37</f>
        <v>0.13735784313725496</v>
      </c>
      <c r="P38" s="304">
        <f>N38*(1-O38)*('Career Comparison'!$F$15/$E$8)*(1+'Government Figures'!$B$8)^(C38/$E$7)</f>
        <v>10040.73091076936</v>
      </c>
      <c r="Q38" s="304">
        <f t="shared" si="3"/>
        <v>4158.7303883870263</v>
      </c>
      <c r="R38" s="304">
        <f>Q38*(1+'Government Figures'!$D$8)^(($E$10-$C38)/$E$7)</f>
        <v>3596.9352347898512</v>
      </c>
      <c r="S38" s="312"/>
      <c r="T38" s="294">
        <f>SUM(K36:K38)</f>
        <v>-22089.192723257675</v>
      </c>
      <c r="U38" s="309">
        <v>12500</v>
      </c>
      <c r="V38" s="274">
        <f>IF(-T38&gt;U38, 1, 0)</f>
        <v>1</v>
      </c>
      <c r="W38" s="274">
        <f>SUM($V$15:V38)</f>
        <v>8</v>
      </c>
      <c r="X38" s="280" t="str">
        <f t="shared" si="4"/>
        <v xml:space="preserve"> </v>
      </c>
      <c r="Y38" s="309" t="str">
        <f t="shared" si="5"/>
        <v xml:space="preserve"> </v>
      </c>
      <c r="Z38" s="309" t="str">
        <f>IF($E$10=C38, (('Career Comparison'!$C$15/$E$8)*(1+'Government Figures'!$B$8)^(C38/$E$7)*$E$8/12), " ")</f>
        <v xml:space="preserve"> </v>
      </c>
      <c r="AA38" s="309" t="str">
        <f t="shared" si="6"/>
        <v xml:space="preserve"> </v>
      </c>
    </row>
    <row r="39" spans="1:31" ht="15.75" thickBot="1" x14ac:dyDescent="0.3">
      <c r="A39" s="118"/>
      <c r="B39" s="136"/>
      <c r="C39" s="136"/>
      <c r="D39" s="136"/>
      <c r="E39" s="305"/>
      <c r="F39" s="305"/>
      <c r="G39" s="305"/>
      <c r="H39" s="305"/>
      <c r="I39" s="305"/>
      <c r="J39" s="305"/>
      <c r="K39" s="305"/>
      <c r="L39" s="305"/>
      <c r="M39" s="137"/>
      <c r="N39" s="137"/>
      <c r="O39" s="137"/>
      <c r="P39" s="305"/>
      <c r="Q39" s="305"/>
      <c r="R39" s="305"/>
      <c r="S39" s="293"/>
      <c r="T39" s="293"/>
      <c r="U39" s="301"/>
      <c r="V39" s="118"/>
      <c r="W39" s="118"/>
      <c r="X39" s="118"/>
      <c r="Y39" s="293"/>
      <c r="Z39" s="293"/>
      <c r="AA39" s="293"/>
    </row>
    <row r="40" spans="1:31" x14ac:dyDescent="0.25">
      <c r="A40" s="118"/>
      <c r="B40" s="153"/>
      <c r="C40" s="153"/>
      <c r="D40" s="135"/>
      <c r="E40" s="306"/>
      <c r="F40" s="306"/>
      <c r="G40" s="306"/>
      <c r="H40" s="306"/>
      <c r="I40" s="306"/>
      <c r="J40" s="306"/>
      <c r="K40" s="306"/>
      <c r="L40" s="306"/>
      <c r="M40" s="130"/>
      <c r="N40" s="130"/>
      <c r="O40" s="130"/>
      <c r="P40" s="306"/>
      <c r="Q40" s="306"/>
      <c r="R40" s="306"/>
      <c r="S40" s="293"/>
      <c r="T40" s="293"/>
      <c r="U40" s="301"/>
      <c r="V40" s="118"/>
      <c r="W40" s="118"/>
      <c r="X40" s="118"/>
      <c r="Y40" s="293"/>
      <c r="Z40" s="293"/>
      <c r="AA40" s="293"/>
    </row>
    <row r="41" spans="1:31" x14ac:dyDescent="0.25">
      <c r="A41" s="118"/>
      <c r="B41" s="153"/>
      <c r="C41" s="367" t="str">
        <f>IF(E10/(E7/E8) = ROUND(E10/(E7/E8),0), " ", "Check months, E10 not a multiple of E7/E8")</f>
        <v xml:space="preserve"> </v>
      </c>
      <c r="D41" s="135" t="str">
        <f>"Total in " &amp; E10 &amp; " months"</f>
        <v>Total in 52 months</v>
      </c>
      <c r="E41" s="306">
        <f ca="1">SUM(INDIRECT("E"&amp;($E$9*$E$8/$E$7+$V$8)&amp;":E"&amp;($V$8+$E$10*$E$8/$E$7)))</f>
        <v>-112537.76573549365</v>
      </c>
      <c r="F41" s="306">
        <f ca="1">SUM(INDIRECT("F"&amp;($E$9*$E$8/$E$7+$V$8)&amp;":F"&amp;($V$8+$E$10*$E$8/$E$7)))</f>
        <v>33141.675087021045</v>
      </c>
      <c r="G41" s="306"/>
      <c r="H41" s="306">
        <f ca="1">SUM(INDIRECT("H"&amp;($E$9*$E$8/$E$7+$V$8)&amp;":H"&amp;($V$8+$E$10*$E$8/$E$7)))</f>
        <v>23672.625062157895</v>
      </c>
      <c r="I41" s="306">
        <f ca="1">SUM(INDIRECT("i"&amp;($E$9*$E$8/$E$7+$V$8)&amp;":i"&amp;($V$8+$E$10*$E$8/$E$7)))</f>
        <v>23537.215517042387</v>
      </c>
      <c r="J41" s="306">
        <f ca="1">SUM(INDIRECT("j"&amp;($E$9*$E$8/$E$7+$V$8)&amp;":j"&amp;($V$8+$E$10*$E$8/$E$7)))</f>
        <v>-58422.23126080526</v>
      </c>
      <c r="K41" s="306">
        <f ca="1">SUM(INDIRECT("k"&amp;($E$9*$E$8/$E$7+$V$8)&amp;":k"&amp;($V$8+$E$10*$E$8/$E$7)))</f>
        <v>-90608.481330077571</v>
      </c>
      <c r="L41" s="306">
        <f ca="1">SUM(INDIRECT("l"&amp;($E$9*$E$8/$E$7+$V$8)&amp;":l"&amp;($V$8+$E$10*$E$8/$E$7)))</f>
        <v>-99428.040348529583</v>
      </c>
      <c r="M41" s="130"/>
      <c r="N41" s="130"/>
      <c r="O41" s="130"/>
      <c r="P41" s="306">
        <f ca="1">SUM(INDIRECT("p"&amp;($E$9*$E$8/$E$7+$V$8)&amp;":p"&amp;($V$8+$E$10*$E$8/$E$7)))</f>
        <v>126109.0217208863</v>
      </c>
      <c r="Q41" s="306">
        <f ca="1">SUM(INDIRECT("q"&amp;($E$9*$E$8/$E$7+$V$8)&amp;":q"&amp;($V$8+$E$10*$E$8/$E$7)))</f>
        <v>46712.931072413725</v>
      </c>
      <c r="R41" s="306">
        <f ca="1">SUM(INDIRECT("r"&amp;($E$9*$E$8/$E$7+$V$8)&amp;":r"&amp;($V$8+$E$10*$E$8/$E$7)))</f>
        <v>51251.686010205674</v>
      </c>
      <c r="S41" s="293"/>
      <c r="T41" s="293">
        <f ca="1">K41</f>
        <v>-90608.481330077571</v>
      </c>
      <c r="U41" s="301">
        <v>57500</v>
      </c>
      <c r="V41" s="118">
        <f ca="1">IF(-T41&gt;U41, 1, 0)</f>
        <v>1</v>
      </c>
      <c r="W41" s="118"/>
      <c r="X41" s="118">
        <f ca="1">IF(SUM(X15:X38)+V41&gt;0,1,0)</f>
        <v>1</v>
      </c>
      <c r="Y41" s="293">
        <f>SUM(Y15:Y38)</f>
        <v>2038.6622275910313</v>
      </c>
      <c r="Z41" s="293">
        <f t="shared" ref="Z41:AA41" si="9">SUM(Z15:Z38)</f>
        <v>4540.0033075591909</v>
      </c>
      <c r="AA41" s="293">
        <f t="shared" si="9"/>
        <v>2724.001984535515</v>
      </c>
    </row>
    <row r="42" spans="1:31" s="55" customFormat="1" ht="51" customHeight="1" x14ac:dyDescent="0.35">
      <c r="A42" s="118"/>
      <c r="B42" s="118"/>
      <c r="C42" s="367"/>
      <c r="D42" s="130"/>
      <c r="E42" s="306"/>
      <c r="F42" s="306"/>
      <c r="G42" s="306"/>
      <c r="H42" s="306"/>
      <c r="I42" s="306"/>
      <c r="J42" s="306"/>
      <c r="K42" s="306"/>
      <c r="L42" s="306"/>
      <c r="M42" s="130"/>
      <c r="N42" s="130"/>
      <c r="O42" s="130"/>
      <c r="P42" s="306"/>
      <c r="Q42" s="306"/>
      <c r="R42" s="306"/>
      <c r="S42" s="306"/>
      <c r="T42" s="293"/>
      <c r="U42" s="293"/>
      <c r="V42" s="118"/>
      <c r="W42" s="118"/>
      <c r="X42" s="118"/>
      <c r="Y42" s="293"/>
      <c r="Z42" s="293"/>
      <c r="AA42" s="293"/>
      <c r="AB42" s="2"/>
      <c r="AC42" s="2"/>
      <c r="AD42" s="2"/>
      <c r="AE42" s="2"/>
    </row>
    <row r="43" spans="1:31" ht="25.5" x14ac:dyDescent="0.35">
      <c r="A43" s="138"/>
      <c r="B43" s="138"/>
      <c r="C43" s="139" t="s">
        <v>93</v>
      </c>
      <c r="D43" s="140"/>
      <c r="E43" s="307"/>
      <c r="F43" s="307"/>
      <c r="G43" s="307"/>
      <c r="H43" s="307"/>
      <c r="I43" s="307"/>
      <c r="J43" s="307"/>
      <c r="K43" s="307"/>
      <c r="L43" s="307"/>
      <c r="M43" s="140"/>
      <c r="N43" s="140"/>
      <c r="O43" s="140"/>
      <c r="P43" s="307"/>
      <c r="Q43" s="307"/>
      <c r="R43" s="307"/>
      <c r="S43" s="307"/>
      <c r="T43" s="313"/>
      <c r="U43" s="313"/>
      <c r="V43" s="138"/>
      <c r="W43" s="138"/>
      <c r="X43" s="138"/>
      <c r="Y43" s="313"/>
      <c r="Z43" s="313"/>
      <c r="AA43" s="313"/>
      <c r="AB43" s="55"/>
      <c r="AC43" s="55"/>
      <c r="AD43" s="55"/>
      <c r="AE43" s="55"/>
    </row>
    <row r="44" spans="1:31" x14ac:dyDescent="0.25">
      <c r="A44" s="118"/>
      <c r="B44" s="118"/>
      <c r="C44" s="129"/>
      <c r="D44" s="130"/>
      <c r="E44" s="306"/>
      <c r="F44" s="306"/>
      <c r="G44" s="306"/>
      <c r="H44" s="306"/>
      <c r="I44" s="306"/>
      <c r="J44" s="306"/>
      <c r="K44" s="306"/>
      <c r="L44" s="306"/>
      <c r="M44" s="130"/>
      <c r="N44" s="130"/>
      <c r="O44" s="130"/>
      <c r="P44" s="306"/>
      <c r="Q44" s="306"/>
      <c r="R44" s="306"/>
      <c r="S44" s="306"/>
      <c r="T44" s="293"/>
      <c r="U44" s="293"/>
      <c r="V44" s="118"/>
      <c r="W44" s="118"/>
      <c r="X44" s="118"/>
      <c r="Y44" s="293"/>
      <c r="Z44" s="293"/>
      <c r="AA44" s="293"/>
    </row>
    <row r="45" spans="1:31" s="281" customFormat="1" x14ac:dyDescent="0.25">
      <c r="A45" s="274"/>
      <c r="B45" s="275">
        <v>1</v>
      </c>
      <c r="C45" s="275" t="str">
        <f t="shared" ref="C45:C76" si="10">IF($E$8=4, ($E$9+$E$7*(B45-1)/$E$8), "Semester")</f>
        <v>Semester</v>
      </c>
      <c r="D45" s="276" t="str">
        <f xml:space="preserve"> "Summer " &amp; (0+$E$13)</f>
        <v>Summer 2017</v>
      </c>
      <c r="E45" s="304" t="e">
        <f>-('Cost of Living'!$D$16/$E$8)*(1+'Government Figures'!$B$8/$E$8)^(C45/$E$7)</f>
        <v>#VALUE!</v>
      </c>
      <c r="F45" s="304" t="str">
        <f>IF($E$8=3, "#VALUE!", ('Career Comparison'!$D$20/$E$8)*(1+'Government Figures'!$B$8/$E$8)^(C45/$E$7))</f>
        <v>#VALUE!</v>
      </c>
      <c r="G45" s="304"/>
      <c r="H45" s="304" t="str">
        <f>IF($E$8=3, "#VALUE!", ('Career Comparison'!$C$20/$E$8)*(1+'Government Figures'!$B$8/$E$8)^(C45/$E$7))</f>
        <v>#VALUE!</v>
      </c>
      <c r="I45" s="304"/>
      <c r="J45" s="304"/>
      <c r="K45" s="304" t="e">
        <f>SUM(E45:J45)</f>
        <v>#VALUE!</v>
      </c>
      <c r="L45" s="304" t="e">
        <f>K45*(1+'Government Figures'!$D$8)^(($E$10-$C45)/$E$7)</f>
        <v>#VALUE!</v>
      </c>
      <c r="M45" s="277"/>
      <c r="N45" s="278">
        <v>1</v>
      </c>
      <c r="O45" s="279">
        <f>'Government Figures'!$I$37</f>
        <v>0.13735784313725496</v>
      </c>
      <c r="P45" s="304" t="e">
        <f>N45*(1-O45)*('Career Comparison'!$F$15/$E$8)*(1+'Government Figures'!$B$8)^(C45/$E$7)</f>
        <v>#VALUE!</v>
      </c>
      <c r="Q45" s="304" t="str">
        <f t="shared" ref="Q45:Q76" si="11">IF($E$8=3, "#VALUE!", (E45+F45+P45))</f>
        <v>#VALUE!</v>
      </c>
      <c r="R45" s="304" t="e">
        <f>Q45*(1+'Government Figures'!$D$8)^(($E$10-$C45)/$E$7)</f>
        <v>#VALUE!</v>
      </c>
      <c r="S45" s="294"/>
      <c r="T45" s="294"/>
      <c r="U45" s="294"/>
      <c r="V45" s="274"/>
      <c r="W45" s="274">
        <f>SUM($V$45:V45)</f>
        <v>0</v>
      </c>
      <c r="X45" s="280" t="str">
        <f t="shared" ref="X45:X76" si="12">IF($E$10=C45, W45/4, " ")</f>
        <v xml:space="preserve"> </v>
      </c>
      <c r="Y45" s="309" t="str">
        <f t="shared" ref="Y45:Y76" si="13">IF($E$10=C45, -$E$8*E45/12, " ")</f>
        <v xml:space="preserve"> </v>
      </c>
      <c r="Z45" s="309" t="str">
        <f>IF($E$10=C45, ('Career Comparison'!$C$15/$E$8)*(1+'Government Figures'!$B$8)^(C45/$E$7)*$E$8/12, " ")</f>
        <v xml:space="preserve"> </v>
      </c>
      <c r="AA45" s="309" t="str">
        <f t="shared" ref="AA45:AA76" si="14">IF($E$10=C45, $E$8*P45/(12*(1-O45)), " ")</f>
        <v xml:space="preserve"> </v>
      </c>
    </row>
    <row r="46" spans="1:31" s="281" customFormat="1" x14ac:dyDescent="0.25">
      <c r="A46" s="274"/>
      <c r="B46" s="275">
        <f>B45+1</f>
        <v>2</v>
      </c>
      <c r="C46" s="275" t="str">
        <f t="shared" si="10"/>
        <v>Semester</v>
      </c>
      <c r="D46" s="276" t="str">
        <f>"Fall " &amp; (0+$E$13)</f>
        <v>Fall 2017</v>
      </c>
      <c r="E46" s="304" t="e">
        <f>-('Cost of Living'!$D$16/$E$8)*(1+'Government Figures'!$B$8/$E$8)^(C46/$E$7)</f>
        <v>#VALUE!</v>
      </c>
      <c r="F46" s="304" t="str">
        <f>IF($E$8=3, "#VALUE!", ('Career Comparison'!$D$20/$E$8)*(1+'Government Figures'!$B$8/$E$8)^(C46/$E$7))</f>
        <v>#VALUE!</v>
      </c>
      <c r="G46" s="304"/>
      <c r="H46" s="304" t="str">
        <f>IF($E$8=3, "#VALUE!", ('Career Comparison'!$C$20/$E$8)*(1+'Government Figures'!$B$8/$E$8)^(C46/$E$7))</f>
        <v>#VALUE!</v>
      </c>
      <c r="I46" s="304" t="str">
        <f>IF($E$8=3, "#VALUE!", ('Career Comparison'!$E$20/3)*(1+'Government Figures'!$B$8/$E$8)^(C45/$E$7))</f>
        <v>#VALUE!</v>
      </c>
      <c r="J46" s="304" t="e">
        <f>IF(C46&lt;=$E$12, -('College Schedule'!$E$11/3)*(1+'Government Figures'!$C$8)^(C46/$E$7), -('Career Comparison'!$F$20/3)*(1+'Government Figures'!$C$8)^(C46/$E$7))</f>
        <v>#VALUE!</v>
      </c>
      <c r="K46" s="304" t="e">
        <f t="shared" ref="K46:K76" si="15">SUM(E46:J46)</f>
        <v>#VALUE!</v>
      </c>
      <c r="L46" s="304" t="e">
        <f>K46*(1+'Government Figures'!$D$8)^(($E$10-$C46)/$E$7)</f>
        <v>#VALUE!</v>
      </c>
      <c r="M46" s="277"/>
      <c r="N46" s="278">
        <v>1</v>
      </c>
      <c r="O46" s="279">
        <f>'Government Figures'!$I$37</f>
        <v>0.13735784313725496</v>
      </c>
      <c r="P46" s="304" t="e">
        <f>N46*(1-O46)*('Career Comparison'!$F$15/$E$8)*(1+'Government Figures'!$B$8)^(C46/$E$7)</f>
        <v>#VALUE!</v>
      </c>
      <c r="Q46" s="304" t="str">
        <f t="shared" si="11"/>
        <v>#VALUE!</v>
      </c>
      <c r="R46" s="304" t="e">
        <f>Q46*(1+'Government Figures'!$D$8)^(($E$10-$C46)/$E$7)</f>
        <v>#VALUE!</v>
      </c>
      <c r="S46" s="294"/>
      <c r="T46" s="294"/>
      <c r="U46" s="294"/>
      <c r="V46" s="274"/>
      <c r="W46" s="274">
        <f>SUM($V$45:V46)</f>
        <v>0</v>
      </c>
      <c r="X46" s="280" t="str">
        <f t="shared" si="12"/>
        <v xml:space="preserve"> </v>
      </c>
      <c r="Y46" s="309" t="str">
        <f t="shared" si="13"/>
        <v xml:space="preserve"> </v>
      </c>
      <c r="Z46" s="309" t="str">
        <f>IF($E$10=C46, ('Career Comparison'!$C$15/$E$8)*(1+'Government Figures'!$B$8)^(C46/$E$7)*$E$8/12, " ")</f>
        <v xml:space="preserve"> </v>
      </c>
      <c r="AA46" s="309" t="str">
        <f t="shared" si="14"/>
        <v xml:space="preserve"> </v>
      </c>
    </row>
    <row r="47" spans="1:31" s="281" customFormat="1" x14ac:dyDescent="0.25">
      <c r="A47" s="274"/>
      <c r="B47" s="275">
        <f t="shared" ref="B47:B76" si="16">B46+1</f>
        <v>3</v>
      </c>
      <c r="C47" s="275" t="str">
        <f t="shared" si="10"/>
        <v>Semester</v>
      </c>
      <c r="D47" s="276" t="str">
        <f xml:space="preserve"> "Winter " &amp; (1+$E$13)</f>
        <v>Winter 2018</v>
      </c>
      <c r="E47" s="304" t="e">
        <f>-('Cost of Living'!$D$16/$E$8)*(1+'Government Figures'!$B$8/$E$8)^(C47/$E$7)</f>
        <v>#VALUE!</v>
      </c>
      <c r="F47" s="304" t="str">
        <f>IF($E$8=3, "#VALUE!", ('Career Comparison'!$D$20/$E$8)*(1+'Government Figures'!$B$8/$E$8)^(C47/$E$7))</f>
        <v>#VALUE!</v>
      </c>
      <c r="G47" s="304"/>
      <c r="H47" s="304" t="str">
        <f>IF($E$8=3, "#VALUE!", ('Career Comparison'!$C$20/$E$8)*(1+'Government Figures'!$B$8/$E$8)^(C47/$E$7))</f>
        <v>#VALUE!</v>
      </c>
      <c r="I47" s="304" t="str">
        <f>IF($E$8=3, "#VALUE!", ('Career Comparison'!$E$20/3)*(1+'Government Figures'!$B$8/$E$8)^(C46/$E$7))</f>
        <v>#VALUE!</v>
      </c>
      <c r="J47" s="304" t="e">
        <f>IF(C47&lt;=$E$12, -('College Schedule'!$E$11/3)*(1+'Government Figures'!$C$8)^(C47/$E$7), -('Career Comparison'!$F$20/3)*(1+'Government Figures'!$C$8)^(C47/$E$7))</f>
        <v>#VALUE!</v>
      </c>
      <c r="K47" s="304" t="e">
        <f t="shared" si="15"/>
        <v>#VALUE!</v>
      </c>
      <c r="L47" s="304" t="e">
        <f>K47*(1+'Government Figures'!$D$8)^(($E$10-$C47)/$E$7)</f>
        <v>#VALUE!</v>
      </c>
      <c r="M47" s="277"/>
      <c r="N47" s="278">
        <v>1</v>
      </c>
      <c r="O47" s="279">
        <f>'Government Figures'!$I$37</f>
        <v>0.13735784313725496</v>
      </c>
      <c r="P47" s="304" t="e">
        <f>N47*(1-O47)*('Career Comparison'!$F$15/$E$8)*(1+'Government Figures'!$B$8)^(C47/$E$7)</f>
        <v>#VALUE!</v>
      </c>
      <c r="Q47" s="304" t="str">
        <f t="shared" si="11"/>
        <v>#VALUE!</v>
      </c>
      <c r="R47" s="304" t="e">
        <f>Q47*(1+'Government Figures'!$D$8)^(($E$10-$C47)/$E$7)</f>
        <v>#VALUE!</v>
      </c>
      <c r="S47" s="294"/>
      <c r="T47" s="294"/>
      <c r="U47" s="294"/>
      <c r="V47" s="274"/>
      <c r="W47" s="274">
        <f>SUM($V$45:V47)</f>
        <v>0</v>
      </c>
      <c r="X47" s="280" t="str">
        <f t="shared" si="12"/>
        <v xml:space="preserve"> </v>
      </c>
      <c r="Y47" s="309" t="str">
        <f t="shared" si="13"/>
        <v xml:space="preserve"> </v>
      </c>
      <c r="Z47" s="309" t="str">
        <f>IF($E$10=C47, ('Career Comparison'!$C$15/$E$8)*(1+'Government Figures'!$B$8)^(C47/$E$7)*$E$8/12, " ")</f>
        <v xml:space="preserve"> </v>
      </c>
      <c r="AA47" s="309" t="str">
        <f t="shared" si="14"/>
        <v xml:space="preserve"> </v>
      </c>
    </row>
    <row r="48" spans="1:31" s="281" customFormat="1" x14ac:dyDescent="0.25">
      <c r="A48" s="274"/>
      <c r="B48" s="275">
        <f t="shared" si="16"/>
        <v>4</v>
      </c>
      <c r="C48" s="275" t="str">
        <f t="shared" si="10"/>
        <v>Semester</v>
      </c>
      <c r="D48" s="276" t="str">
        <f xml:space="preserve"> "Spring " &amp; (1+$E$13)</f>
        <v>Spring 2018</v>
      </c>
      <c r="E48" s="304" t="e">
        <f>-('Cost of Living'!$D$16/$E$8)*(1+'Government Figures'!$B$8/$E$8)^(C48/$E$7)</f>
        <v>#VALUE!</v>
      </c>
      <c r="F48" s="304" t="str">
        <f>IF($E$8=3, "#VALUE!", ('Career Comparison'!$D$20/$E$8)*(1+'Government Figures'!$B$8/$E$8)^(C48/$E$7))</f>
        <v>#VALUE!</v>
      </c>
      <c r="G48" s="304"/>
      <c r="H48" s="304" t="str">
        <f>IF($E$8=3, "#VALUE!", ('Career Comparison'!$C$20/$E$8)*(1+'Government Figures'!$B$8/$E$8)^(C48/$E$7))</f>
        <v>#VALUE!</v>
      </c>
      <c r="I48" s="304" t="str">
        <f>IF($E$8=3, "#VALUE!", ('Career Comparison'!$E$20/3)*(1+'Government Figures'!$B$8/$E$8)^(C47/$E$7))</f>
        <v>#VALUE!</v>
      </c>
      <c r="J48" s="304" t="e">
        <f>IF(C48&lt;=$E$12, -('College Schedule'!$E$11/3)*(1+'Government Figures'!$C$8)^(C48/$E$7), -('Career Comparison'!$F$20/3)*(1+'Government Figures'!$C$8)^(C48/$E$7))</f>
        <v>#VALUE!</v>
      </c>
      <c r="K48" s="304" t="e">
        <f t="shared" si="15"/>
        <v>#VALUE!</v>
      </c>
      <c r="L48" s="304" t="e">
        <f>K48*(1+'Government Figures'!$D$8)^(($E$10-$C48)/$E$7)</f>
        <v>#VALUE!</v>
      </c>
      <c r="M48" s="277"/>
      <c r="N48" s="278">
        <v>1</v>
      </c>
      <c r="O48" s="279">
        <f>'Government Figures'!$I$37</f>
        <v>0.13735784313725496</v>
      </c>
      <c r="P48" s="304" t="e">
        <f>N48*(1-O48)*('Career Comparison'!$F$15/$E$8)*(1+'Government Figures'!$B$8)^(C48/$E$7)</f>
        <v>#VALUE!</v>
      </c>
      <c r="Q48" s="304" t="str">
        <f t="shared" si="11"/>
        <v>#VALUE!</v>
      </c>
      <c r="R48" s="304" t="e">
        <f>Q48*(1+'Government Figures'!$D$8)^(($E$10-$C48)/$E$7)</f>
        <v>#VALUE!</v>
      </c>
      <c r="S48" s="294"/>
      <c r="T48" s="294" t="e">
        <f>SUM(K45:K48)</f>
        <v>#VALUE!</v>
      </c>
      <c r="U48" s="309">
        <v>9500</v>
      </c>
      <c r="V48" s="274" t="e">
        <f>IF(-T48&gt;U48, 1, 0)</f>
        <v>#VALUE!</v>
      </c>
      <c r="W48" s="274" t="e">
        <f>SUM($V$45:V48)</f>
        <v>#VALUE!</v>
      </c>
      <c r="X48" s="280" t="str">
        <f t="shared" si="12"/>
        <v xml:space="preserve"> </v>
      </c>
      <c r="Y48" s="309" t="str">
        <f t="shared" si="13"/>
        <v xml:space="preserve"> </v>
      </c>
      <c r="Z48" s="309" t="str">
        <f>IF($E$10=C48, ('Career Comparison'!$C$15/$E$8)*(1+'Government Figures'!$B$8)^(C48/$E$7)*$E$8/12, " ")</f>
        <v xml:space="preserve"> </v>
      </c>
      <c r="AA48" s="309" t="str">
        <f t="shared" si="14"/>
        <v xml:space="preserve"> </v>
      </c>
    </row>
    <row r="49" spans="1:28" s="281" customFormat="1" x14ac:dyDescent="0.25">
      <c r="A49" s="274"/>
      <c r="B49" s="275">
        <f t="shared" si="16"/>
        <v>5</v>
      </c>
      <c r="C49" s="275" t="str">
        <f t="shared" si="10"/>
        <v>Semester</v>
      </c>
      <c r="D49" s="276" t="str">
        <f>"Summer " &amp; (1+$E$13)</f>
        <v>Summer 2018</v>
      </c>
      <c r="E49" s="304" t="e">
        <f>-('Cost of Living'!$D$16/$E$8)*(1+'Government Figures'!$B$8/$E$8)^(C49/$E$7)</f>
        <v>#VALUE!</v>
      </c>
      <c r="F49" s="304" t="str">
        <f>IF($E$8=3, "#VALUE!", ('Career Comparison'!$D$20/$E$8)*(1+'Government Figures'!$B$8/$E$8)^(C49/$E$7))</f>
        <v>#VALUE!</v>
      </c>
      <c r="G49" s="304"/>
      <c r="H49" s="304" t="str">
        <f>IF($E$8=3, "#VALUE!", ('Career Comparison'!$C$20/$E$8)*(1+'Government Figures'!$B$8/$E$8)^(C49/$E$7))</f>
        <v>#VALUE!</v>
      </c>
      <c r="I49" s="304"/>
      <c r="J49" s="304"/>
      <c r="K49" s="304" t="e">
        <f t="shared" si="15"/>
        <v>#VALUE!</v>
      </c>
      <c r="L49" s="304" t="e">
        <f>K49*(1+'Government Figures'!$D$8)^(($E$10-$C49)/$E$7)</f>
        <v>#VALUE!</v>
      </c>
      <c r="M49" s="277"/>
      <c r="N49" s="278">
        <v>1</v>
      </c>
      <c r="O49" s="279">
        <f>'Government Figures'!$I$37</f>
        <v>0.13735784313725496</v>
      </c>
      <c r="P49" s="304" t="e">
        <f>N49*(1-O49)*('Career Comparison'!$F$15/$E$8)*(1+'Government Figures'!$B$8)^(C49/$E$7)</f>
        <v>#VALUE!</v>
      </c>
      <c r="Q49" s="304" t="str">
        <f t="shared" si="11"/>
        <v>#VALUE!</v>
      </c>
      <c r="R49" s="304" t="e">
        <f>Q49*(1+'Government Figures'!$D$8)^(($E$10-$C49)/$E$7)</f>
        <v>#VALUE!</v>
      </c>
      <c r="S49" s="294"/>
      <c r="T49" s="294"/>
      <c r="U49" s="309"/>
      <c r="V49" s="274"/>
      <c r="W49" s="274" t="e">
        <f>SUM($V$45:V49)</f>
        <v>#VALUE!</v>
      </c>
      <c r="X49" s="280" t="str">
        <f t="shared" si="12"/>
        <v xml:space="preserve"> </v>
      </c>
      <c r="Y49" s="309" t="str">
        <f t="shared" si="13"/>
        <v xml:space="preserve"> </v>
      </c>
      <c r="Z49" s="309" t="str">
        <f>IF($E$10=C49, ('Career Comparison'!$C$15/$E$8)*(1+'Government Figures'!$B$8)^(C49/$E$7)*$E$8/12, " ")</f>
        <v xml:space="preserve"> </v>
      </c>
      <c r="AA49" s="309" t="str">
        <f t="shared" si="14"/>
        <v xml:space="preserve"> </v>
      </c>
    </row>
    <row r="50" spans="1:28" s="281" customFormat="1" x14ac:dyDescent="0.25">
      <c r="A50" s="274"/>
      <c r="B50" s="275">
        <f t="shared" si="16"/>
        <v>6</v>
      </c>
      <c r="C50" s="275" t="str">
        <f t="shared" si="10"/>
        <v>Semester</v>
      </c>
      <c r="D50" s="276" t="str">
        <f xml:space="preserve"> "Fall " &amp; (1+$E$13)</f>
        <v>Fall 2018</v>
      </c>
      <c r="E50" s="304" t="e">
        <f>-('Cost of Living'!$D$16/$E$8)*(1+'Government Figures'!$B$8/$E$8)^(C50/$E$7)</f>
        <v>#VALUE!</v>
      </c>
      <c r="F50" s="304" t="str">
        <f>IF($E$8=3, "#VALUE!", ('Career Comparison'!$D$20/$E$8)*(1+'Government Figures'!$B$8/$E$8)^(C50/$E$7))</f>
        <v>#VALUE!</v>
      </c>
      <c r="G50" s="304"/>
      <c r="H50" s="304" t="str">
        <f>IF($E$8=3, "#VALUE!", ('Career Comparison'!$C$20/$E$8)*(1+'Government Figures'!$B$8/$E$8)^(C50/$E$7))</f>
        <v>#VALUE!</v>
      </c>
      <c r="I50" s="304" t="str">
        <f>IF($E$8=3, "#VALUE!", ('Career Comparison'!$E$20/3)*(1+'Government Figures'!$B$8/$E$8)^(C49/$E$7))</f>
        <v>#VALUE!</v>
      </c>
      <c r="J50" s="304" t="e">
        <f>IF(C50&lt;=$E$12, -('College Schedule'!$E$11/3)*(1+'Government Figures'!$C$8)^(C50/$E$7), -('Career Comparison'!$F$20/3)*(1+'Government Figures'!$C$8)^(C50/$E$7))</f>
        <v>#VALUE!</v>
      </c>
      <c r="K50" s="304" t="e">
        <f t="shared" si="15"/>
        <v>#VALUE!</v>
      </c>
      <c r="L50" s="304" t="e">
        <f>K50*(1+'Government Figures'!$D$8)^(($E$10-$C50)/$E$7)</f>
        <v>#VALUE!</v>
      </c>
      <c r="M50" s="277"/>
      <c r="N50" s="278">
        <v>1</v>
      </c>
      <c r="O50" s="279">
        <f>'Government Figures'!$I$37</f>
        <v>0.13735784313725496</v>
      </c>
      <c r="P50" s="304" t="e">
        <f>N50*(1-O50)*('Career Comparison'!$F$15/$E$8)*(1+'Government Figures'!$B$8)^(C50/$E$7)</f>
        <v>#VALUE!</v>
      </c>
      <c r="Q50" s="304" t="str">
        <f t="shared" si="11"/>
        <v>#VALUE!</v>
      </c>
      <c r="R50" s="304" t="e">
        <f>Q50*(1+'Government Figures'!$D$8)^(($E$10-$C50)/$E$7)</f>
        <v>#VALUE!</v>
      </c>
      <c r="S50" s="294"/>
      <c r="T50" s="294"/>
      <c r="U50" s="294"/>
      <c r="V50" s="274"/>
      <c r="W50" s="274" t="e">
        <f>SUM($V$45:V50)</f>
        <v>#VALUE!</v>
      </c>
      <c r="X50" s="280" t="str">
        <f t="shared" si="12"/>
        <v xml:space="preserve"> </v>
      </c>
      <c r="Y50" s="309" t="str">
        <f t="shared" si="13"/>
        <v xml:space="preserve"> </v>
      </c>
      <c r="Z50" s="309" t="str">
        <f>IF($E$10=C50, ('Career Comparison'!$C$15/$E$8)*(1+'Government Figures'!$B$8)^(C50/$E$7)*$E$8/12, " ")</f>
        <v xml:space="preserve"> </v>
      </c>
      <c r="AA50" s="309" t="str">
        <f t="shared" si="14"/>
        <v xml:space="preserve"> </v>
      </c>
    </row>
    <row r="51" spans="1:28" s="281" customFormat="1" x14ac:dyDescent="0.25">
      <c r="A51" s="274"/>
      <c r="B51" s="275">
        <f t="shared" si="16"/>
        <v>7</v>
      </c>
      <c r="C51" s="275" t="str">
        <f t="shared" si="10"/>
        <v>Semester</v>
      </c>
      <c r="D51" s="276" t="str">
        <f xml:space="preserve"> "Winter " &amp; (2+$E$13)</f>
        <v>Winter 2019</v>
      </c>
      <c r="E51" s="304" t="e">
        <f>-('Cost of Living'!$D$16/$E$8)*(1+'Government Figures'!$B$8/$E$8)^(C51/$E$7)</f>
        <v>#VALUE!</v>
      </c>
      <c r="F51" s="304" t="str">
        <f>IF($E$8=3, "#VALUE!", ('Career Comparison'!$D$20/$E$8)*(1+'Government Figures'!$B$8/$E$8)^(C51/$E$7))</f>
        <v>#VALUE!</v>
      </c>
      <c r="G51" s="304"/>
      <c r="H51" s="304" t="str">
        <f>IF($E$8=3, "#VALUE!", ('Career Comparison'!$C$20/$E$8)*(1+'Government Figures'!$B$8/$E$8)^(C51/$E$7))</f>
        <v>#VALUE!</v>
      </c>
      <c r="I51" s="304" t="str">
        <f>IF($E$8=3, "#VALUE!", ('Career Comparison'!$E$20/3)*(1+'Government Figures'!$B$8/$E$8)^(C50/$E$7))</f>
        <v>#VALUE!</v>
      </c>
      <c r="J51" s="304" t="e">
        <f>IF(C51&lt;=$E$12, -('College Schedule'!$E$11/3)*(1+'Government Figures'!$C$8)^(C51/$E$7), -('Career Comparison'!$F$20/3)*(1+'Government Figures'!$C$8)^(C51/$E$7))</f>
        <v>#VALUE!</v>
      </c>
      <c r="K51" s="304" t="e">
        <f t="shared" si="15"/>
        <v>#VALUE!</v>
      </c>
      <c r="L51" s="304" t="e">
        <f>K51*(1+'Government Figures'!$D$8)^(($E$10-$C51)/$E$7)</f>
        <v>#VALUE!</v>
      </c>
      <c r="M51" s="277"/>
      <c r="N51" s="278">
        <v>1</v>
      </c>
      <c r="O51" s="279">
        <f>'Government Figures'!$I$37</f>
        <v>0.13735784313725496</v>
      </c>
      <c r="P51" s="304" t="e">
        <f>N51*(1-O51)*('Career Comparison'!$F$15/$E$8)*(1+'Government Figures'!$B$8)^(C51/$E$7)</f>
        <v>#VALUE!</v>
      </c>
      <c r="Q51" s="304" t="str">
        <f t="shared" si="11"/>
        <v>#VALUE!</v>
      </c>
      <c r="R51" s="304" t="e">
        <f>Q51*(1+'Government Figures'!$D$8)^(($E$10-$C51)/$E$7)</f>
        <v>#VALUE!</v>
      </c>
      <c r="S51" s="294"/>
      <c r="T51" s="294"/>
      <c r="U51" s="309"/>
      <c r="V51" s="274"/>
      <c r="W51" s="274" t="e">
        <f>SUM($V$45:V51)</f>
        <v>#VALUE!</v>
      </c>
      <c r="X51" s="280" t="str">
        <f t="shared" si="12"/>
        <v xml:space="preserve"> </v>
      </c>
      <c r="Y51" s="309" t="str">
        <f t="shared" si="13"/>
        <v xml:space="preserve"> </v>
      </c>
      <c r="Z51" s="309" t="str">
        <f>IF($E$10=C51, ('Career Comparison'!$C$15/$E$8)*(1+'Government Figures'!$B$8)^(C51/$E$7)*$E$8/12, " ")</f>
        <v xml:space="preserve"> </v>
      </c>
      <c r="AA51" s="309" t="str">
        <f t="shared" si="14"/>
        <v xml:space="preserve"> </v>
      </c>
    </row>
    <row r="52" spans="1:28" s="281" customFormat="1" x14ac:dyDescent="0.25">
      <c r="A52" s="274"/>
      <c r="B52" s="275">
        <f t="shared" si="16"/>
        <v>8</v>
      </c>
      <c r="C52" s="275" t="str">
        <f t="shared" si="10"/>
        <v>Semester</v>
      </c>
      <c r="D52" s="276" t="str">
        <f>"Spring " &amp; (2+$E$13)</f>
        <v>Spring 2019</v>
      </c>
      <c r="E52" s="304" t="e">
        <f>-('Cost of Living'!$D$16/$E$8)*(1+'Government Figures'!$B$8/$E$8)^(C52/$E$7)</f>
        <v>#VALUE!</v>
      </c>
      <c r="F52" s="304" t="str">
        <f>IF($E$8=3, "#VALUE!", ('Career Comparison'!$D$20/$E$8)*(1+'Government Figures'!$B$8/$E$8)^(C52/$E$7))</f>
        <v>#VALUE!</v>
      </c>
      <c r="G52" s="304"/>
      <c r="H52" s="304" t="str">
        <f>IF($E$8=3, "#VALUE!", ('Career Comparison'!$C$20/$E$8)*(1+'Government Figures'!$B$8/$E$8)^(C52/$E$7))</f>
        <v>#VALUE!</v>
      </c>
      <c r="I52" s="304" t="str">
        <f>IF($E$8=3, "#VALUE!", ('Career Comparison'!$E$20/3)*(1+'Government Figures'!$B$8/$E$8)^(C51/$E$7))</f>
        <v>#VALUE!</v>
      </c>
      <c r="J52" s="304" t="e">
        <f>IF(C52&lt;=$E$12, -('College Schedule'!$E$11/3)*(1+'Government Figures'!$C$8)^(C52/$E$7), -('Career Comparison'!$F$20/3)*(1+'Government Figures'!$C$8)^(C52/$E$7))</f>
        <v>#VALUE!</v>
      </c>
      <c r="K52" s="304" t="e">
        <f t="shared" si="15"/>
        <v>#VALUE!</v>
      </c>
      <c r="L52" s="304" t="e">
        <f>K52*(1+'Government Figures'!$D$8)^(($E$10-$C52)/$E$7)</f>
        <v>#VALUE!</v>
      </c>
      <c r="M52" s="277"/>
      <c r="N52" s="278">
        <v>1</v>
      </c>
      <c r="O52" s="279">
        <f>'Government Figures'!$I$37</f>
        <v>0.13735784313725496</v>
      </c>
      <c r="P52" s="304" t="e">
        <f>N52*(1-O52)*('Career Comparison'!$F$15/$E$8)*(1+'Government Figures'!$B$8)^(C52/$E$7)</f>
        <v>#VALUE!</v>
      </c>
      <c r="Q52" s="304" t="str">
        <f t="shared" si="11"/>
        <v>#VALUE!</v>
      </c>
      <c r="R52" s="304" t="e">
        <f>Q52*(1+'Government Figures'!$D$8)^(($E$10-$C52)/$E$7)</f>
        <v>#VALUE!</v>
      </c>
      <c r="S52" s="294"/>
      <c r="T52" s="294" t="e">
        <f>SUM(K49:K52)</f>
        <v>#VALUE!</v>
      </c>
      <c r="U52" s="309">
        <v>10500</v>
      </c>
      <c r="V52" s="274" t="e">
        <f>IF(-T52&gt;U52, 1, 0)</f>
        <v>#VALUE!</v>
      </c>
      <c r="W52" s="274" t="e">
        <f>SUM($V$45:V52)</f>
        <v>#VALUE!</v>
      </c>
      <c r="X52" s="280" t="str">
        <f t="shared" si="12"/>
        <v xml:space="preserve"> </v>
      </c>
      <c r="Y52" s="309" t="str">
        <f t="shared" si="13"/>
        <v xml:space="preserve"> </v>
      </c>
      <c r="Z52" s="309" t="str">
        <f>IF($E$10=C52, ('Career Comparison'!$C$15/$E$8)*(1+'Government Figures'!$B$8)^(C52/$E$7)*$E$8/12, " ")</f>
        <v xml:space="preserve"> </v>
      </c>
      <c r="AA52" s="309" t="str">
        <f t="shared" si="14"/>
        <v xml:space="preserve"> </v>
      </c>
    </row>
    <row r="53" spans="1:28" s="281" customFormat="1" x14ac:dyDescent="0.25">
      <c r="A53" s="274"/>
      <c r="B53" s="275">
        <f t="shared" si="16"/>
        <v>9</v>
      </c>
      <c r="C53" s="275" t="str">
        <f t="shared" si="10"/>
        <v>Semester</v>
      </c>
      <c r="D53" s="276" t="str">
        <f xml:space="preserve"> "Summer " &amp; (2+$E$13)</f>
        <v>Summer 2019</v>
      </c>
      <c r="E53" s="304" t="e">
        <f>-('Cost of Living'!$D$16/$E$8)*(1+'Government Figures'!$B$8/$E$8)^(C53/$E$7)</f>
        <v>#VALUE!</v>
      </c>
      <c r="F53" s="304" t="str">
        <f>IF($E$8=3, "#VALUE!", ('Career Comparison'!$D$20/$E$8)*(1+'Government Figures'!$B$8/$E$8)^(C53/$E$7))</f>
        <v>#VALUE!</v>
      </c>
      <c r="G53" s="304"/>
      <c r="H53" s="304" t="str">
        <f>IF($E$8=3, "#VALUE!", ('Career Comparison'!$C$20/$E$8)*(1+'Government Figures'!$B$8/$E$8)^(C53/$E$7))</f>
        <v>#VALUE!</v>
      </c>
      <c r="I53" s="304"/>
      <c r="J53" s="304"/>
      <c r="K53" s="304" t="e">
        <f t="shared" si="15"/>
        <v>#VALUE!</v>
      </c>
      <c r="L53" s="304" t="e">
        <f>K53*(1+'Government Figures'!$D$8)^(($E$10-$C53)/$E$7)</f>
        <v>#VALUE!</v>
      </c>
      <c r="M53" s="277"/>
      <c r="N53" s="278">
        <v>1</v>
      </c>
      <c r="O53" s="279">
        <f>'Government Figures'!$I$37</f>
        <v>0.13735784313725496</v>
      </c>
      <c r="P53" s="304" t="e">
        <f>N53*(1-O53)*('Career Comparison'!$F$15/$E$8)*(1+'Government Figures'!$B$8)^(C53/$E$7)</f>
        <v>#VALUE!</v>
      </c>
      <c r="Q53" s="304" t="str">
        <f t="shared" si="11"/>
        <v>#VALUE!</v>
      </c>
      <c r="R53" s="304" t="e">
        <f>Q53*(1+'Government Figures'!$D$8)^(($E$10-$C53)/$E$7)</f>
        <v>#VALUE!</v>
      </c>
      <c r="S53" s="294"/>
      <c r="T53" s="294"/>
      <c r="U53" s="309"/>
      <c r="V53" s="274"/>
      <c r="W53" s="274" t="e">
        <f>SUM($V$45:V53)</f>
        <v>#VALUE!</v>
      </c>
      <c r="X53" s="280" t="str">
        <f t="shared" si="12"/>
        <v xml:space="preserve"> </v>
      </c>
      <c r="Y53" s="309" t="str">
        <f t="shared" si="13"/>
        <v xml:space="preserve"> </v>
      </c>
      <c r="Z53" s="309" t="str">
        <f>IF($E$10=C53, ('Career Comparison'!$C$15/$E$8)*(1+'Government Figures'!$B$8)^(C53/$E$7)*$E$8/12, " ")</f>
        <v xml:space="preserve"> </v>
      </c>
      <c r="AA53" s="309" t="str">
        <f t="shared" si="14"/>
        <v xml:space="preserve"> </v>
      </c>
    </row>
    <row r="54" spans="1:28" s="281" customFormat="1" x14ac:dyDescent="0.25">
      <c r="A54" s="274"/>
      <c r="B54" s="275">
        <f t="shared" si="16"/>
        <v>10</v>
      </c>
      <c r="C54" s="275" t="str">
        <f t="shared" si="10"/>
        <v>Semester</v>
      </c>
      <c r="D54" s="276" t="str">
        <f xml:space="preserve"> "Fall " &amp; (2+$E$13)</f>
        <v>Fall 2019</v>
      </c>
      <c r="E54" s="304" t="e">
        <f>-('Cost of Living'!$D$16/$E$8)*(1+'Government Figures'!$B$8/$E$8)^(C54/$E$7)</f>
        <v>#VALUE!</v>
      </c>
      <c r="F54" s="304" t="str">
        <f>IF($E$8=3, "#VALUE!", ('Career Comparison'!$D$20/$E$8)*(1+'Government Figures'!$B$8/$E$8)^(C54/$E$7))</f>
        <v>#VALUE!</v>
      </c>
      <c r="G54" s="304"/>
      <c r="H54" s="304" t="str">
        <f>IF($E$8=3, "#VALUE!", ('Career Comparison'!$C$20/$E$8)*(1+'Government Figures'!$B$8/$E$8)^(C54/$E$7))</f>
        <v>#VALUE!</v>
      </c>
      <c r="I54" s="304" t="str">
        <f>IF($E$8=3, "#VALUE!", ('Career Comparison'!$E$20/3)*(1+'Government Figures'!$B$8/$E$8)^(C53/$E$7))</f>
        <v>#VALUE!</v>
      </c>
      <c r="J54" s="304" t="e">
        <f>IF(C54&lt;=$E$12, -('College Schedule'!$E$11/3)*(1+'Government Figures'!$C$8)^(C54/$E$7), -('Career Comparison'!$F$20/3)*(1+'Government Figures'!$C$8)^(C54/$E$7))</f>
        <v>#VALUE!</v>
      </c>
      <c r="K54" s="304" t="e">
        <f t="shared" si="15"/>
        <v>#VALUE!</v>
      </c>
      <c r="L54" s="304" t="e">
        <f>K54*(1+'Government Figures'!$D$8)^(($E$10-$C54)/$E$7)</f>
        <v>#VALUE!</v>
      </c>
      <c r="M54" s="277"/>
      <c r="N54" s="278">
        <v>1</v>
      </c>
      <c r="O54" s="279">
        <f>'Government Figures'!$I$37</f>
        <v>0.13735784313725496</v>
      </c>
      <c r="P54" s="304" t="e">
        <f>N54*(1-O54)*('Career Comparison'!$F$15/$E$8)*(1+'Government Figures'!$B$8)^(C54/$E$7)</f>
        <v>#VALUE!</v>
      </c>
      <c r="Q54" s="304" t="str">
        <f t="shared" si="11"/>
        <v>#VALUE!</v>
      </c>
      <c r="R54" s="304" t="e">
        <f>Q54*(1+'Government Figures'!$D$8)^(($E$10-$C54)/$E$7)</f>
        <v>#VALUE!</v>
      </c>
      <c r="S54" s="294"/>
      <c r="T54" s="294"/>
      <c r="U54" s="309"/>
      <c r="V54" s="274"/>
      <c r="W54" s="274" t="e">
        <f>SUM($V$45:V54)</f>
        <v>#VALUE!</v>
      </c>
      <c r="X54" s="280" t="str">
        <f t="shared" si="12"/>
        <v xml:space="preserve"> </v>
      </c>
      <c r="Y54" s="309" t="str">
        <f t="shared" si="13"/>
        <v xml:space="preserve"> </v>
      </c>
      <c r="Z54" s="309" t="str">
        <f>IF($E$10=C54, ('Career Comparison'!$C$15/$E$8)*(1+'Government Figures'!$B$8)^(C54/$E$7)*$E$8/12, " ")</f>
        <v xml:space="preserve"> </v>
      </c>
      <c r="AA54" s="309" t="str">
        <f t="shared" si="14"/>
        <v xml:space="preserve"> </v>
      </c>
    </row>
    <row r="55" spans="1:28" s="281" customFormat="1" x14ac:dyDescent="0.25">
      <c r="A55" s="274"/>
      <c r="B55" s="275">
        <f t="shared" si="16"/>
        <v>11</v>
      </c>
      <c r="C55" s="275" t="str">
        <f t="shared" si="10"/>
        <v>Semester</v>
      </c>
      <c r="D55" s="276" t="str">
        <f>"Winter " &amp; (3+$E$13)</f>
        <v>Winter 2020</v>
      </c>
      <c r="E55" s="304" t="e">
        <f>-('Cost of Living'!$D$16/$E$8)*(1+'Government Figures'!$B$8/$E$8)^(C55/$E$7)</f>
        <v>#VALUE!</v>
      </c>
      <c r="F55" s="304" t="str">
        <f>IF($E$8=3, "#VALUE!", ('Career Comparison'!$D$20/$E$8)*(1+'Government Figures'!$B$8/$E$8)^(C55/$E$7))</f>
        <v>#VALUE!</v>
      </c>
      <c r="G55" s="304"/>
      <c r="H55" s="304" t="str">
        <f>IF($E$8=3, "#VALUE!", ('Career Comparison'!$C$20/$E$8)*(1+'Government Figures'!$B$8/$E$8)^(C55/$E$7))</f>
        <v>#VALUE!</v>
      </c>
      <c r="I55" s="304" t="str">
        <f>IF($E$8=3, "#VALUE!", ('Career Comparison'!$E$20/3)*(1+'Government Figures'!$B$8/$E$8)^(C54/$E$7))</f>
        <v>#VALUE!</v>
      </c>
      <c r="J55" s="304" t="e">
        <f>IF(C55&lt;=$E$12, -('College Schedule'!$E$11/3)*(1+'Government Figures'!$C$8)^(C55/$E$7), -('Career Comparison'!$F$20/3)*(1+'Government Figures'!$C$8)^(C55/$E$7))</f>
        <v>#VALUE!</v>
      </c>
      <c r="K55" s="304" t="e">
        <f t="shared" si="15"/>
        <v>#VALUE!</v>
      </c>
      <c r="L55" s="304" t="e">
        <f>K55*(1+'Government Figures'!$D$8)^(($E$10-$C55)/$E$7)</f>
        <v>#VALUE!</v>
      </c>
      <c r="M55" s="277"/>
      <c r="N55" s="278">
        <v>1</v>
      </c>
      <c r="O55" s="279">
        <f>'Government Figures'!$I$37</f>
        <v>0.13735784313725496</v>
      </c>
      <c r="P55" s="304" t="e">
        <f>N55*(1-O55)*('Career Comparison'!$F$15/$E$8)*(1+'Government Figures'!$B$8)^(C55/$E$7)</f>
        <v>#VALUE!</v>
      </c>
      <c r="Q55" s="304" t="str">
        <f t="shared" si="11"/>
        <v>#VALUE!</v>
      </c>
      <c r="R55" s="304" t="e">
        <f>Q55*(1+'Government Figures'!$D$8)^(($E$10-$C55)/$E$7)</f>
        <v>#VALUE!</v>
      </c>
      <c r="S55" s="294"/>
      <c r="T55" s="294"/>
      <c r="U55" s="309"/>
      <c r="V55" s="274"/>
      <c r="W55" s="274" t="e">
        <f>SUM($V$45:V55)</f>
        <v>#VALUE!</v>
      </c>
      <c r="X55" s="280" t="str">
        <f t="shared" si="12"/>
        <v xml:space="preserve"> </v>
      </c>
      <c r="Y55" s="309" t="str">
        <f t="shared" si="13"/>
        <v xml:space="preserve"> </v>
      </c>
      <c r="Z55" s="309" t="str">
        <f>IF($E$10=C55, ('Career Comparison'!$C$15/$E$8)*(1+'Government Figures'!$B$8)^(C55/$E$7)*$E$8/12, " ")</f>
        <v xml:space="preserve"> </v>
      </c>
      <c r="AA55" s="309" t="str">
        <f t="shared" si="14"/>
        <v xml:space="preserve"> </v>
      </c>
    </row>
    <row r="56" spans="1:28" s="281" customFormat="1" x14ac:dyDescent="0.25">
      <c r="A56" s="274"/>
      <c r="B56" s="275">
        <f t="shared" si="16"/>
        <v>12</v>
      </c>
      <c r="C56" s="275" t="str">
        <f t="shared" si="10"/>
        <v>Semester</v>
      </c>
      <c r="D56" s="276" t="str">
        <f xml:space="preserve"> "Spring " &amp; (3+$E$13)</f>
        <v>Spring 2020</v>
      </c>
      <c r="E56" s="304" t="e">
        <f>-('Cost of Living'!$D$16/$E$8)*(1+'Government Figures'!$B$8/$E$8)^(C56/$E$7)</f>
        <v>#VALUE!</v>
      </c>
      <c r="F56" s="304" t="str">
        <f>IF($E$8=3, "#VALUE!", ('Career Comparison'!$D$20/$E$8)*(1+'Government Figures'!$B$8/$E$8)^(C56/$E$7))</f>
        <v>#VALUE!</v>
      </c>
      <c r="G56" s="304"/>
      <c r="H56" s="304" t="str">
        <f>IF($E$8=3, "#VALUE!", ('Career Comparison'!$C$20/$E$8)*(1+'Government Figures'!$B$8/$E$8)^(C56/$E$7))</f>
        <v>#VALUE!</v>
      </c>
      <c r="I56" s="304" t="str">
        <f>IF($E$8=3, "#VALUE!", ('Career Comparison'!$E$20/3)*(1+'Government Figures'!$B$8/$E$8)^(C55/$E$7))</f>
        <v>#VALUE!</v>
      </c>
      <c r="J56" s="304" t="e">
        <f>IF(C56&lt;=$E$12, -('College Schedule'!$E$11/3)*(1+'Government Figures'!$C$8)^(C56/$E$7), -('Career Comparison'!$F$20/3)*(1+'Government Figures'!$C$8)^(C56/$E$7))</f>
        <v>#VALUE!</v>
      </c>
      <c r="K56" s="304" t="e">
        <f t="shared" si="15"/>
        <v>#VALUE!</v>
      </c>
      <c r="L56" s="304" t="e">
        <f>K56*(1+'Government Figures'!$D$8)^(($E$10-$C56)/$E$7)</f>
        <v>#VALUE!</v>
      </c>
      <c r="M56" s="277"/>
      <c r="N56" s="278">
        <v>1</v>
      </c>
      <c r="O56" s="279">
        <f>'Government Figures'!$I$37</f>
        <v>0.13735784313725496</v>
      </c>
      <c r="P56" s="304" t="e">
        <f>N56*(1-O56)*('Career Comparison'!$F$15/$E$8)*(1+'Government Figures'!$B$8)^(C56/$E$7)</f>
        <v>#VALUE!</v>
      </c>
      <c r="Q56" s="304" t="str">
        <f t="shared" si="11"/>
        <v>#VALUE!</v>
      </c>
      <c r="R56" s="304" t="e">
        <f>Q56*(1+'Government Figures'!$D$8)^(($E$10-$C56)/$E$7)</f>
        <v>#VALUE!</v>
      </c>
      <c r="S56" s="294"/>
      <c r="T56" s="294" t="e">
        <f>SUM(K53:K56)</f>
        <v>#VALUE!</v>
      </c>
      <c r="U56" s="309">
        <v>10500</v>
      </c>
      <c r="V56" s="274" t="e">
        <f>IF(-T56&gt;U56, 1, 0)</f>
        <v>#VALUE!</v>
      </c>
      <c r="W56" s="274" t="e">
        <f>SUM($V$45:V56)</f>
        <v>#VALUE!</v>
      </c>
      <c r="X56" s="280" t="str">
        <f t="shared" si="12"/>
        <v xml:space="preserve"> </v>
      </c>
      <c r="Y56" s="309" t="str">
        <f t="shared" si="13"/>
        <v xml:space="preserve"> </v>
      </c>
      <c r="Z56" s="309" t="str">
        <f>IF($E$10=C56, ('Career Comparison'!$C$15/$E$8)*(1+'Government Figures'!$B$8)^(C56/$E$7)*$E$8/12, " ")</f>
        <v xml:space="preserve"> </v>
      </c>
      <c r="AA56" s="309" t="str">
        <f t="shared" si="14"/>
        <v xml:space="preserve"> </v>
      </c>
    </row>
    <row r="57" spans="1:28" s="281" customFormat="1" x14ac:dyDescent="0.25">
      <c r="A57" s="274"/>
      <c r="B57" s="275">
        <f t="shared" si="16"/>
        <v>13</v>
      </c>
      <c r="C57" s="275" t="str">
        <f t="shared" si="10"/>
        <v>Semester</v>
      </c>
      <c r="D57" s="276" t="str">
        <f xml:space="preserve"> "Summer " &amp; (3+$E$13)</f>
        <v>Summer 2020</v>
      </c>
      <c r="E57" s="304" t="e">
        <f>-('Cost of Living'!$D$16/$E$8)*(1+'Government Figures'!$B$8/$E$8)^(C57/$E$7)</f>
        <v>#VALUE!</v>
      </c>
      <c r="F57" s="304" t="str">
        <f>IF($E$8=3, "#VALUE!", ('Career Comparison'!$D$20/$E$8)*(1+'Government Figures'!$B$8/$E$8)^(C57/$E$7))</f>
        <v>#VALUE!</v>
      </c>
      <c r="G57" s="304"/>
      <c r="H57" s="304" t="str">
        <f>IF($E$8=3, "#VALUE!", ('Career Comparison'!$C$20/$E$8)*(1+'Government Figures'!$B$8/$E$8)^(C57/$E$7))</f>
        <v>#VALUE!</v>
      </c>
      <c r="I57" s="304"/>
      <c r="J57" s="304"/>
      <c r="K57" s="304" t="e">
        <f t="shared" si="15"/>
        <v>#VALUE!</v>
      </c>
      <c r="L57" s="304" t="e">
        <f>K57*(1+'Government Figures'!$D$8)^(($E$10-$C57)/$E$7)</f>
        <v>#VALUE!</v>
      </c>
      <c r="M57" s="277"/>
      <c r="N57" s="278">
        <v>1</v>
      </c>
      <c r="O57" s="279">
        <f>'Government Figures'!$I$37</f>
        <v>0.13735784313725496</v>
      </c>
      <c r="P57" s="304" t="e">
        <f>N57*(1-O57)*('Career Comparison'!$F$15/$E$8)*(1+'Government Figures'!$B$8)^(C57/$E$7)</f>
        <v>#VALUE!</v>
      </c>
      <c r="Q57" s="304" t="str">
        <f t="shared" si="11"/>
        <v>#VALUE!</v>
      </c>
      <c r="R57" s="304" t="e">
        <f>Q57*(1+'Government Figures'!$D$8)^(($E$10-$C57)/$E$7)</f>
        <v>#VALUE!</v>
      </c>
      <c r="S57" s="294"/>
      <c r="T57" s="294"/>
      <c r="U57" s="294"/>
      <c r="V57" s="274"/>
      <c r="W57" s="274" t="e">
        <f>SUM($V$45:V57)</f>
        <v>#VALUE!</v>
      </c>
      <c r="X57" s="280" t="str">
        <f t="shared" si="12"/>
        <v xml:space="preserve"> </v>
      </c>
      <c r="Y57" s="309" t="str">
        <f t="shared" si="13"/>
        <v xml:space="preserve"> </v>
      </c>
      <c r="Z57" s="309" t="str">
        <f>IF($E$10=C57, ('Career Comparison'!$C$15/$E$8)*(1+'Government Figures'!$B$8)^(C57/$E$7)*$E$8/12, " ")</f>
        <v xml:space="preserve"> </v>
      </c>
      <c r="AA57" s="309" t="str">
        <f t="shared" si="14"/>
        <v xml:space="preserve"> </v>
      </c>
    </row>
    <row r="58" spans="1:28" s="281" customFormat="1" x14ac:dyDescent="0.25">
      <c r="A58" s="274"/>
      <c r="B58" s="275">
        <f t="shared" si="16"/>
        <v>14</v>
      </c>
      <c r="C58" s="275" t="str">
        <f t="shared" si="10"/>
        <v>Semester</v>
      </c>
      <c r="D58" s="276" t="str">
        <f>"Fall " &amp; (3+$E$13)</f>
        <v>Fall 2020</v>
      </c>
      <c r="E58" s="304" t="e">
        <f>-('Cost of Living'!$D$16/$E$8)*(1+'Government Figures'!$B$8/$E$8)^(C58/$E$7)</f>
        <v>#VALUE!</v>
      </c>
      <c r="F58" s="304" t="str">
        <f>IF($E$8=3, "#VALUE!", ('Career Comparison'!$D$20/$E$8)*(1+'Government Figures'!$B$8/$E$8)^(C58/$E$7))</f>
        <v>#VALUE!</v>
      </c>
      <c r="G58" s="304"/>
      <c r="H58" s="304" t="str">
        <f>IF($E$8=3, "#VALUE!", ('Career Comparison'!$C$20/$E$8)*(1+'Government Figures'!$B$8/$E$8)^(C58/$E$7))</f>
        <v>#VALUE!</v>
      </c>
      <c r="I58" s="304" t="str">
        <f>IF($E$8=3, "#VALUE!", ('Career Comparison'!$E$20/3)*(1+'Government Figures'!$B$8/$E$8)^(C57/$E$7))</f>
        <v>#VALUE!</v>
      </c>
      <c r="J58" s="304" t="e">
        <f>IF(C58&lt;=$E$12, -('College Schedule'!$E$11/3)*(1+'Government Figures'!$C$8)^(C58/$E$7), -('Career Comparison'!$F$20/3)*(1+'Government Figures'!$C$8)^(C58/$E$7))</f>
        <v>#VALUE!</v>
      </c>
      <c r="K58" s="304" t="e">
        <f t="shared" si="15"/>
        <v>#VALUE!</v>
      </c>
      <c r="L58" s="304" t="e">
        <f>K58*(1+'Government Figures'!$D$8)^(($E$10-$C58)/$E$7)</f>
        <v>#VALUE!</v>
      </c>
      <c r="M58" s="277"/>
      <c r="N58" s="278">
        <v>1</v>
      </c>
      <c r="O58" s="279">
        <f>'Government Figures'!$I$37</f>
        <v>0.13735784313725496</v>
      </c>
      <c r="P58" s="304" t="e">
        <f>N58*(1-O58)*('Career Comparison'!$F$15/$E$8)*(1+'Government Figures'!$B$8)^(C58/$E$7)</f>
        <v>#VALUE!</v>
      </c>
      <c r="Q58" s="304" t="str">
        <f t="shared" si="11"/>
        <v>#VALUE!</v>
      </c>
      <c r="R58" s="304" t="e">
        <f>Q58*(1+'Government Figures'!$D$8)^(($E$10-$C58)/$E$7)</f>
        <v>#VALUE!</v>
      </c>
      <c r="S58" s="294"/>
      <c r="T58" s="294"/>
      <c r="U58" s="294"/>
      <c r="V58" s="274"/>
      <c r="W58" s="274" t="e">
        <f>SUM($V$45:V58)</f>
        <v>#VALUE!</v>
      </c>
      <c r="X58" s="280" t="str">
        <f t="shared" si="12"/>
        <v xml:space="preserve"> </v>
      </c>
      <c r="Y58" s="309" t="str">
        <f t="shared" si="13"/>
        <v xml:space="preserve"> </v>
      </c>
      <c r="Z58" s="309" t="str">
        <f>IF($E$10=C58, ('Career Comparison'!$C$15/$E$8)*(1+'Government Figures'!$B$8)^(C58/$E$7)*$E$8/12, " ")</f>
        <v xml:space="preserve"> </v>
      </c>
      <c r="AA58" s="309" t="str">
        <f t="shared" si="14"/>
        <v xml:space="preserve"> </v>
      </c>
    </row>
    <row r="59" spans="1:28" s="281" customFormat="1" x14ac:dyDescent="0.25">
      <c r="A59" s="274"/>
      <c r="B59" s="275">
        <f t="shared" si="16"/>
        <v>15</v>
      </c>
      <c r="C59" s="275" t="str">
        <f t="shared" si="10"/>
        <v>Semester</v>
      </c>
      <c r="D59" s="276" t="str">
        <f xml:space="preserve"> "Winter " &amp; (4+$E$13)</f>
        <v>Winter 2021</v>
      </c>
      <c r="E59" s="304" t="e">
        <f>-('Cost of Living'!$D$16/$E$8)*(1+'Government Figures'!$B$8/$E$8)^(C59/$E$7)</f>
        <v>#VALUE!</v>
      </c>
      <c r="F59" s="304" t="str">
        <f>IF($E$8=3, "#VALUE!", ('Career Comparison'!$D$20/$E$8)*(1+'Government Figures'!$B$8/$E$8)^(C59/$E$7))</f>
        <v>#VALUE!</v>
      </c>
      <c r="G59" s="304"/>
      <c r="H59" s="304" t="str">
        <f>IF($E$8=3, "#VALUE!", ('Career Comparison'!$C$20/$E$8)*(1+'Government Figures'!$B$8/$E$8)^(C59/$E$7))</f>
        <v>#VALUE!</v>
      </c>
      <c r="I59" s="304" t="str">
        <f>IF($E$8=3, "#VALUE!", ('Career Comparison'!$E$20/3)*(1+'Government Figures'!$B$8/$E$8)^(C58/$E$7))</f>
        <v>#VALUE!</v>
      </c>
      <c r="J59" s="304" t="e">
        <f>IF(C59&lt;=$E$12, -('College Schedule'!$E$11/3)*(1+'Government Figures'!$C$8)^(C59/$E$7), -('Career Comparison'!$F$20/3)*(1+'Government Figures'!$C$8)^(C59/$E$7))</f>
        <v>#VALUE!</v>
      </c>
      <c r="K59" s="304" t="e">
        <f t="shared" si="15"/>
        <v>#VALUE!</v>
      </c>
      <c r="L59" s="304" t="e">
        <f>K59*(1+'Government Figures'!$D$8)^(($E$10-$C59)/$E$7)</f>
        <v>#VALUE!</v>
      </c>
      <c r="M59" s="277"/>
      <c r="N59" s="278">
        <v>1</v>
      </c>
      <c r="O59" s="279">
        <f>'Government Figures'!$I$37</f>
        <v>0.13735784313725496</v>
      </c>
      <c r="P59" s="304" t="e">
        <f>N59*(1-O59)*('Career Comparison'!$F$15/$E$8)*(1+'Government Figures'!$B$8)^(C59/$E$7)</f>
        <v>#VALUE!</v>
      </c>
      <c r="Q59" s="304" t="str">
        <f t="shared" si="11"/>
        <v>#VALUE!</v>
      </c>
      <c r="R59" s="304" t="e">
        <f>Q59*(1+'Government Figures'!$D$8)^(($E$10-$C59)/$E$7)</f>
        <v>#VALUE!</v>
      </c>
      <c r="S59" s="310"/>
      <c r="T59" s="294"/>
      <c r="U59" s="309"/>
      <c r="V59" s="274"/>
      <c r="W59" s="274" t="e">
        <f>SUM($V$45:V59)</f>
        <v>#VALUE!</v>
      </c>
      <c r="X59" s="280" t="str">
        <f t="shared" si="12"/>
        <v xml:space="preserve"> </v>
      </c>
      <c r="Y59" s="309" t="str">
        <f t="shared" si="13"/>
        <v xml:space="preserve"> </v>
      </c>
      <c r="Z59" s="309" t="str">
        <f>IF($E$10=C59, ('Career Comparison'!$C$15/$E$8)*(1+'Government Figures'!$B$8)^(C59/$E$7)*$E$8/12, " ")</f>
        <v xml:space="preserve"> </v>
      </c>
      <c r="AA59" s="309" t="str">
        <f t="shared" si="14"/>
        <v xml:space="preserve"> </v>
      </c>
    </row>
    <row r="60" spans="1:28" s="281" customFormat="1" x14ac:dyDescent="0.25">
      <c r="A60" s="274"/>
      <c r="B60" s="275">
        <f t="shared" si="16"/>
        <v>16</v>
      </c>
      <c r="C60" s="275" t="str">
        <f t="shared" si="10"/>
        <v>Semester</v>
      </c>
      <c r="D60" s="276" t="str">
        <f xml:space="preserve"> "Spring " &amp; (4+$E$13)</f>
        <v>Spring 2021</v>
      </c>
      <c r="E60" s="304" t="e">
        <f>-('Cost of Living'!$D$16/$E$8)*(1+'Government Figures'!$B$8/$E$8)^(C60/$E$7)</f>
        <v>#VALUE!</v>
      </c>
      <c r="F60" s="304" t="str">
        <f>IF($E$8=3, "#VALUE!", ('Career Comparison'!$D$20/$E$8)*(1+'Government Figures'!$B$8/$E$8)^(C60/$E$7))</f>
        <v>#VALUE!</v>
      </c>
      <c r="G60" s="304"/>
      <c r="H60" s="304" t="str">
        <f>IF($E$8=3, "#VALUE!", ('Career Comparison'!$C$20/$E$8)*(1+'Government Figures'!$B$8/$E$8)^(C60/$E$7))</f>
        <v>#VALUE!</v>
      </c>
      <c r="I60" s="304" t="str">
        <f>IF($E$8=3, "#VALUE!", ('Career Comparison'!$E$20/3)*(1+'Government Figures'!$B$8/$E$8)^(C59/$E$7))</f>
        <v>#VALUE!</v>
      </c>
      <c r="J60" s="304" t="e">
        <f>IF(C60&lt;=$E$12, -('College Schedule'!$E$11/3)*(1+'Government Figures'!$C$8)^(C60/$E$7), -('Career Comparison'!$F$20/3)*(1+'Government Figures'!$C$8)^(C60/$E$7))</f>
        <v>#VALUE!</v>
      </c>
      <c r="K60" s="304" t="e">
        <f t="shared" si="15"/>
        <v>#VALUE!</v>
      </c>
      <c r="L60" s="304" t="e">
        <f>K60*(1+'Government Figures'!$D$8)^(($E$10-$C60)/$E$7)</f>
        <v>#VALUE!</v>
      </c>
      <c r="M60" s="277"/>
      <c r="N60" s="278">
        <v>1</v>
      </c>
      <c r="O60" s="279">
        <f>'Government Figures'!$I$37</f>
        <v>0.13735784313725496</v>
      </c>
      <c r="P60" s="304" t="e">
        <f>N60*(1-O60)*('Career Comparison'!$F$15/$E$8)*(1+'Government Figures'!$B$8)^(C60/$E$7)</f>
        <v>#VALUE!</v>
      </c>
      <c r="Q60" s="304" t="str">
        <f t="shared" si="11"/>
        <v>#VALUE!</v>
      </c>
      <c r="R60" s="304" t="e">
        <f>Q60*(1+'Government Figures'!$D$8)^(($E$10-$C60)/$E$7)</f>
        <v>#VALUE!</v>
      </c>
      <c r="S60" s="311"/>
      <c r="T60" s="294" t="e">
        <f>SUM(K57:K60)</f>
        <v>#VALUE!</v>
      </c>
      <c r="U60" s="309">
        <v>10500</v>
      </c>
      <c r="V60" s="274" t="e">
        <f>IF(-T60&gt;U60, 1, 0)</f>
        <v>#VALUE!</v>
      </c>
      <c r="W60" s="274" t="e">
        <f>SUM($V$45:V60)</f>
        <v>#VALUE!</v>
      </c>
      <c r="X60" s="280" t="str">
        <f t="shared" si="12"/>
        <v xml:space="preserve"> </v>
      </c>
      <c r="Y60" s="309" t="str">
        <f t="shared" si="13"/>
        <v xml:space="preserve"> </v>
      </c>
      <c r="Z60" s="309" t="str">
        <f>IF($E$10=C60, ('Career Comparison'!$C$15/$E$8)*(1+'Government Figures'!$B$8)^(C60/$E$7)*$E$8/12, " ")</f>
        <v xml:space="preserve"> </v>
      </c>
      <c r="AA60" s="309" t="str">
        <f t="shared" si="14"/>
        <v xml:space="preserve"> </v>
      </c>
    </row>
    <row r="61" spans="1:28" s="281" customFormat="1" x14ac:dyDescent="0.25">
      <c r="A61" s="274"/>
      <c r="B61" s="275">
        <f t="shared" si="16"/>
        <v>17</v>
      </c>
      <c r="C61" s="275" t="str">
        <f t="shared" si="10"/>
        <v>Semester</v>
      </c>
      <c r="D61" s="276" t="str">
        <f>"Summer " &amp; (4+$E$13)</f>
        <v>Summer 2021</v>
      </c>
      <c r="E61" s="304" t="e">
        <f>-('Cost of Living'!$D$16/$E$8)*(1+'Government Figures'!$B$8/$E$8)^(C61/$E$7)</f>
        <v>#VALUE!</v>
      </c>
      <c r="F61" s="304" t="str">
        <f>IF($E$8=3, "#VALUE!", ('Career Comparison'!$D$20/$E$8)*(1+'Government Figures'!$B$8/$E$8)^(C61/$E$7))</f>
        <v>#VALUE!</v>
      </c>
      <c r="G61" s="304"/>
      <c r="H61" s="304" t="str">
        <f>IF($E$8=3, "#VALUE!", ('Career Comparison'!$C$20/$E$8)*(1+'Government Figures'!$B$8/$E$8)^(C61/$E$7))</f>
        <v>#VALUE!</v>
      </c>
      <c r="I61" s="304"/>
      <c r="J61" s="304"/>
      <c r="K61" s="304" t="e">
        <f t="shared" si="15"/>
        <v>#VALUE!</v>
      </c>
      <c r="L61" s="304" t="e">
        <f>K61*(1+'Government Figures'!$D$8)^(($E$10-$C61)/$E$7)</f>
        <v>#VALUE!</v>
      </c>
      <c r="M61" s="277"/>
      <c r="N61" s="278">
        <v>1</v>
      </c>
      <c r="O61" s="279">
        <f>'Government Figures'!$I$37</f>
        <v>0.13735784313725496</v>
      </c>
      <c r="P61" s="304" t="e">
        <f>N61*(1-O61)*('Career Comparison'!$F$15/$E$8)*(1+'Government Figures'!$B$8)^(C61/$E$7)</f>
        <v>#VALUE!</v>
      </c>
      <c r="Q61" s="304" t="str">
        <f t="shared" si="11"/>
        <v>#VALUE!</v>
      </c>
      <c r="R61" s="304" t="e">
        <f>Q61*(1+'Government Figures'!$D$8)^(($E$10-$C61)/$E$7)</f>
        <v>#VALUE!</v>
      </c>
      <c r="S61" s="312"/>
      <c r="T61" s="294"/>
      <c r="U61" s="294"/>
      <c r="V61" s="274"/>
      <c r="W61" s="274" t="e">
        <f>SUM($V$45:V61)</f>
        <v>#VALUE!</v>
      </c>
      <c r="X61" s="280" t="str">
        <f t="shared" si="12"/>
        <v xml:space="preserve"> </v>
      </c>
      <c r="Y61" s="309" t="str">
        <f t="shared" si="13"/>
        <v xml:space="preserve"> </v>
      </c>
      <c r="Z61" s="309" t="str">
        <f>IF($E$10=C61, ('Career Comparison'!$C$15/$E$8)*(1+'Government Figures'!$B$8)^(C61/$E$7)*$E$8/12, " ")</f>
        <v xml:space="preserve"> </v>
      </c>
      <c r="AA61" s="309" t="str">
        <f t="shared" si="14"/>
        <v xml:space="preserve"> </v>
      </c>
      <c r="AB61" s="283"/>
    </row>
    <row r="62" spans="1:28" s="281" customFormat="1" x14ac:dyDescent="0.25">
      <c r="A62" s="274"/>
      <c r="B62" s="275">
        <f t="shared" si="16"/>
        <v>18</v>
      </c>
      <c r="C62" s="275" t="str">
        <f t="shared" si="10"/>
        <v>Semester</v>
      </c>
      <c r="D62" s="276" t="str">
        <f xml:space="preserve"> "Fall " &amp; (4+$E$13)</f>
        <v>Fall 2021</v>
      </c>
      <c r="E62" s="304" t="e">
        <f>-('Cost of Living'!$D$16/$E$8)*(1+'Government Figures'!$B$8/$E$8)^(C62/$E$7)</f>
        <v>#VALUE!</v>
      </c>
      <c r="F62" s="304" t="str">
        <f>IF($E$8=3, "#VALUE!", ('Career Comparison'!$D$20/$E$8)*(1+'Government Figures'!$B$8/$E$8)^(C62/$E$7))</f>
        <v>#VALUE!</v>
      </c>
      <c r="G62" s="304"/>
      <c r="H62" s="304" t="str">
        <f>IF($E$8=3, "#VALUE!", ('Career Comparison'!$C$20/$E$8)*(1+'Government Figures'!$B$8/$E$8)^(C62/$E$7))</f>
        <v>#VALUE!</v>
      </c>
      <c r="I62" s="304" t="str">
        <f>IF($E$8=3, "#VALUE!", ('Career Comparison'!$E$20/3)*(1+'Government Figures'!$B$8/$E$8)^(C61/$E$7))</f>
        <v>#VALUE!</v>
      </c>
      <c r="J62" s="304" t="e">
        <f>IF(C62&lt;=$E$12, -('College Schedule'!$E$11/3)*(1+'Government Figures'!$C$8)^(C62/$E$7), -('Career Comparison'!$F$20/3)*(1+'Government Figures'!$C$8)^(C62/$E$7))</f>
        <v>#VALUE!</v>
      </c>
      <c r="K62" s="304" t="e">
        <f t="shared" si="15"/>
        <v>#VALUE!</v>
      </c>
      <c r="L62" s="304" t="e">
        <f>K62*(1+'Government Figures'!$D$8)^(($E$10-$C62)/$E$7)</f>
        <v>#VALUE!</v>
      </c>
      <c r="M62" s="277"/>
      <c r="N62" s="278">
        <v>1</v>
      </c>
      <c r="O62" s="279">
        <f>'Government Figures'!$I$37</f>
        <v>0.13735784313725496</v>
      </c>
      <c r="P62" s="304" t="e">
        <f>N62*(1-O62)*('Career Comparison'!$F$15/$E$8)*(1+'Government Figures'!$B$8)^(C62/$E$7)</f>
        <v>#VALUE!</v>
      </c>
      <c r="Q62" s="304" t="str">
        <f t="shared" si="11"/>
        <v>#VALUE!</v>
      </c>
      <c r="R62" s="304" t="e">
        <f>Q62*(1+'Government Figures'!$D$8)^(($E$10-$C62)/$E$7)</f>
        <v>#VALUE!</v>
      </c>
      <c r="S62" s="304"/>
      <c r="T62" s="294"/>
      <c r="U62" s="309"/>
      <c r="V62" s="274"/>
      <c r="W62" s="274" t="e">
        <f>SUM($V$45:V62)</f>
        <v>#VALUE!</v>
      </c>
      <c r="X62" s="280" t="str">
        <f t="shared" si="12"/>
        <v xml:space="preserve"> </v>
      </c>
      <c r="Y62" s="309" t="str">
        <f t="shared" si="13"/>
        <v xml:space="preserve"> </v>
      </c>
      <c r="Z62" s="309" t="str">
        <f>IF($E$10=C62, ('Career Comparison'!$C$15/$E$8)*(1+'Government Figures'!$B$8)^(C62/$E$7)*$E$8/12, " ")</f>
        <v xml:space="preserve"> </v>
      </c>
      <c r="AA62" s="309" t="str">
        <f t="shared" si="14"/>
        <v xml:space="preserve"> </v>
      </c>
    </row>
    <row r="63" spans="1:28" s="281" customFormat="1" x14ac:dyDescent="0.25">
      <c r="A63" s="274"/>
      <c r="B63" s="275">
        <f t="shared" si="16"/>
        <v>19</v>
      </c>
      <c r="C63" s="275" t="str">
        <f t="shared" si="10"/>
        <v>Semester</v>
      </c>
      <c r="D63" s="276" t="str">
        <f xml:space="preserve"> "Winter " &amp; (5+$E$13)</f>
        <v>Winter 2022</v>
      </c>
      <c r="E63" s="304" t="e">
        <f>-('Cost of Living'!$D$16/$E$8)*(1+'Government Figures'!$B$8/$E$8)^(C63/$E$7)</f>
        <v>#VALUE!</v>
      </c>
      <c r="F63" s="304" t="str">
        <f>IF($E$8=3, "#VALUE!", ('Career Comparison'!$D$20/$E$8)*(1+'Government Figures'!$B$8/$E$8)^(C63/$E$7))</f>
        <v>#VALUE!</v>
      </c>
      <c r="G63" s="304"/>
      <c r="H63" s="304" t="str">
        <f>IF($E$8=3, "#VALUE!", ('Career Comparison'!$C$20/$E$8)*(1+'Government Figures'!$B$8/$E$8)^(C63/$E$7))</f>
        <v>#VALUE!</v>
      </c>
      <c r="I63" s="304" t="str">
        <f>IF($E$8=3, "#VALUE!", ('Career Comparison'!$E$20/3)*(1+'Government Figures'!$B$8/$E$8)^(C62/$E$7))</f>
        <v>#VALUE!</v>
      </c>
      <c r="J63" s="304" t="e">
        <f>IF(C63&lt;=$E$12, -('College Schedule'!$E$11/3)*(1+'Government Figures'!$C$8)^(C63/$E$7), -('Career Comparison'!$F$20/3)*(1+'Government Figures'!$C$8)^(C63/$E$7))</f>
        <v>#VALUE!</v>
      </c>
      <c r="K63" s="304" t="e">
        <f t="shared" si="15"/>
        <v>#VALUE!</v>
      </c>
      <c r="L63" s="304" t="e">
        <f>K63*(1+'Government Figures'!$D$8)^(($E$10-$C63)/$E$7)</f>
        <v>#VALUE!</v>
      </c>
      <c r="M63" s="277"/>
      <c r="N63" s="278">
        <v>1</v>
      </c>
      <c r="O63" s="279">
        <f>'Government Figures'!$I$37</f>
        <v>0.13735784313725496</v>
      </c>
      <c r="P63" s="304" t="e">
        <f>N63*(1-O63)*('Career Comparison'!$F$15/$E$8)*(1+'Government Figures'!$B$8)^(C63/$E$7)</f>
        <v>#VALUE!</v>
      </c>
      <c r="Q63" s="304" t="str">
        <f t="shared" si="11"/>
        <v>#VALUE!</v>
      </c>
      <c r="R63" s="304" t="e">
        <f>Q63*(1+'Government Figures'!$D$8)^(($E$10-$C63)/$E$7)</f>
        <v>#VALUE!</v>
      </c>
      <c r="S63" s="304"/>
      <c r="T63" s="294"/>
      <c r="U63" s="294"/>
      <c r="V63" s="274"/>
      <c r="W63" s="274" t="e">
        <f>SUM($V$45:V63)</f>
        <v>#VALUE!</v>
      </c>
      <c r="X63" s="280" t="str">
        <f t="shared" si="12"/>
        <v xml:space="preserve"> </v>
      </c>
      <c r="Y63" s="309" t="str">
        <f t="shared" si="13"/>
        <v xml:space="preserve"> </v>
      </c>
      <c r="Z63" s="309" t="str">
        <f>IF($E$10=C63, ('Career Comparison'!$C$15/$E$8)*(1+'Government Figures'!$B$8)^(C63/$E$7)*$E$8/12, " ")</f>
        <v xml:space="preserve"> </v>
      </c>
      <c r="AA63" s="309" t="str">
        <f t="shared" si="14"/>
        <v xml:space="preserve"> </v>
      </c>
    </row>
    <row r="64" spans="1:28" s="281" customFormat="1" x14ac:dyDescent="0.25">
      <c r="A64" s="274"/>
      <c r="B64" s="275">
        <f t="shared" si="16"/>
        <v>20</v>
      </c>
      <c r="C64" s="275" t="str">
        <f t="shared" si="10"/>
        <v>Semester</v>
      </c>
      <c r="D64" s="276" t="str">
        <f>"Spring " &amp; (5+$E$13)</f>
        <v>Spring 2022</v>
      </c>
      <c r="E64" s="304" t="e">
        <f>-('Cost of Living'!$D$16/$E$8)*(1+'Government Figures'!$B$8/$E$8)^(C64/$E$7)</f>
        <v>#VALUE!</v>
      </c>
      <c r="F64" s="304" t="str">
        <f>IF($E$8=3, "#VALUE!", ('Career Comparison'!$D$20/$E$8)*(1+'Government Figures'!$B$8/$E$8)^(C64/$E$7))</f>
        <v>#VALUE!</v>
      </c>
      <c r="G64" s="304"/>
      <c r="H64" s="304" t="str">
        <f>IF($E$8=3, "#VALUE!", ('Career Comparison'!$C$20/$E$8)*(1+'Government Figures'!$B$8/$E$8)^(C64/$E$7))</f>
        <v>#VALUE!</v>
      </c>
      <c r="I64" s="304" t="str">
        <f>IF($E$8=3, "#VALUE!", ('Career Comparison'!$E$20/3)*(1+'Government Figures'!$B$8/$E$8)^(C63/$E$7))</f>
        <v>#VALUE!</v>
      </c>
      <c r="J64" s="304" t="e">
        <f>IF(C64&lt;=$E$12, -('College Schedule'!$E$11/3)*(1+'Government Figures'!$C$8)^(C64/$E$7), -('Career Comparison'!$F$20/3)*(1+'Government Figures'!$C$8)^(C64/$E$7))</f>
        <v>#VALUE!</v>
      </c>
      <c r="K64" s="304" t="e">
        <f t="shared" si="15"/>
        <v>#VALUE!</v>
      </c>
      <c r="L64" s="304" t="e">
        <f>K64*(1+'Government Figures'!$D$8)^(($E$10-$C64)/$E$7)</f>
        <v>#VALUE!</v>
      </c>
      <c r="M64" s="277"/>
      <c r="N64" s="278">
        <v>1</v>
      </c>
      <c r="O64" s="279">
        <f>'Government Figures'!$I$37</f>
        <v>0.13735784313725496</v>
      </c>
      <c r="P64" s="304" t="e">
        <f>N64*(1-O64)*('Career Comparison'!$F$15/$E$8)*(1+'Government Figures'!$B$8)^(C64/$E$7)</f>
        <v>#VALUE!</v>
      </c>
      <c r="Q64" s="304" t="str">
        <f t="shared" si="11"/>
        <v>#VALUE!</v>
      </c>
      <c r="R64" s="304" t="e">
        <f>Q64*(1+'Government Figures'!$D$8)^(($E$10-$C64)/$E$7)</f>
        <v>#VALUE!</v>
      </c>
      <c r="S64" s="304"/>
      <c r="T64" s="294" t="e">
        <f>SUM(K61:K64)</f>
        <v>#VALUE!</v>
      </c>
      <c r="U64" s="309">
        <v>10500</v>
      </c>
      <c r="V64" s="274" t="e">
        <f>IF(-T64&gt;U64, 1, 0)</f>
        <v>#VALUE!</v>
      </c>
      <c r="W64" s="274" t="e">
        <f>SUM($V$45:V64)</f>
        <v>#VALUE!</v>
      </c>
      <c r="X64" s="280" t="str">
        <f t="shared" si="12"/>
        <v xml:space="preserve"> </v>
      </c>
      <c r="Y64" s="309" t="str">
        <f t="shared" si="13"/>
        <v xml:space="preserve"> </v>
      </c>
      <c r="Z64" s="309" t="str">
        <f>IF($E$10=C64, ('Career Comparison'!$C$15/$E$8)*(1+'Government Figures'!$B$8)^(C64/$E$7)*$E$8/12, " ")</f>
        <v xml:space="preserve"> </v>
      </c>
      <c r="AA64" s="309" t="str">
        <f t="shared" si="14"/>
        <v xml:space="preserve"> </v>
      </c>
    </row>
    <row r="65" spans="1:27" s="281" customFormat="1" x14ac:dyDescent="0.25">
      <c r="A65" s="274"/>
      <c r="B65" s="275">
        <f t="shared" si="16"/>
        <v>21</v>
      </c>
      <c r="C65" s="275" t="str">
        <f t="shared" si="10"/>
        <v>Semester</v>
      </c>
      <c r="D65" s="276" t="str">
        <f xml:space="preserve"> "Summer " &amp; (5+$E$13)</f>
        <v>Summer 2022</v>
      </c>
      <c r="E65" s="304" t="e">
        <f>-('Cost of Living'!$D$16/$E$8)*(1+'Government Figures'!$B$8/$E$8)^(C65/$E$7)</f>
        <v>#VALUE!</v>
      </c>
      <c r="F65" s="304" t="str">
        <f>IF($E$8=3, "#VALUE!", ('Career Comparison'!$D$20/$E$8)*(1+'Government Figures'!$B$8/$E$8)^(C65/$E$7))</f>
        <v>#VALUE!</v>
      </c>
      <c r="G65" s="304"/>
      <c r="H65" s="304" t="str">
        <f>IF($E$8=3, "#VALUE!", ('Career Comparison'!$C$20/$E$8)*(1+'Government Figures'!$B$8/$E$8)^(C65/$E$7))</f>
        <v>#VALUE!</v>
      </c>
      <c r="I65" s="304"/>
      <c r="J65" s="304"/>
      <c r="K65" s="304" t="e">
        <f t="shared" si="15"/>
        <v>#VALUE!</v>
      </c>
      <c r="L65" s="304" t="e">
        <f>K65*(1+'Government Figures'!$D$8)^(($E$10-$C65)/$E$7)</f>
        <v>#VALUE!</v>
      </c>
      <c r="M65" s="277"/>
      <c r="N65" s="278">
        <v>1</v>
      </c>
      <c r="O65" s="279">
        <f>'Government Figures'!$I$37</f>
        <v>0.13735784313725496</v>
      </c>
      <c r="P65" s="304" t="e">
        <f>N65*(1-O65)*('Career Comparison'!$F$15/$E$8)*(1+'Government Figures'!$B$8)^(C65/$E$7)</f>
        <v>#VALUE!</v>
      </c>
      <c r="Q65" s="304" t="str">
        <f t="shared" si="11"/>
        <v>#VALUE!</v>
      </c>
      <c r="R65" s="304" t="e">
        <f>Q65*(1+'Government Figures'!$D$8)^(($E$10-$C65)/$E$7)</f>
        <v>#VALUE!</v>
      </c>
      <c r="S65" s="312"/>
      <c r="T65" s="294"/>
      <c r="U65" s="309"/>
      <c r="V65" s="274"/>
      <c r="W65" s="274" t="e">
        <f>SUM($V$45:V65)</f>
        <v>#VALUE!</v>
      </c>
      <c r="X65" s="280" t="str">
        <f t="shared" si="12"/>
        <v xml:space="preserve"> </v>
      </c>
      <c r="Y65" s="309" t="str">
        <f t="shared" si="13"/>
        <v xml:space="preserve"> </v>
      </c>
      <c r="Z65" s="309" t="str">
        <f>IF($E$10=C65, ('Career Comparison'!$C$15/$E$8)*(1+'Government Figures'!$B$8)^(C65/$E$7)*$E$8/12, " ")</f>
        <v xml:space="preserve"> </v>
      </c>
      <c r="AA65" s="309" t="str">
        <f t="shared" si="14"/>
        <v xml:space="preserve"> </v>
      </c>
    </row>
    <row r="66" spans="1:27" s="281" customFormat="1" x14ac:dyDescent="0.25">
      <c r="A66" s="274"/>
      <c r="B66" s="275">
        <f t="shared" si="16"/>
        <v>22</v>
      </c>
      <c r="C66" s="275" t="str">
        <f t="shared" si="10"/>
        <v>Semester</v>
      </c>
      <c r="D66" s="276" t="str">
        <f xml:space="preserve"> "Fall " &amp; (5+$E$13)</f>
        <v>Fall 2022</v>
      </c>
      <c r="E66" s="304" t="e">
        <f>-('Cost of Living'!$D$16/$E$8)*(1+'Government Figures'!$B$8/$E$8)^(C66/$E$7)</f>
        <v>#VALUE!</v>
      </c>
      <c r="F66" s="304" t="str">
        <f>IF($E$8=3, "#VALUE!", ('Career Comparison'!$D$20/$E$8)*(1+'Government Figures'!$B$8/$E$8)^(C66/$E$7))</f>
        <v>#VALUE!</v>
      </c>
      <c r="G66" s="304"/>
      <c r="H66" s="304" t="str">
        <f>IF($E$8=3, "#VALUE!", ('Career Comparison'!$C$20/$E$8)*(1+'Government Figures'!$B$8/$E$8)^(C66/$E$7))</f>
        <v>#VALUE!</v>
      </c>
      <c r="I66" s="304" t="str">
        <f>IF($E$8=3, "#VALUE!", ('Career Comparison'!$E$20/3)*(1+'Government Figures'!$B$8/$E$8)^(C65/$E$7))</f>
        <v>#VALUE!</v>
      </c>
      <c r="J66" s="304" t="e">
        <f>IF(C66&lt;=$E$12, -('College Schedule'!$E$11/3)*(1+'Government Figures'!$C$8)^(C66/$E$7), -('Career Comparison'!$F$20/3)*(1+'Government Figures'!$C$8)^(C66/$E$7))</f>
        <v>#VALUE!</v>
      </c>
      <c r="K66" s="304" t="e">
        <f t="shared" si="15"/>
        <v>#VALUE!</v>
      </c>
      <c r="L66" s="304" t="e">
        <f>K66*(1+'Government Figures'!$D$8)^(($E$10-$C66)/$E$7)</f>
        <v>#VALUE!</v>
      </c>
      <c r="M66" s="277"/>
      <c r="N66" s="278">
        <v>1</v>
      </c>
      <c r="O66" s="279">
        <f>'Government Figures'!$I$37</f>
        <v>0.13735784313725496</v>
      </c>
      <c r="P66" s="304" t="e">
        <f>N66*(1-O66)*('Career Comparison'!$F$15/$E$8)*(1+'Government Figures'!$B$8)^(C66/$E$7)</f>
        <v>#VALUE!</v>
      </c>
      <c r="Q66" s="304" t="str">
        <f t="shared" si="11"/>
        <v>#VALUE!</v>
      </c>
      <c r="R66" s="304" t="e">
        <f>Q66*(1+'Government Figures'!$D$8)^(($E$10-$C66)/$E$7)</f>
        <v>#VALUE!</v>
      </c>
      <c r="S66" s="304"/>
      <c r="T66" s="294"/>
      <c r="U66" s="309"/>
      <c r="V66" s="274"/>
      <c r="W66" s="274" t="e">
        <f>SUM($V$45:V66)</f>
        <v>#VALUE!</v>
      </c>
      <c r="X66" s="280" t="str">
        <f t="shared" si="12"/>
        <v xml:space="preserve"> </v>
      </c>
      <c r="Y66" s="309" t="str">
        <f t="shared" si="13"/>
        <v xml:space="preserve"> </v>
      </c>
      <c r="Z66" s="309" t="str">
        <f>IF($E$10=C66, ('Career Comparison'!$C$15/$E$8)*(1+'Government Figures'!$B$8)^(C66/$E$7)*$E$8/12, " ")</f>
        <v xml:space="preserve"> </v>
      </c>
      <c r="AA66" s="309" t="str">
        <f t="shared" si="14"/>
        <v xml:space="preserve"> </v>
      </c>
    </row>
    <row r="67" spans="1:27" s="281" customFormat="1" x14ac:dyDescent="0.25">
      <c r="A67" s="274"/>
      <c r="B67" s="275">
        <f t="shared" si="16"/>
        <v>23</v>
      </c>
      <c r="C67" s="275" t="str">
        <f t="shared" si="10"/>
        <v>Semester</v>
      </c>
      <c r="D67" s="276" t="str">
        <f xml:space="preserve"> "Winter " &amp; (6+$E$13)</f>
        <v>Winter 2023</v>
      </c>
      <c r="E67" s="304" t="e">
        <f>-('Cost of Living'!$D$16/$E$8)*(1+'Government Figures'!$B$8/$E$8)^(C67/$E$7)</f>
        <v>#VALUE!</v>
      </c>
      <c r="F67" s="304" t="str">
        <f>IF($E$8=3, "#VALUE!", ('Career Comparison'!$D$20/$E$8)*(1+'Government Figures'!$B$8/$E$8)^(C67/$E$7))</f>
        <v>#VALUE!</v>
      </c>
      <c r="G67" s="304"/>
      <c r="H67" s="304" t="str">
        <f>IF($E$8=3, "#VALUE!", ('Career Comparison'!$C$20/$E$8)*(1+'Government Figures'!$B$8/$E$8)^(C67/$E$7))</f>
        <v>#VALUE!</v>
      </c>
      <c r="I67" s="304" t="str">
        <f>IF($E$8=3, "#VALUE!", ('Career Comparison'!$E$20/3)*(1+'Government Figures'!$B$8/$E$8)^(C66/$E$7))</f>
        <v>#VALUE!</v>
      </c>
      <c r="J67" s="304" t="e">
        <f>IF(C67&lt;=$E$12, -('College Schedule'!$E$11/3)*(1+'Government Figures'!$C$8)^(C67/$E$7), -('Career Comparison'!$F$20/3)*(1+'Government Figures'!$C$8)^(C67/$E$7))</f>
        <v>#VALUE!</v>
      </c>
      <c r="K67" s="304" t="e">
        <f t="shared" si="15"/>
        <v>#VALUE!</v>
      </c>
      <c r="L67" s="304" t="e">
        <f>K67*(1+'Government Figures'!$D$8)^(($E$10-$C67)/$E$7)</f>
        <v>#VALUE!</v>
      </c>
      <c r="M67" s="277"/>
      <c r="N67" s="278">
        <v>1</v>
      </c>
      <c r="O67" s="279">
        <f>'Government Figures'!$I$37</f>
        <v>0.13735784313725496</v>
      </c>
      <c r="P67" s="304" t="e">
        <f>N67*(1-O67)*('Career Comparison'!$F$15/$E$8)*(1+'Government Figures'!$B$8)^(C67/$E$7)</f>
        <v>#VALUE!</v>
      </c>
      <c r="Q67" s="304" t="str">
        <f t="shared" si="11"/>
        <v>#VALUE!</v>
      </c>
      <c r="R67" s="304" t="e">
        <f>Q67*(1+'Government Figures'!$D$8)^(($E$10-$C67)/$E$7)</f>
        <v>#VALUE!</v>
      </c>
      <c r="S67" s="304"/>
      <c r="T67" s="294"/>
      <c r="U67" s="294"/>
      <c r="V67" s="274"/>
      <c r="W67" s="274" t="e">
        <f>SUM($V$45:V67)</f>
        <v>#VALUE!</v>
      </c>
      <c r="X67" s="280" t="str">
        <f t="shared" si="12"/>
        <v xml:space="preserve"> </v>
      </c>
      <c r="Y67" s="309" t="str">
        <f t="shared" si="13"/>
        <v xml:space="preserve"> </v>
      </c>
      <c r="Z67" s="309" t="str">
        <f>IF($E$10=C67, ('Career Comparison'!$C$15/$E$8)*(1+'Government Figures'!$B$8)^(C67/$E$7)*$E$8/12, " ")</f>
        <v xml:space="preserve"> </v>
      </c>
      <c r="AA67" s="309" t="str">
        <f t="shared" si="14"/>
        <v xml:space="preserve"> </v>
      </c>
    </row>
    <row r="68" spans="1:27" s="281" customFormat="1" x14ac:dyDescent="0.25">
      <c r="A68" s="274"/>
      <c r="B68" s="275">
        <f t="shared" si="16"/>
        <v>24</v>
      </c>
      <c r="C68" s="275" t="str">
        <f t="shared" si="10"/>
        <v>Semester</v>
      </c>
      <c r="D68" s="276" t="str">
        <f>"Spring " &amp; (6+$E$13)</f>
        <v>Spring 2023</v>
      </c>
      <c r="E68" s="304" t="e">
        <f>-('Cost of Living'!$D$16/$E$8)*(1+'Government Figures'!$B$8/$E$8)^(C68/$E$7)</f>
        <v>#VALUE!</v>
      </c>
      <c r="F68" s="304" t="str">
        <f>IF($E$8=3, "#VALUE!", ('Career Comparison'!$D$20/$E$8)*(1+'Government Figures'!$B$8/$E$8)^(C68/$E$7))</f>
        <v>#VALUE!</v>
      </c>
      <c r="G68" s="304"/>
      <c r="H68" s="304" t="str">
        <f>IF($E$8=3, "#VALUE!", ('Career Comparison'!$C$20/$E$8)*(1+'Government Figures'!$B$8/$E$8)^(C68/$E$7))</f>
        <v>#VALUE!</v>
      </c>
      <c r="I68" s="304" t="str">
        <f>IF($E$8=3, "#VALUE!", ('Career Comparison'!$E$20/3)*(1+'Government Figures'!$B$8/$E$8)^(C67/$E$7))</f>
        <v>#VALUE!</v>
      </c>
      <c r="J68" s="304" t="e">
        <f>IF(C68&lt;=$E$12, -('College Schedule'!$E$11/3)*(1+'Government Figures'!$C$8)^(C68/$E$7), -('Career Comparison'!$F$20/3)*(1+'Government Figures'!$C$8)^(C68/$E$7))</f>
        <v>#VALUE!</v>
      </c>
      <c r="K68" s="304" t="e">
        <f t="shared" si="15"/>
        <v>#VALUE!</v>
      </c>
      <c r="L68" s="304" t="e">
        <f>K68*(1+'Government Figures'!$D$8)^(($E$10-$C68)/$E$7)</f>
        <v>#VALUE!</v>
      </c>
      <c r="M68" s="277"/>
      <c r="N68" s="278">
        <v>1</v>
      </c>
      <c r="O68" s="279">
        <f>'Government Figures'!$I$37</f>
        <v>0.13735784313725496</v>
      </c>
      <c r="P68" s="304" t="e">
        <f>N68*(1-O68)*('Career Comparison'!$F$15/$E$8)*(1+'Government Figures'!$B$8)^(C68/$E$7)</f>
        <v>#VALUE!</v>
      </c>
      <c r="Q68" s="304" t="str">
        <f t="shared" si="11"/>
        <v>#VALUE!</v>
      </c>
      <c r="R68" s="304" t="e">
        <f>Q68*(1+'Government Figures'!$D$8)^(($E$10-$C68)/$E$7)</f>
        <v>#VALUE!</v>
      </c>
      <c r="S68" s="312"/>
      <c r="T68" s="294" t="e">
        <f>SUM(K65:K68)</f>
        <v>#VALUE!</v>
      </c>
      <c r="U68" s="309">
        <v>10500</v>
      </c>
      <c r="V68" s="274" t="e">
        <f>IF(-T68&gt;U68, 1, 0)</f>
        <v>#VALUE!</v>
      </c>
      <c r="W68" s="274" t="e">
        <f>SUM($V$45:V68)</f>
        <v>#VALUE!</v>
      </c>
      <c r="X68" s="280" t="str">
        <f t="shared" si="12"/>
        <v xml:space="preserve"> </v>
      </c>
      <c r="Y68" s="309" t="str">
        <f t="shared" si="13"/>
        <v xml:space="preserve"> </v>
      </c>
      <c r="Z68" s="309" t="str">
        <f>IF($E$10=C68, ('Career Comparison'!$C$15/$E$8)*(1+'Government Figures'!$B$8)^(C68/$E$7)*$E$8/12, " ")</f>
        <v xml:space="preserve"> </v>
      </c>
      <c r="AA68" s="309" t="str">
        <f t="shared" si="14"/>
        <v xml:space="preserve"> </v>
      </c>
    </row>
    <row r="69" spans="1:27" s="281" customFormat="1" x14ac:dyDescent="0.25">
      <c r="A69" s="274"/>
      <c r="B69" s="275">
        <f t="shared" si="16"/>
        <v>25</v>
      </c>
      <c r="C69" s="275" t="str">
        <f t="shared" si="10"/>
        <v>Semester</v>
      </c>
      <c r="D69" s="276" t="str">
        <f xml:space="preserve"> "Summer " &amp; (6+$E$13)</f>
        <v>Summer 2023</v>
      </c>
      <c r="E69" s="304" t="e">
        <f>-('Cost of Living'!$D$16/$E$8)*(1+'Government Figures'!$B$8/$E$8)^(C69/$E$7)</f>
        <v>#VALUE!</v>
      </c>
      <c r="F69" s="304" t="str">
        <f>IF($E$8=3, "#VALUE!", ('Career Comparison'!$D$20/$E$8)*(1+'Government Figures'!$B$8/$E$8)^(C69/$E$7))</f>
        <v>#VALUE!</v>
      </c>
      <c r="G69" s="304"/>
      <c r="H69" s="304" t="str">
        <f>IF($E$8=3, "#VALUE!", ('Career Comparison'!$C$20/$E$8)*(1+'Government Figures'!$B$8/$E$8)^(C69/$E$7))</f>
        <v>#VALUE!</v>
      </c>
      <c r="I69" s="304"/>
      <c r="J69" s="304"/>
      <c r="K69" s="304" t="e">
        <f t="shared" si="15"/>
        <v>#VALUE!</v>
      </c>
      <c r="L69" s="304" t="e">
        <f>K69*(1+'Government Figures'!$D$8)^(($E$10-$C69)/$E$7)</f>
        <v>#VALUE!</v>
      </c>
      <c r="M69" s="277"/>
      <c r="N69" s="278">
        <v>1</v>
      </c>
      <c r="O69" s="279">
        <f>'Government Figures'!$I$37</f>
        <v>0.13735784313725496</v>
      </c>
      <c r="P69" s="304" t="e">
        <f>N69*(1-O69)*('Career Comparison'!$F$15/$E$8)*(1+'Government Figures'!$B$8)^(C69/$E$7)</f>
        <v>#VALUE!</v>
      </c>
      <c r="Q69" s="304" t="str">
        <f t="shared" si="11"/>
        <v>#VALUE!</v>
      </c>
      <c r="R69" s="304" t="e">
        <f>Q69*(1+'Government Figures'!$D$8)^(($E$10-$C69)/$E$7)</f>
        <v>#VALUE!</v>
      </c>
      <c r="S69" s="304"/>
      <c r="T69" s="294"/>
      <c r="U69" s="309"/>
      <c r="V69" s="274"/>
      <c r="W69" s="274" t="e">
        <f>SUM($V$45:V69)</f>
        <v>#VALUE!</v>
      </c>
      <c r="X69" s="280" t="str">
        <f t="shared" si="12"/>
        <v xml:space="preserve"> </v>
      </c>
      <c r="Y69" s="309" t="str">
        <f t="shared" si="13"/>
        <v xml:space="preserve"> </v>
      </c>
      <c r="Z69" s="309" t="str">
        <f>IF($E$10=C69, ('Career Comparison'!$C$15/$E$8)*(1+'Government Figures'!$B$8)^(C69/$E$7)*$E$8/12, " ")</f>
        <v xml:space="preserve"> </v>
      </c>
      <c r="AA69" s="309" t="str">
        <f t="shared" si="14"/>
        <v xml:space="preserve"> </v>
      </c>
    </row>
    <row r="70" spans="1:27" s="281" customFormat="1" x14ac:dyDescent="0.25">
      <c r="A70" s="274"/>
      <c r="B70" s="275">
        <f t="shared" si="16"/>
        <v>26</v>
      </c>
      <c r="C70" s="275" t="str">
        <f t="shared" si="10"/>
        <v>Semester</v>
      </c>
      <c r="D70" s="276" t="str">
        <f xml:space="preserve"> "Fall " &amp; (6+$E$13)</f>
        <v>Fall 2023</v>
      </c>
      <c r="E70" s="304" t="e">
        <f>-('Cost of Living'!$D$16/$E$8)*(1+'Government Figures'!$B$8/$E$8)^(C70/$E$7)</f>
        <v>#VALUE!</v>
      </c>
      <c r="F70" s="304" t="str">
        <f>IF($E$8=3, "#VALUE!", ('Career Comparison'!$D$20/$E$8)*(1+'Government Figures'!$B$8/$E$8)^(C70/$E$7))</f>
        <v>#VALUE!</v>
      </c>
      <c r="G70" s="304"/>
      <c r="H70" s="304" t="str">
        <f>IF($E$8=3, "#VALUE!", ('Career Comparison'!$C$20/$E$8)*(1+'Government Figures'!$B$8/$E$8)^(C70/$E$7))</f>
        <v>#VALUE!</v>
      </c>
      <c r="I70" s="304" t="str">
        <f>IF($E$8=3, "#VALUE!", ('Career Comparison'!$E$20/3)*(1+'Government Figures'!$B$8/$E$8)^(C69/$E$7))</f>
        <v>#VALUE!</v>
      </c>
      <c r="J70" s="304" t="e">
        <f>IF(C70&lt;=$E$12, -('College Schedule'!$E$11/3)*(1+'Government Figures'!$C$8)^(C70/$E$7), -('Career Comparison'!$F$20/3)*(1+'Government Figures'!$C$8)^(C70/$E$7))</f>
        <v>#VALUE!</v>
      </c>
      <c r="K70" s="304" t="e">
        <f t="shared" si="15"/>
        <v>#VALUE!</v>
      </c>
      <c r="L70" s="304" t="e">
        <f>K70*(1+'Government Figures'!$D$8)^(($E$10-$C70)/$E$7)</f>
        <v>#VALUE!</v>
      </c>
      <c r="M70" s="277"/>
      <c r="N70" s="278">
        <v>1</v>
      </c>
      <c r="O70" s="279">
        <f>'Government Figures'!$I$37</f>
        <v>0.13735784313725496</v>
      </c>
      <c r="P70" s="304" t="e">
        <f>N70*(1-O70)*('Career Comparison'!$F$15/$E$8)*(1+'Government Figures'!$B$8)^(C70/$E$7)</f>
        <v>#VALUE!</v>
      </c>
      <c r="Q70" s="304" t="str">
        <f t="shared" si="11"/>
        <v>#VALUE!</v>
      </c>
      <c r="R70" s="304" t="e">
        <f>Q70*(1+'Government Figures'!$D$8)^(($E$10-$C70)/$E$7)</f>
        <v>#VALUE!</v>
      </c>
      <c r="S70" s="304"/>
      <c r="T70" s="294"/>
      <c r="U70" s="294"/>
      <c r="V70" s="274"/>
      <c r="W70" s="274" t="e">
        <f>SUM($V$45:V70)</f>
        <v>#VALUE!</v>
      </c>
      <c r="X70" s="280" t="str">
        <f t="shared" si="12"/>
        <v xml:space="preserve"> </v>
      </c>
      <c r="Y70" s="309" t="str">
        <f t="shared" si="13"/>
        <v xml:space="preserve"> </v>
      </c>
      <c r="Z70" s="309" t="str">
        <f>IF($E$10=C70, ('Career Comparison'!$C$15/$E$8)*(1+'Government Figures'!$B$8)^(C70/$E$7)*$E$8/12, " ")</f>
        <v xml:space="preserve"> </v>
      </c>
      <c r="AA70" s="309" t="str">
        <f t="shared" si="14"/>
        <v xml:space="preserve"> </v>
      </c>
    </row>
    <row r="71" spans="1:27" s="281" customFormat="1" x14ac:dyDescent="0.25">
      <c r="A71" s="274"/>
      <c r="B71" s="275">
        <f t="shared" si="16"/>
        <v>27</v>
      </c>
      <c r="C71" s="275" t="str">
        <f t="shared" si="10"/>
        <v>Semester</v>
      </c>
      <c r="D71" s="276" t="str">
        <f xml:space="preserve"> "Winter " &amp; (7+$E$13)</f>
        <v>Winter 2024</v>
      </c>
      <c r="E71" s="304" t="e">
        <f>-('Cost of Living'!$D$16/$E$8)*(1+'Government Figures'!$B$8/$E$8)^(C71/$E$7)</f>
        <v>#VALUE!</v>
      </c>
      <c r="F71" s="304" t="str">
        <f>IF($E$8=3, "#VALUE!", ('Career Comparison'!$D$20/$E$8)*(1+'Government Figures'!$B$8/$E$8)^(C71/$E$7))</f>
        <v>#VALUE!</v>
      </c>
      <c r="G71" s="304"/>
      <c r="H71" s="304" t="str">
        <f>IF($E$8=3, "#VALUE!", ('Career Comparison'!$C$20/$E$8)*(1+'Government Figures'!$B$8/$E$8)^(C71/$E$7))</f>
        <v>#VALUE!</v>
      </c>
      <c r="I71" s="304" t="str">
        <f>IF($E$8=3, "#VALUE!", ('Career Comparison'!$E$20/3)*(1+'Government Figures'!$B$8/$E$8)^(C70/$E$7))</f>
        <v>#VALUE!</v>
      </c>
      <c r="J71" s="304" t="e">
        <f>IF(C71&lt;=$E$12, -('College Schedule'!$E$11/3)*(1+'Government Figures'!$C$8)^(C71/$E$7), -('Career Comparison'!$F$20/3)*(1+'Government Figures'!$C$8)^(C71/$E$7))</f>
        <v>#VALUE!</v>
      </c>
      <c r="K71" s="304" t="e">
        <f t="shared" si="15"/>
        <v>#VALUE!</v>
      </c>
      <c r="L71" s="304" t="e">
        <f>K71*(1+'Government Figures'!$D$8)^(($E$10-$C71)/$E$7)</f>
        <v>#VALUE!</v>
      </c>
      <c r="M71" s="277"/>
      <c r="N71" s="278">
        <v>1</v>
      </c>
      <c r="O71" s="279">
        <f>'Government Figures'!$I$37</f>
        <v>0.13735784313725496</v>
      </c>
      <c r="P71" s="304" t="e">
        <f>N71*(1-O71)*('Career Comparison'!$F$15/$E$8)*(1+'Government Figures'!$B$8)^(C71/$E$7)</f>
        <v>#VALUE!</v>
      </c>
      <c r="Q71" s="304" t="str">
        <f t="shared" si="11"/>
        <v>#VALUE!</v>
      </c>
      <c r="R71" s="304" t="e">
        <f>Q71*(1+'Government Figures'!$D$8)^(($E$10-$C71)/$E$7)</f>
        <v>#VALUE!</v>
      </c>
      <c r="S71" s="304"/>
      <c r="T71" s="294"/>
      <c r="U71" s="294"/>
      <c r="V71" s="274"/>
      <c r="W71" s="274" t="e">
        <f>SUM($V$45:V71)</f>
        <v>#VALUE!</v>
      </c>
      <c r="X71" s="280" t="str">
        <f t="shared" si="12"/>
        <v xml:space="preserve"> </v>
      </c>
      <c r="Y71" s="309" t="str">
        <f t="shared" si="13"/>
        <v xml:space="preserve"> </v>
      </c>
      <c r="Z71" s="309" t="str">
        <f>IF($E$10=C71, ('Career Comparison'!$C$15/$E$8)*(1+'Government Figures'!$B$8)^(C71/$E$7)*$E$8/12, " ")</f>
        <v xml:space="preserve"> </v>
      </c>
      <c r="AA71" s="309" t="str">
        <f t="shared" si="14"/>
        <v xml:space="preserve"> </v>
      </c>
    </row>
    <row r="72" spans="1:27" s="281" customFormat="1" x14ac:dyDescent="0.25">
      <c r="A72" s="274"/>
      <c r="B72" s="275">
        <f t="shared" si="16"/>
        <v>28</v>
      </c>
      <c r="C72" s="275" t="str">
        <f t="shared" si="10"/>
        <v>Semester</v>
      </c>
      <c r="D72" s="276" t="str">
        <f>"Spring " &amp; (7+$E$13)</f>
        <v>Spring 2024</v>
      </c>
      <c r="E72" s="304" t="e">
        <f>-('Cost of Living'!$D$16/$E$8)*(1+'Government Figures'!$B$8/$E$8)^(C72/$E$7)</f>
        <v>#VALUE!</v>
      </c>
      <c r="F72" s="304" t="str">
        <f>IF($E$8=3, "#VALUE!", ('Career Comparison'!$D$20/$E$8)*(1+'Government Figures'!$B$8/$E$8)^(C72/$E$7))</f>
        <v>#VALUE!</v>
      </c>
      <c r="G72" s="304"/>
      <c r="H72" s="304" t="str">
        <f>IF($E$8=3, "#VALUE!", ('Career Comparison'!$C$20/$E$8)*(1+'Government Figures'!$B$8/$E$8)^(C72/$E$7))</f>
        <v>#VALUE!</v>
      </c>
      <c r="I72" s="304" t="str">
        <f>IF($E$8=3, "#VALUE!", ('Career Comparison'!$E$20/3)*(1+'Government Figures'!$B$8/$E$8)^(C71/$E$7))</f>
        <v>#VALUE!</v>
      </c>
      <c r="J72" s="304" t="e">
        <f>IF(C72&lt;=$E$12, -('College Schedule'!$E$11/3)*(1+'Government Figures'!$C$8)^(C72/$E$7), -('Career Comparison'!$F$20/3)*(1+'Government Figures'!$C$8)^(C72/$E$7))</f>
        <v>#VALUE!</v>
      </c>
      <c r="K72" s="304" t="e">
        <f t="shared" si="15"/>
        <v>#VALUE!</v>
      </c>
      <c r="L72" s="304" t="e">
        <f>K72*(1+'Government Figures'!$D$8)^(($E$10-$C72)/$E$7)</f>
        <v>#VALUE!</v>
      </c>
      <c r="M72" s="277"/>
      <c r="N72" s="278">
        <v>1</v>
      </c>
      <c r="O72" s="279">
        <f>'Government Figures'!$I$37</f>
        <v>0.13735784313725496</v>
      </c>
      <c r="P72" s="304" t="e">
        <f>N72*(1-O72)*('Career Comparison'!$F$15/$E$8)*(1+'Government Figures'!$B$8)^(C72/$E$7)</f>
        <v>#VALUE!</v>
      </c>
      <c r="Q72" s="304" t="str">
        <f t="shared" si="11"/>
        <v>#VALUE!</v>
      </c>
      <c r="R72" s="304" t="e">
        <f>Q72*(1+'Government Figures'!$D$8)^(($E$10-$C72)/$E$7)</f>
        <v>#VALUE!</v>
      </c>
      <c r="S72" s="312"/>
      <c r="T72" s="294" t="e">
        <f>SUM(K69:K72)</f>
        <v>#VALUE!</v>
      </c>
      <c r="U72" s="309">
        <v>10500</v>
      </c>
      <c r="V72" s="274" t="e">
        <f>IF(-T72&gt;U72, 1, 0)</f>
        <v>#VALUE!</v>
      </c>
      <c r="W72" s="274" t="e">
        <f>SUM($V$45:V72)</f>
        <v>#VALUE!</v>
      </c>
      <c r="X72" s="280" t="str">
        <f t="shared" si="12"/>
        <v xml:space="preserve"> </v>
      </c>
      <c r="Y72" s="309" t="str">
        <f t="shared" si="13"/>
        <v xml:space="preserve"> </v>
      </c>
      <c r="Z72" s="309" t="str">
        <f>IF($E$10=C72, ('Career Comparison'!$C$15/$E$8)*(1+'Government Figures'!$B$8)^(C72/$E$7)*$E$8/12, " ")</f>
        <v xml:space="preserve"> </v>
      </c>
      <c r="AA72" s="309" t="str">
        <f t="shared" si="14"/>
        <v xml:space="preserve"> </v>
      </c>
    </row>
    <row r="73" spans="1:27" s="281" customFormat="1" x14ac:dyDescent="0.25">
      <c r="A73" s="274"/>
      <c r="B73" s="275">
        <f t="shared" si="16"/>
        <v>29</v>
      </c>
      <c r="C73" s="275" t="str">
        <f t="shared" si="10"/>
        <v>Semester</v>
      </c>
      <c r="D73" s="276" t="str">
        <f xml:space="preserve"> "Summer " &amp; (7+$E$13)</f>
        <v>Summer 2024</v>
      </c>
      <c r="E73" s="304" t="e">
        <f>-('Cost of Living'!$D$16/$E$8)*(1+'Government Figures'!$B$8/$E$8)^(C73/$E$7)</f>
        <v>#VALUE!</v>
      </c>
      <c r="F73" s="304" t="str">
        <f>IF($E$8=3, "#VALUE!", ('Career Comparison'!$D$20/$E$8)*(1+'Government Figures'!$B$8/$E$8)^(C73/$E$7))</f>
        <v>#VALUE!</v>
      </c>
      <c r="G73" s="304"/>
      <c r="H73" s="304" t="str">
        <f>IF($E$8=3, "#VALUE!", ('Career Comparison'!$C$20/$E$8)*(1+'Government Figures'!$B$8/$E$8)^(C73/$E$7))</f>
        <v>#VALUE!</v>
      </c>
      <c r="I73" s="304"/>
      <c r="J73" s="304"/>
      <c r="K73" s="304" t="e">
        <f t="shared" si="15"/>
        <v>#VALUE!</v>
      </c>
      <c r="L73" s="304" t="e">
        <f>K73*(1+'Government Figures'!$D$8)^(($E$10-$C73)/$E$7)</f>
        <v>#VALUE!</v>
      </c>
      <c r="M73" s="277"/>
      <c r="N73" s="278">
        <v>1</v>
      </c>
      <c r="O73" s="279">
        <f>'Government Figures'!$I$37</f>
        <v>0.13735784313725496</v>
      </c>
      <c r="P73" s="304" t="e">
        <f>N73*(1-O73)*('Career Comparison'!$F$15/$E$8)*(1+'Government Figures'!$B$8)^(C73/$E$7)</f>
        <v>#VALUE!</v>
      </c>
      <c r="Q73" s="304" t="str">
        <f t="shared" si="11"/>
        <v>#VALUE!</v>
      </c>
      <c r="R73" s="304" t="e">
        <f>Q73*(1+'Government Figures'!$D$8)^(($E$10-$C73)/$E$7)</f>
        <v>#VALUE!</v>
      </c>
      <c r="S73" s="304"/>
      <c r="T73" s="294"/>
      <c r="U73" s="309"/>
      <c r="V73" s="274"/>
      <c r="W73" s="274" t="e">
        <f>SUM($V$45:V73)</f>
        <v>#VALUE!</v>
      </c>
      <c r="X73" s="280" t="str">
        <f t="shared" si="12"/>
        <v xml:space="preserve"> </v>
      </c>
      <c r="Y73" s="309" t="str">
        <f t="shared" si="13"/>
        <v xml:space="preserve"> </v>
      </c>
      <c r="Z73" s="309" t="str">
        <f>IF($E$10=C73, ('Career Comparison'!$C$15/$E$8)*(1+'Government Figures'!$B$8)^(C73/$E$7)*$E$8/12, " ")</f>
        <v xml:space="preserve"> </v>
      </c>
      <c r="AA73" s="309" t="str">
        <f t="shared" si="14"/>
        <v xml:space="preserve"> </v>
      </c>
    </row>
    <row r="74" spans="1:27" s="281" customFormat="1" x14ac:dyDescent="0.25">
      <c r="A74" s="274"/>
      <c r="B74" s="275">
        <f t="shared" si="16"/>
        <v>30</v>
      </c>
      <c r="C74" s="275" t="str">
        <f t="shared" si="10"/>
        <v>Semester</v>
      </c>
      <c r="D74" s="276" t="str">
        <f>"Fall " &amp; (7+$E$13)</f>
        <v>Fall 2024</v>
      </c>
      <c r="E74" s="304" t="e">
        <f>-('Cost of Living'!$D$16/$E$8)*(1+'Government Figures'!$B$8/$E$8)^(C74/$E$7)</f>
        <v>#VALUE!</v>
      </c>
      <c r="F74" s="304" t="str">
        <f>IF($E$8=3, "#VALUE!", ('Career Comparison'!$D$20/$E$8)*(1+'Government Figures'!$B$8/$E$8)^(C74/$E$7))</f>
        <v>#VALUE!</v>
      </c>
      <c r="G74" s="304"/>
      <c r="H74" s="304" t="str">
        <f>IF($E$8=3, "#VALUE!", ('Career Comparison'!$C$20/$E$8)*(1+'Government Figures'!$B$8/$E$8)^(C74/$E$7))</f>
        <v>#VALUE!</v>
      </c>
      <c r="I74" s="304" t="str">
        <f>IF($E$8=3, "#VALUE!", ('Career Comparison'!$E$20/3)*(1+'Government Figures'!$B$8/$E$8)^(C73/$E$7))</f>
        <v>#VALUE!</v>
      </c>
      <c r="J74" s="304" t="e">
        <f>IF(C74&lt;=$E$12, -('College Schedule'!$E$11/3)*(1+'Government Figures'!$C$8)^(C74/$E$7), -('Career Comparison'!$F$20/3)*(1+'Government Figures'!$C$8)^(C74/$E$7))</f>
        <v>#VALUE!</v>
      </c>
      <c r="K74" s="304" t="e">
        <f t="shared" si="15"/>
        <v>#VALUE!</v>
      </c>
      <c r="L74" s="304" t="e">
        <f>K74*(1+'Government Figures'!$D$8)^(($E$10-$C74)/$E$7)</f>
        <v>#VALUE!</v>
      </c>
      <c r="M74" s="277"/>
      <c r="N74" s="278">
        <v>1</v>
      </c>
      <c r="O74" s="279">
        <f>'Government Figures'!$I$37</f>
        <v>0.13735784313725496</v>
      </c>
      <c r="P74" s="304" t="e">
        <f>N74*(1-O74)*('Career Comparison'!$F$15/$E$8)*(1+'Government Figures'!$B$8)^(C74/$E$7)</f>
        <v>#VALUE!</v>
      </c>
      <c r="Q74" s="304" t="str">
        <f t="shared" si="11"/>
        <v>#VALUE!</v>
      </c>
      <c r="R74" s="304" t="e">
        <f>Q74*(1+'Government Figures'!$D$8)^(($E$10-$C74)/$E$7)</f>
        <v>#VALUE!</v>
      </c>
      <c r="S74" s="304"/>
      <c r="T74" s="294"/>
      <c r="U74" s="294"/>
      <c r="V74" s="274"/>
      <c r="W74" s="274" t="e">
        <f>SUM($V$45:V74)</f>
        <v>#VALUE!</v>
      </c>
      <c r="X74" s="280" t="str">
        <f t="shared" si="12"/>
        <v xml:space="preserve"> </v>
      </c>
      <c r="Y74" s="309" t="str">
        <f t="shared" si="13"/>
        <v xml:space="preserve"> </v>
      </c>
      <c r="Z74" s="309" t="str">
        <f>IF($E$10=C74, ('Career Comparison'!$C$15/$E$8)*(1+'Government Figures'!$B$8)^(C74/$E$7)*$E$8/12, " ")</f>
        <v xml:space="preserve"> </v>
      </c>
      <c r="AA74" s="309" t="str">
        <f t="shared" si="14"/>
        <v xml:space="preserve"> </v>
      </c>
    </row>
    <row r="75" spans="1:27" s="281" customFormat="1" x14ac:dyDescent="0.25">
      <c r="A75" s="274"/>
      <c r="B75" s="275">
        <f t="shared" si="16"/>
        <v>31</v>
      </c>
      <c r="C75" s="275" t="str">
        <f t="shared" si="10"/>
        <v>Semester</v>
      </c>
      <c r="D75" s="276" t="str">
        <f xml:space="preserve"> "Winter " &amp; (8+$E$13)</f>
        <v>Winter 2025</v>
      </c>
      <c r="E75" s="304" t="e">
        <f>-('Cost of Living'!$D$16/$E$8)*(1+'Government Figures'!$B$8/$E$8)^(C75/$E$7)</f>
        <v>#VALUE!</v>
      </c>
      <c r="F75" s="304" t="str">
        <f>IF($E$8=3, "#VALUE!", ('Career Comparison'!$D$20/$E$8)*(1+'Government Figures'!$B$8/$E$8)^(C75/$E$7))</f>
        <v>#VALUE!</v>
      </c>
      <c r="G75" s="304"/>
      <c r="H75" s="304" t="str">
        <f>IF($E$8=3, "#VALUE!", ('Career Comparison'!$C$20/$E$8)*(1+'Government Figures'!$B$8/$E$8)^(C75/$E$7))</f>
        <v>#VALUE!</v>
      </c>
      <c r="I75" s="304" t="str">
        <f>IF($E$8=3, "#VALUE!", ('Career Comparison'!$E$20/3)*(1+'Government Figures'!$B$8/$E$8)^(C74/$E$7))</f>
        <v>#VALUE!</v>
      </c>
      <c r="J75" s="304" t="e">
        <f>IF(C75&lt;=$E$12, -('College Schedule'!$E$11/3)*(1+'Government Figures'!$C$8)^(C75/$E$7), -('Career Comparison'!$F$20/3)*(1+'Government Figures'!$C$8)^(C75/$E$7))</f>
        <v>#VALUE!</v>
      </c>
      <c r="K75" s="304" t="e">
        <f t="shared" si="15"/>
        <v>#VALUE!</v>
      </c>
      <c r="L75" s="304" t="e">
        <f>K75*(1+'Government Figures'!$D$8)^(($E$10-$C75)/$E$7)</f>
        <v>#VALUE!</v>
      </c>
      <c r="M75" s="277"/>
      <c r="N75" s="278">
        <v>1</v>
      </c>
      <c r="O75" s="279">
        <f>'Government Figures'!$I$37</f>
        <v>0.13735784313725496</v>
      </c>
      <c r="P75" s="304" t="e">
        <f>N75*(1-O75)*('Career Comparison'!$F$15/$E$8)*(1+'Government Figures'!$B$8)^(C75/$E$7)</f>
        <v>#VALUE!</v>
      </c>
      <c r="Q75" s="304" t="str">
        <f t="shared" si="11"/>
        <v>#VALUE!</v>
      </c>
      <c r="R75" s="304" t="e">
        <f>Q75*(1+'Government Figures'!$D$8)^(($E$10-$C75)/$E$7)</f>
        <v>#VALUE!</v>
      </c>
      <c r="S75" s="312"/>
      <c r="T75" s="294"/>
      <c r="U75" s="309"/>
      <c r="V75" s="274"/>
      <c r="W75" s="274" t="e">
        <f>SUM($V$45:V75)</f>
        <v>#VALUE!</v>
      </c>
      <c r="X75" s="280" t="str">
        <f t="shared" si="12"/>
        <v xml:space="preserve"> </v>
      </c>
      <c r="Y75" s="309" t="str">
        <f t="shared" si="13"/>
        <v xml:space="preserve"> </v>
      </c>
      <c r="Z75" s="309" t="str">
        <f>IF($E$10=C75, ('Career Comparison'!$C$15/$E$8)*(1+'Government Figures'!$B$8)^(C75/$E$7)*$E$8/12, " ")</f>
        <v xml:space="preserve"> </v>
      </c>
      <c r="AA75" s="309" t="str">
        <f t="shared" si="14"/>
        <v xml:space="preserve"> </v>
      </c>
    </row>
    <row r="76" spans="1:27" s="281" customFormat="1" x14ac:dyDescent="0.25">
      <c r="A76" s="274"/>
      <c r="B76" s="275">
        <f t="shared" si="16"/>
        <v>32</v>
      </c>
      <c r="C76" s="275" t="str">
        <f t="shared" si="10"/>
        <v>Semester</v>
      </c>
      <c r="D76" s="276" t="str">
        <f xml:space="preserve"> "Spring " &amp; (8+$E$13)</f>
        <v>Spring 2025</v>
      </c>
      <c r="E76" s="304" t="e">
        <f>-('Cost of Living'!$D$16/$E$8)*(1+'Government Figures'!$B$8/$E$8)^(C76/$E$7)</f>
        <v>#VALUE!</v>
      </c>
      <c r="F76" s="304" t="str">
        <f>IF($E$8=3, "#VALUE!", ('Career Comparison'!$D$20/$E$8)*(1+'Government Figures'!$B$8/$E$8)^(C76/$E$7))</f>
        <v>#VALUE!</v>
      </c>
      <c r="G76" s="304"/>
      <c r="H76" s="304" t="str">
        <f>IF($E$8=3, "#VALUE!", ('Career Comparison'!$C$20/$E$8)*(1+'Government Figures'!$B$8/$E$8)^(C76/$E$7))</f>
        <v>#VALUE!</v>
      </c>
      <c r="I76" s="304" t="str">
        <f>IF($E$8=3, "#VALUE!", ('Career Comparison'!$E$20/3)*(1+'Government Figures'!$B$8/$E$8)^(C75/$E$7))</f>
        <v>#VALUE!</v>
      </c>
      <c r="J76" s="304" t="e">
        <f>IF(C76&lt;=$E$12, -('College Schedule'!$E$11/3)*(1+'Government Figures'!$C$8)^(C76/$E$7), -('Career Comparison'!$F$20/3)*(1+'Government Figures'!$C$8)^(C76/$E$7))</f>
        <v>#VALUE!</v>
      </c>
      <c r="K76" s="304" t="e">
        <f t="shared" si="15"/>
        <v>#VALUE!</v>
      </c>
      <c r="L76" s="304" t="e">
        <f>K76*(1+'Government Figures'!$D$8)^(($E$10-$C76)/$E$7)</f>
        <v>#VALUE!</v>
      </c>
      <c r="M76" s="277"/>
      <c r="N76" s="278">
        <v>1</v>
      </c>
      <c r="O76" s="279">
        <f>'Government Figures'!$I$37</f>
        <v>0.13735784313725496</v>
      </c>
      <c r="P76" s="304" t="e">
        <f>N76*(1-O76)*('Career Comparison'!$F$15/$E$8)*(1+'Government Figures'!$B$8)^(C76/$E$7)</f>
        <v>#VALUE!</v>
      </c>
      <c r="Q76" s="304" t="str">
        <f t="shared" si="11"/>
        <v>#VALUE!</v>
      </c>
      <c r="R76" s="304" t="e">
        <f>Q76*(1+'Government Figures'!$D$8)^(($E$10-$C76)/$E$7)</f>
        <v>#VALUE!</v>
      </c>
      <c r="S76" s="312"/>
      <c r="T76" s="294" t="e">
        <f>SUM(K73:K76)</f>
        <v>#VALUE!</v>
      </c>
      <c r="U76" s="309">
        <v>10500</v>
      </c>
      <c r="V76" s="274" t="e">
        <f>IF(-T76&gt;U76, 1, 0)</f>
        <v>#VALUE!</v>
      </c>
      <c r="W76" s="274" t="e">
        <f>SUM($V$45:V76)</f>
        <v>#VALUE!</v>
      </c>
      <c r="X76" s="280" t="str">
        <f t="shared" si="12"/>
        <v xml:space="preserve"> </v>
      </c>
      <c r="Y76" s="309" t="str">
        <f t="shared" si="13"/>
        <v xml:space="preserve"> </v>
      </c>
      <c r="Z76" s="309" t="str">
        <f>IF($E$10=C76, ('Career Comparison'!$C$15/$E$8)*(1+'Government Figures'!$B$8)^(C76/$E$7)*$E$8/12, " ")</f>
        <v xml:space="preserve"> </v>
      </c>
      <c r="AA76" s="309" t="str">
        <f t="shared" si="14"/>
        <v xml:space="preserve"> </v>
      </c>
    </row>
    <row r="77" spans="1:27" s="281" customFormat="1" ht="15.75" thickBot="1" x14ac:dyDescent="0.3">
      <c r="A77" s="274"/>
      <c r="B77" s="284"/>
      <c r="C77" s="284"/>
      <c r="D77" s="284"/>
      <c r="E77" s="308"/>
      <c r="F77" s="308"/>
      <c r="G77" s="308"/>
      <c r="H77" s="308"/>
      <c r="I77" s="308"/>
      <c r="J77" s="308"/>
      <c r="K77" s="308"/>
      <c r="L77" s="308"/>
      <c r="M77" s="285"/>
      <c r="N77" s="285"/>
      <c r="O77" s="285"/>
      <c r="P77" s="308"/>
      <c r="Q77" s="308"/>
      <c r="R77" s="308"/>
      <c r="S77" s="294"/>
      <c r="T77" s="294"/>
      <c r="U77" s="309"/>
      <c r="V77" s="274"/>
      <c r="W77" s="274"/>
      <c r="X77" s="274"/>
      <c r="Y77" s="294"/>
      <c r="Z77" s="294"/>
      <c r="AA77" s="294"/>
    </row>
    <row r="78" spans="1:27" x14ac:dyDescent="0.25">
      <c r="A78" s="118"/>
      <c r="B78" s="153"/>
      <c r="C78" s="153"/>
      <c r="D78" s="135"/>
      <c r="E78" s="306"/>
      <c r="F78" s="306"/>
      <c r="G78" s="306"/>
      <c r="H78" s="306"/>
      <c r="I78" s="306"/>
      <c r="J78" s="306"/>
      <c r="K78" s="306"/>
      <c r="L78" s="306"/>
      <c r="M78" s="130"/>
      <c r="N78" s="130"/>
      <c r="O78" s="130"/>
      <c r="P78" s="306"/>
      <c r="Q78" s="306"/>
      <c r="R78" s="306"/>
      <c r="S78" s="293"/>
      <c r="T78" s="293"/>
      <c r="U78" s="301"/>
      <c r="V78" s="118"/>
      <c r="W78" s="118"/>
      <c r="X78" s="118"/>
      <c r="Y78" s="293"/>
      <c r="Z78" s="293"/>
      <c r="AA78" s="293"/>
    </row>
    <row r="79" spans="1:27" x14ac:dyDescent="0.25">
      <c r="A79" s="118"/>
      <c r="B79" s="153"/>
      <c r="C79" s="367" t="str">
        <f>IF(E10/(E7/E8) = ROUND(E10/(E7/E8),0), " ", "Check months, E10 not a multiple of E7/E8")</f>
        <v xml:space="preserve"> </v>
      </c>
      <c r="D79" s="135" t="str">
        <f>"Total in " &amp; E10 &amp; " months"</f>
        <v>Total in 52 months</v>
      </c>
      <c r="E79" s="306" t="e">
        <f ca="1">SUM(INDIRECT("E"&amp;($E$9*$E$8/$E$7+$V$9)&amp;":E"&amp;($V$9+$E$10*$E$8/$E$7)))</f>
        <v>#VALUE!</v>
      </c>
      <c r="F79" s="306">
        <f ca="1">SUM(INDIRECT("f"&amp;($E$9*$E$8/$E$7+$V$9)&amp;":f"&amp;($V$9+$E$10*$E$8/$E$7)))</f>
        <v>0</v>
      </c>
      <c r="G79" s="306"/>
      <c r="H79" s="306">
        <f ca="1">SUM(INDIRECT("h"&amp;($E$9*$E$8/$E$7+$V$9)&amp;":h"&amp;($V$9+$E$10*$E$8/$E$7)))</f>
        <v>0</v>
      </c>
      <c r="I79" s="306">
        <f ca="1">SUM(INDIRECT("i"&amp;($E$9*$E$8/$E$7+$V$9)&amp;":i"&amp;($V$9+$E$10*$E$8/$E$7)))</f>
        <v>0</v>
      </c>
      <c r="J79" s="306" t="e">
        <f ca="1">SUM(INDIRECT("j"&amp;($E$9*$E$8/$E$7+$V$9)&amp;":j"&amp;($V$9+$E$10*$E$8/$E$7)))</f>
        <v>#VALUE!</v>
      </c>
      <c r="K79" s="306" t="e">
        <f ca="1">SUM(INDIRECT("k"&amp;($E$9*$E$8/$E$7+$V$9)&amp;":k"&amp;($V$9+$E$10*$E$8/$E$7)))</f>
        <v>#VALUE!</v>
      </c>
      <c r="L79" s="306" t="e">
        <f ca="1">SUM(INDIRECT("l"&amp;($E$9*$E$8/$E$7+$V$9)&amp;":l"&amp;($V$9+$E$10*$E$8/$E$7)))</f>
        <v>#VALUE!</v>
      </c>
      <c r="M79" s="130"/>
      <c r="N79" s="130"/>
      <c r="O79" s="130"/>
      <c r="P79" s="306" t="e">
        <f ca="1">SUM(INDIRECT("p"&amp;($E$9*$E$8/$E$7+$V$9)&amp;":p"&amp;($V$9+$E$10*$E$8/$E$7)))</f>
        <v>#VALUE!</v>
      </c>
      <c r="Q79" s="306">
        <f ca="1">SUM(INDIRECT("q"&amp;($E$9*$E$8/$E$7+$V$9)&amp;":q"&amp;($V$9+$E$10*$E$8/$E$7)))</f>
        <v>0</v>
      </c>
      <c r="R79" s="306" t="e">
        <f ca="1">SUM(INDIRECT("r"&amp;($E$9*$E$8/$E$7+$V$9)&amp;":r"&amp;($V$9+$E$10*$E$8/$E$7)))</f>
        <v>#VALUE!</v>
      </c>
      <c r="S79" s="293"/>
      <c r="T79" s="293" t="e">
        <f ca="1">K79</f>
        <v>#VALUE!</v>
      </c>
      <c r="U79" s="301">
        <v>57500</v>
      </c>
      <c r="V79" s="118" t="e">
        <f ca="1">IF(-T79&gt;U79, 1, 0)</f>
        <v>#VALUE!</v>
      </c>
      <c r="W79" s="118"/>
      <c r="X79" s="118" t="e">
        <f ca="1">IF(SUM(X45:X68)+V79&gt;0,1,0)</f>
        <v>#VALUE!</v>
      </c>
      <c r="Y79" s="293">
        <f>SUM(Y45:Y68)</f>
        <v>0</v>
      </c>
      <c r="Z79" s="293">
        <f t="shared" ref="Z79:AA79" si="17">SUM(Z45:Z68)</f>
        <v>0</v>
      </c>
      <c r="AA79" s="293">
        <f t="shared" si="17"/>
        <v>0</v>
      </c>
    </row>
    <row r="80" spans="1:27" x14ac:dyDescent="0.25">
      <c r="C80" s="367"/>
      <c r="D80" s="6"/>
      <c r="E80" s="6"/>
      <c r="F80" s="6"/>
      <c r="G80" s="6"/>
      <c r="H80" s="6"/>
      <c r="I80" s="6"/>
      <c r="J80" s="6"/>
      <c r="K80" s="6"/>
      <c r="L80" s="6"/>
      <c r="M80" s="6"/>
      <c r="N80" s="6"/>
      <c r="O80" s="6"/>
      <c r="P80" s="6"/>
      <c r="Q80" s="6"/>
      <c r="R80" s="6"/>
      <c r="S80" s="4"/>
      <c r="Y80" s="314"/>
      <c r="Z80" s="314"/>
      <c r="AA80" s="314"/>
    </row>
    <row r="81" spans="3:27" x14ac:dyDescent="0.25">
      <c r="C81" s="367"/>
      <c r="D81" s="6"/>
      <c r="E81" s="6"/>
      <c r="F81" s="6"/>
      <c r="G81" s="6"/>
      <c r="H81" s="6"/>
      <c r="I81" s="6"/>
      <c r="J81" s="6"/>
      <c r="K81" s="6"/>
      <c r="L81" s="6"/>
      <c r="M81" s="6"/>
      <c r="N81" s="6"/>
      <c r="O81" s="6"/>
      <c r="P81" s="6"/>
      <c r="Q81" s="6"/>
      <c r="R81" s="6"/>
      <c r="S81" s="4"/>
      <c r="Y81" s="314"/>
      <c r="Z81" s="314"/>
      <c r="AA81" s="314"/>
    </row>
    <row r="82" spans="3:27" x14ac:dyDescent="0.25">
      <c r="C82" s="367"/>
      <c r="D82" s="6"/>
      <c r="E82" s="6"/>
      <c r="F82" s="6"/>
      <c r="G82" s="6"/>
      <c r="H82" s="6"/>
      <c r="I82" s="6"/>
      <c r="J82" s="6"/>
      <c r="K82" s="6"/>
      <c r="L82" s="6"/>
      <c r="M82" s="6"/>
      <c r="N82" s="6"/>
      <c r="O82" s="6"/>
      <c r="P82" s="6"/>
      <c r="Q82" s="6"/>
      <c r="R82" s="6"/>
      <c r="S82" s="4"/>
      <c r="Y82" s="314"/>
      <c r="Z82" s="314"/>
      <c r="AA82" s="314"/>
    </row>
    <row r="83" spans="3:27" x14ac:dyDescent="0.25">
      <c r="C83" s="3"/>
      <c r="D83" s="6"/>
      <c r="E83" s="6"/>
      <c r="F83" s="6"/>
      <c r="G83" s="6"/>
      <c r="H83" s="6"/>
      <c r="I83" s="6"/>
      <c r="J83" s="6"/>
      <c r="K83" s="6"/>
      <c r="L83" s="6"/>
      <c r="M83" s="6"/>
      <c r="N83" s="6"/>
      <c r="O83" s="6"/>
      <c r="P83" s="6"/>
      <c r="Q83" s="6"/>
      <c r="R83" s="6"/>
      <c r="S83" s="4"/>
      <c r="Y83" s="314"/>
      <c r="Z83" s="314"/>
      <c r="AA83" s="314"/>
    </row>
    <row r="84" spans="3:27" x14ac:dyDescent="0.25">
      <c r="C84" s="3"/>
      <c r="D84" s="6"/>
      <c r="E84" s="6"/>
      <c r="F84" s="6"/>
      <c r="G84" s="6"/>
      <c r="H84" s="6"/>
      <c r="I84" s="6"/>
      <c r="J84" s="6"/>
      <c r="K84" s="6"/>
      <c r="L84" s="6"/>
      <c r="M84" s="6"/>
      <c r="N84" s="6"/>
      <c r="O84" s="6"/>
      <c r="P84" s="6"/>
      <c r="Q84" s="6"/>
      <c r="R84" s="6"/>
      <c r="S84" s="4"/>
      <c r="Y84" s="314"/>
      <c r="Z84" s="314"/>
      <c r="AA84" s="314"/>
    </row>
    <row r="85" spans="3:27" x14ac:dyDescent="0.25">
      <c r="C85" s="3"/>
      <c r="D85" s="6"/>
      <c r="E85" s="6"/>
      <c r="F85" s="6"/>
      <c r="G85" s="6"/>
      <c r="H85" s="6"/>
      <c r="I85" s="6"/>
      <c r="J85" s="6"/>
      <c r="K85" s="6"/>
      <c r="L85" s="6"/>
      <c r="M85" s="6"/>
      <c r="N85" s="6"/>
      <c r="O85" s="6"/>
      <c r="P85" s="6"/>
      <c r="Q85" s="6"/>
      <c r="R85" s="6"/>
      <c r="S85" s="4"/>
    </row>
    <row r="86" spans="3:27" x14ac:dyDescent="0.25">
      <c r="C86" s="3"/>
      <c r="D86" s="6"/>
      <c r="E86" s="6"/>
      <c r="F86" s="6"/>
      <c r="G86" s="6"/>
      <c r="H86" s="6"/>
      <c r="I86" s="6"/>
      <c r="J86" s="6"/>
      <c r="K86" s="6"/>
      <c r="L86" s="6"/>
      <c r="M86" s="6"/>
      <c r="N86" s="6"/>
      <c r="O86" s="6"/>
      <c r="P86" s="6"/>
      <c r="Q86" s="6"/>
      <c r="R86" s="6"/>
      <c r="S86" s="4"/>
    </row>
    <row r="87" spans="3:27" x14ac:dyDescent="0.25">
      <c r="C87" s="3"/>
      <c r="D87" s="6"/>
      <c r="E87" s="6"/>
      <c r="F87" s="6"/>
      <c r="G87" s="6"/>
      <c r="H87" s="6"/>
      <c r="I87" s="6"/>
      <c r="J87" s="6"/>
      <c r="K87" s="6"/>
      <c r="L87" s="6"/>
      <c r="M87" s="6"/>
      <c r="N87" s="6"/>
      <c r="O87" s="6"/>
      <c r="P87" s="6"/>
      <c r="Q87" s="6"/>
      <c r="R87" s="6"/>
      <c r="S87" s="4"/>
    </row>
    <row r="88" spans="3:27" x14ac:dyDescent="0.25">
      <c r="C88" s="3"/>
      <c r="D88" s="6"/>
      <c r="E88" s="6"/>
      <c r="F88" s="6"/>
      <c r="G88" s="6"/>
      <c r="H88" s="6"/>
      <c r="I88" s="6"/>
      <c r="J88" s="6"/>
      <c r="K88" s="6"/>
      <c r="L88" s="6"/>
      <c r="M88" s="6"/>
      <c r="N88" s="6"/>
      <c r="O88" s="6"/>
      <c r="P88" s="6"/>
      <c r="Q88" s="6"/>
      <c r="R88" s="6"/>
      <c r="S88" s="4"/>
    </row>
    <row r="89" spans="3:27" x14ac:dyDescent="0.25">
      <c r="C89" s="3"/>
      <c r="D89" s="6"/>
      <c r="E89" s="6"/>
      <c r="F89" s="6"/>
      <c r="G89" s="6"/>
      <c r="H89" s="6"/>
      <c r="I89" s="6"/>
      <c r="J89" s="6"/>
      <c r="K89" s="6"/>
      <c r="L89" s="6"/>
      <c r="M89" s="6"/>
      <c r="N89" s="6"/>
      <c r="O89" s="6"/>
      <c r="P89" s="6"/>
      <c r="Q89" s="6"/>
      <c r="R89" s="6"/>
      <c r="S89" s="4"/>
    </row>
    <row r="90" spans="3:27" x14ac:dyDescent="0.25">
      <c r="C90" s="3"/>
      <c r="D90" s="6"/>
      <c r="E90" s="6"/>
      <c r="F90" s="6"/>
      <c r="G90" s="6"/>
      <c r="H90" s="6"/>
      <c r="I90" s="6"/>
      <c r="J90" s="6"/>
      <c r="K90" s="6"/>
      <c r="L90" s="6"/>
      <c r="M90" s="6"/>
      <c r="N90" s="6"/>
      <c r="O90" s="6"/>
      <c r="P90" s="6"/>
      <c r="Q90" s="6"/>
      <c r="R90" s="6"/>
      <c r="S90" s="4"/>
    </row>
    <row r="91" spans="3:27" x14ac:dyDescent="0.25">
      <c r="C91" s="3"/>
      <c r="D91" s="6"/>
      <c r="E91" s="6"/>
      <c r="F91" s="6"/>
      <c r="G91" s="6"/>
      <c r="H91" s="6"/>
      <c r="I91" s="6"/>
      <c r="J91" s="6"/>
      <c r="K91" s="6"/>
      <c r="L91" s="6"/>
      <c r="M91" s="6"/>
      <c r="N91" s="6"/>
      <c r="O91" s="6"/>
      <c r="P91" s="6"/>
      <c r="Q91" s="6"/>
      <c r="R91" s="6"/>
      <c r="S91" s="4"/>
    </row>
    <row r="92" spans="3:27" x14ac:dyDescent="0.25">
      <c r="C92" s="3"/>
      <c r="D92" s="6"/>
      <c r="E92" s="6"/>
      <c r="F92" s="6"/>
      <c r="G92" s="6"/>
      <c r="H92" s="6"/>
      <c r="I92" s="6"/>
      <c r="J92" s="6"/>
      <c r="K92" s="6"/>
      <c r="L92" s="6"/>
      <c r="M92" s="6"/>
      <c r="N92" s="6"/>
      <c r="O92" s="6"/>
      <c r="P92" s="6"/>
      <c r="Q92" s="6"/>
      <c r="R92" s="6"/>
      <c r="S92" s="4"/>
    </row>
    <row r="93" spans="3:27" x14ac:dyDescent="0.25">
      <c r="C93" s="3"/>
      <c r="D93" s="6"/>
      <c r="E93" s="6"/>
      <c r="F93" s="6"/>
      <c r="G93" s="6"/>
      <c r="H93" s="6"/>
      <c r="I93" s="6"/>
      <c r="J93" s="6"/>
      <c r="K93" s="6"/>
      <c r="L93" s="6"/>
      <c r="M93" s="6"/>
      <c r="N93" s="6"/>
      <c r="O93" s="6"/>
      <c r="P93" s="6"/>
      <c r="Q93" s="6"/>
      <c r="R93" s="6"/>
      <c r="S93" s="4"/>
    </row>
    <row r="94" spans="3:27" x14ac:dyDescent="0.25">
      <c r="C94" s="3"/>
      <c r="D94" s="6"/>
      <c r="E94" s="6"/>
      <c r="F94" s="6"/>
      <c r="G94" s="6"/>
      <c r="H94" s="6"/>
      <c r="I94" s="6"/>
      <c r="J94" s="6"/>
      <c r="K94" s="6"/>
      <c r="L94" s="6"/>
      <c r="M94" s="6"/>
      <c r="N94" s="6"/>
      <c r="O94" s="6"/>
      <c r="P94" s="6"/>
      <c r="Q94" s="6"/>
      <c r="R94" s="6"/>
      <c r="S94" s="4"/>
    </row>
    <row r="95" spans="3:27" x14ac:dyDescent="0.25">
      <c r="C95" s="3"/>
      <c r="D95" s="6"/>
      <c r="E95" s="6"/>
      <c r="F95" s="6"/>
      <c r="G95" s="6"/>
      <c r="H95" s="6"/>
      <c r="I95" s="6"/>
      <c r="J95" s="6"/>
      <c r="K95" s="6"/>
      <c r="L95" s="6"/>
      <c r="M95" s="6"/>
      <c r="N95" s="6"/>
      <c r="O95" s="6"/>
      <c r="P95" s="6"/>
      <c r="Q95" s="6"/>
      <c r="R95" s="6"/>
      <c r="S95" s="4"/>
    </row>
    <row r="96" spans="3:27" x14ac:dyDescent="0.25">
      <c r="C96" s="3"/>
      <c r="D96" s="6"/>
      <c r="E96" s="6"/>
      <c r="F96" s="6"/>
      <c r="G96" s="6"/>
      <c r="H96" s="6"/>
      <c r="I96" s="6"/>
      <c r="J96" s="6"/>
      <c r="K96" s="6"/>
      <c r="L96" s="6"/>
      <c r="M96" s="6"/>
      <c r="N96" s="6"/>
      <c r="O96" s="6"/>
      <c r="P96" s="6"/>
      <c r="Q96" s="6"/>
      <c r="R96" s="6"/>
      <c r="S96" s="4"/>
    </row>
    <row r="97" spans="3:19" x14ac:dyDescent="0.25">
      <c r="C97" s="3"/>
      <c r="D97" s="6"/>
      <c r="E97" s="6"/>
      <c r="F97" s="6"/>
      <c r="G97" s="6"/>
      <c r="H97" s="6"/>
      <c r="I97" s="6"/>
      <c r="J97" s="6"/>
      <c r="K97" s="6"/>
      <c r="L97" s="6"/>
      <c r="M97" s="6"/>
      <c r="N97" s="6"/>
      <c r="O97" s="6"/>
      <c r="P97" s="6"/>
      <c r="Q97" s="6"/>
      <c r="R97" s="6"/>
      <c r="S97" s="4"/>
    </row>
    <row r="98" spans="3:19" x14ac:dyDescent="0.25">
      <c r="C98" s="3"/>
      <c r="D98" s="6"/>
      <c r="E98" s="6"/>
      <c r="F98" s="6"/>
      <c r="G98" s="6"/>
      <c r="H98" s="6"/>
      <c r="I98" s="6"/>
      <c r="J98" s="6"/>
      <c r="K98" s="6"/>
      <c r="L98" s="6"/>
      <c r="M98" s="6"/>
      <c r="N98" s="6"/>
      <c r="O98" s="6"/>
      <c r="P98" s="6"/>
      <c r="Q98" s="6"/>
      <c r="R98" s="6"/>
      <c r="S98" s="4"/>
    </row>
    <row r="99" spans="3:19" x14ac:dyDescent="0.25">
      <c r="C99" s="3"/>
      <c r="D99" s="6"/>
      <c r="E99" s="6"/>
      <c r="F99" s="6"/>
      <c r="G99" s="6"/>
      <c r="H99" s="6"/>
      <c r="I99" s="6"/>
      <c r="J99" s="6"/>
      <c r="K99" s="6"/>
      <c r="L99" s="6"/>
      <c r="M99" s="6"/>
      <c r="N99" s="6"/>
      <c r="O99" s="6"/>
      <c r="P99" s="6"/>
      <c r="Q99" s="6"/>
      <c r="R99" s="6"/>
      <c r="S99" s="4"/>
    </row>
    <row r="100" spans="3:19" x14ac:dyDescent="0.25">
      <c r="C100" s="3"/>
      <c r="D100" s="6"/>
      <c r="E100" s="6"/>
      <c r="F100" s="6"/>
      <c r="G100" s="6"/>
      <c r="H100" s="6"/>
      <c r="I100" s="6"/>
      <c r="J100" s="6"/>
      <c r="K100" s="6"/>
      <c r="L100" s="6"/>
      <c r="M100" s="6"/>
      <c r="N100" s="6"/>
      <c r="O100" s="6"/>
      <c r="P100" s="6"/>
      <c r="Q100" s="6"/>
      <c r="R100" s="6"/>
      <c r="S100" s="4"/>
    </row>
    <row r="101" spans="3:19" x14ac:dyDescent="0.25">
      <c r="C101" s="3"/>
      <c r="D101" s="6"/>
      <c r="E101" s="6"/>
      <c r="F101" s="6"/>
      <c r="G101" s="6"/>
      <c r="H101" s="6"/>
      <c r="I101" s="6"/>
      <c r="J101" s="6"/>
      <c r="K101" s="6"/>
      <c r="L101" s="6"/>
      <c r="M101" s="6"/>
      <c r="N101" s="6"/>
      <c r="O101" s="6"/>
      <c r="P101" s="6"/>
      <c r="Q101" s="6"/>
      <c r="R101" s="6"/>
      <c r="S101" s="4"/>
    </row>
    <row r="102" spans="3:19" x14ac:dyDescent="0.25">
      <c r="C102" s="3"/>
      <c r="D102" s="6"/>
      <c r="E102" s="6"/>
      <c r="F102" s="6"/>
      <c r="G102" s="6"/>
      <c r="H102" s="6"/>
      <c r="I102" s="6"/>
      <c r="J102" s="6"/>
      <c r="K102" s="6"/>
      <c r="L102" s="6"/>
      <c r="M102" s="6"/>
      <c r="N102" s="6"/>
      <c r="O102" s="6"/>
      <c r="P102" s="6"/>
      <c r="Q102" s="6"/>
      <c r="R102" s="6"/>
      <c r="S102" s="4"/>
    </row>
    <row r="103" spans="3:19" x14ac:dyDescent="0.25">
      <c r="C103" s="3"/>
      <c r="D103" s="6"/>
      <c r="E103" s="6"/>
      <c r="F103" s="6"/>
      <c r="G103" s="6"/>
      <c r="H103" s="6"/>
      <c r="I103" s="6"/>
      <c r="J103" s="6"/>
      <c r="K103" s="6"/>
      <c r="L103" s="6"/>
      <c r="M103" s="6"/>
      <c r="N103" s="6"/>
      <c r="O103" s="6"/>
      <c r="P103" s="6"/>
      <c r="Q103" s="6"/>
      <c r="R103" s="6"/>
      <c r="S103" s="4"/>
    </row>
    <row r="104" spans="3:19" x14ac:dyDescent="0.25">
      <c r="C104" s="3"/>
      <c r="D104" s="6"/>
      <c r="E104" s="6"/>
      <c r="F104" s="6"/>
      <c r="G104" s="6"/>
      <c r="H104" s="6"/>
      <c r="I104" s="6"/>
      <c r="J104" s="6"/>
      <c r="K104" s="6"/>
      <c r="L104" s="6"/>
      <c r="M104" s="6"/>
      <c r="N104" s="6"/>
      <c r="O104" s="6"/>
      <c r="P104" s="6"/>
      <c r="Q104" s="6"/>
      <c r="R104" s="6"/>
      <c r="S104" s="4"/>
    </row>
    <row r="105" spans="3:19" x14ac:dyDescent="0.25">
      <c r="C105" s="3"/>
      <c r="D105" s="6"/>
      <c r="E105" s="6"/>
      <c r="F105" s="6"/>
      <c r="G105" s="6"/>
      <c r="H105" s="6"/>
      <c r="I105" s="6"/>
      <c r="J105" s="6"/>
      <c r="K105" s="6"/>
      <c r="L105" s="6"/>
      <c r="M105" s="6"/>
      <c r="N105" s="6"/>
      <c r="O105" s="6"/>
      <c r="P105" s="6"/>
      <c r="Q105" s="6"/>
      <c r="R105" s="6"/>
      <c r="S105" s="4"/>
    </row>
    <row r="106" spans="3:19" x14ac:dyDescent="0.25">
      <c r="C106" s="3"/>
      <c r="D106" s="6"/>
      <c r="E106" s="6"/>
      <c r="F106" s="6"/>
      <c r="G106" s="6"/>
      <c r="H106" s="6"/>
      <c r="I106" s="6"/>
      <c r="J106" s="6"/>
      <c r="K106" s="6"/>
      <c r="L106" s="6"/>
      <c r="M106" s="6"/>
      <c r="N106" s="6"/>
      <c r="O106" s="6"/>
      <c r="P106" s="6"/>
      <c r="Q106" s="6"/>
      <c r="R106" s="6"/>
      <c r="S106" s="4"/>
    </row>
    <row r="107" spans="3:19" x14ac:dyDescent="0.25">
      <c r="C107" s="3"/>
      <c r="D107" s="6"/>
      <c r="E107" s="6"/>
      <c r="F107" s="6"/>
      <c r="G107" s="6"/>
      <c r="H107" s="6"/>
      <c r="I107" s="6"/>
      <c r="J107" s="6"/>
      <c r="K107" s="6"/>
      <c r="L107" s="6"/>
      <c r="M107" s="6"/>
      <c r="N107" s="6"/>
      <c r="O107" s="6"/>
      <c r="P107" s="6"/>
      <c r="Q107" s="6"/>
      <c r="R107" s="6"/>
      <c r="S107" s="4"/>
    </row>
    <row r="108" spans="3:19" x14ac:dyDescent="0.25">
      <c r="C108" s="3"/>
      <c r="D108" s="6"/>
      <c r="E108" s="6"/>
      <c r="F108" s="6"/>
      <c r="G108" s="6"/>
      <c r="H108" s="6"/>
      <c r="I108" s="6"/>
      <c r="J108" s="6"/>
      <c r="K108" s="6"/>
      <c r="L108" s="6"/>
      <c r="M108" s="6"/>
      <c r="N108" s="6"/>
      <c r="O108" s="6"/>
      <c r="P108" s="6"/>
      <c r="Q108" s="6"/>
      <c r="R108" s="6"/>
      <c r="S108" s="4"/>
    </row>
    <row r="109" spans="3:19" x14ac:dyDescent="0.25">
      <c r="C109" s="3"/>
      <c r="D109" s="6"/>
      <c r="E109" s="6"/>
      <c r="F109" s="6"/>
      <c r="G109" s="6"/>
      <c r="H109" s="6"/>
      <c r="I109" s="6"/>
      <c r="J109" s="6"/>
      <c r="K109" s="6"/>
      <c r="L109" s="6"/>
      <c r="M109" s="6"/>
      <c r="N109" s="6"/>
      <c r="O109" s="6"/>
      <c r="P109" s="6"/>
      <c r="Q109" s="6"/>
      <c r="R109" s="6"/>
      <c r="S109" s="4"/>
    </row>
    <row r="110" spans="3:19" x14ac:dyDescent="0.25">
      <c r="C110" s="3"/>
      <c r="D110" s="6"/>
      <c r="E110" s="6"/>
      <c r="F110" s="6"/>
      <c r="G110" s="6"/>
      <c r="H110" s="6"/>
      <c r="I110" s="6"/>
      <c r="J110" s="6"/>
      <c r="K110" s="6"/>
      <c r="L110" s="6"/>
      <c r="M110" s="6"/>
      <c r="N110" s="6"/>
      <c r="O110" s="6"/>
      <c r="P110" s="6"/>
      <c r="Q110" s="6"/>
      <c r="R110" s="6"/>
      <c r="S110" s="4"/>
    </row>
    <row r="111" spans="3:19" x14ac:dyDescent="0.25">
      <c r="C111" s="3"/>
      <c r="D111" s="6"/>
      <c r="E111" s="6"/>
      <c r="F111" s="6"/>
      <c r="G111" s="6"/>
      <c r="H111" s="6"/>
      <c r="I111" s="6"/>
      <c r="J111" s="6"/>
      <c r="K111" s="6"/>
      <c r="L111" s="6"/>
      <c r="M111" s="6"/>
      <c r="N111" s="6"/>
      <c r="O111" s="6"/>
      <c r="P111" s="6"/>
      <c r="Q111" s="6"/>
      <c r="R111" s="6"/>
      <c r="S111" s="4"/>
    </row>
    <row r="112" spans="3:19" x14ac:dyDescent="0.25">
      <c r="C112" s="3"/>
      <c r="D112" s="6"/>
      <c r="E112" s="6"/>
      <c r="F112" s="6"/>
      <c r="G112" s="6"/>
      <c r="H112" s="6"/>
      <c r="I112" s="6"/>
      <c r="J112" s="6"/>
      <c r="K112" s="6"/>
      <c r="L112" s="6"/>
      <c r="M112" s="6"/>
      <c r="N112" s="6"/>
      <c r="O112" s="6"/>
      <c r="P112" s="6"/>
      <c r="Q112" s="6"/>
      <c r="R112" s="6"/>
      <c r="S112" s="4"/>
    </row>
    <row r="113" spans="3:19" x14ac:dyDescent="0.25">
      <c r="C113" s="3"/>
      <c r="D113" s="6"/>
      <c r="E113" s="6"/>
      <c r="F113" s="6"/>
      <c r="G113" s="6"/>
      <c r="H113" s="6"/>
      <c r="I113" s="6"/>
      <c r="J113" s="6"/>
      <c r="K113" s="6"/>
      <c r="L113" s="6"/>
      <c r="M113" s="6"/>
      <c r="N113" s="6"/>
      <c r="O113" s="6"/>
      <c r="P113" s="6"/>
      <c r="Q113" s="6"/>
      <c r="R113" s="6"/>
      <c r="S113" s="4"/>
    </row>
    <row r="114" spans="3:19" x14ac:dyDescent="0.25">
      <c r="C114" s="3"/>
      <c r="D114" s="6"/>
      <c r="E114" s="6"/>
      <c r="F114" s="6"/>
      <c r="G114" s="6"/>
      <c r="H114" s="6"/>
      <c r="I114" s="6"/>
      <c r="J114" s="6"/>
      <c r="K114" s="6"/>
      <c r="L114" s="6"/>
      <c r="M114" s="6"/>
      <c r="N114" s="6"/>
      <c r="O114" s="6"/>
      <c r="P114" s="6"/>
      <c r="Q114" s="6"/>
      <c r="R114" s="6"/>
      <c r="S114" s="4"/>
    </row>
    <row r="115" spans="3:19" x14ac:dyDescent="0.25">
      <c r="C115" s="3"/>
      <c r="D115" s="6"/>
      <c r="E115" s="6"/>
      <c r="F115" s="6"/>
      <c r="G115" s="6"/>
      <c r="H115" s="6"/>
      <c r="I115" s="6"/>
      <c r="J115" s="6"/>
      <c r="K115" s="6"/>
      <c r="L115" s="6"/>
      <c r="M115" s="6"/>
      <c r="N115" s="6"/>
      <c r="O115" s="6"/>
      <c r="P115" s="6"/>
      <c r="Q115" s="6"/>
      <c r="R115" s="6"/>
      <c r="S115" s="4"/>
    </row>
    <row r="116" spans="3:19" x14ac:dyDescent="0.25">
      <c r="C116" s="3"/>
      <c r="D116" s="6"/>
      <c r="E116" s="6"/>
      <c r="F116" s="6"/>
      <c r="G116" s="6"/>
      <c r="H116" s="6"/>
      <c r="I116" s="6"/>
      <c r="J116" s="6"/>
      <c r="K116" s="6"/>
      <c r="L116" s="6"/>
      <c r="M116" s="6"/>
      <c r="N116" s="6"/>
      <c r="O116" s="6"/>
      <c r="P116" s="6"/>
      <c r="Q116" s="6"/>
      <c r="R116" s="6"/>
      <c r="S116" s="4"/>
    </row>
    <row r="117" spans="3:19" x14ac:dyDescent="0.25">
      <c r="C117" s="3"/>
      <c r="D117" s="6"/>
      <c r="E117" s="6"/>
      <c r="F117" s="6"/>
      <c r="G117" s="6"/>
      <c r="H117" s="6"/>
      <c r="I117" s="6"/>
      <c r="J117" s="6"/>
      <c r="K117" s="6"/>
      <c r="L117" s="6"/>
      <c r="M117" s="6"/>
      <c r="N117" s="6"/>
      <c r="O117" s="6"/>
      <c r="P117" s="6"/>
      <c r="Q117" s="6"/>
      <c r="R117" s="6"/>
      <c r="S117" s="4"/>
    </row>
    <row r="118" spans="3:19" x14ac:dyDescent="0.25">
      <c r="C118" s="3"/>
      <c r="D118" s="6"/>
      <c r="E118" s="6"/>
      <c r="F118" s="6"/>
      <c r="G118" s="6"/>
      <c r="H118" s="6"/>
      <c r="I118" s="6"/>
      <c r="J118" s="6"/>
      <c r="K118" s="6"/>
      <c r="L118" s="6"/>
      <c r="M118" s="6"/>
      <c r="N118" s="6"/>
      <c r="O118" s="6"/>
      <c r="P118" s="6"/>
      <c r="Q118" s="6"/>
      <c r="R118" s="6"/>
      <c r="S118" s="4"/>
    </row>
    <row r="119" spans="3:19" x14ac:dyDescent="0.25">
      <c r="C119" s="3"/>
      <c r="D119" s="6"/>
      <c r="E119" s="6"/>
      <c r="F119" s="6"/>
      <c r="G119" s="6"/>
      <c r="H119" s="6"/>
      <c r="I119" s="6"/>
      <c r="J119" s="6"/>
      <c r="K119" s="6"/>
      <c r="L119" s="6"/>
      <c r="M119" s="6"/>
      <c r="N119" s="6"/>
      <c r="O119" s="6"/>
      <c r="P119" s="6"/>
      <c r="Q119" s="6"/>
      <c r="R119" s="6"/>
      <c r="S119" s="4"/>
    </row>
    <row r="120" spans="3:19" x14ac:dyDescent="0.25">
      <c r="C120" s="3"/>
      <c r="D120" s="6"/>
      <c r="E120" s="6"/>
      <c r="F120" s="6"/>
      <c r="G120" s="6"/>
      <c r="H120" s="6"/>
      <c r="I120" s="6"/>
      <c r="J120" s="6"/>
      <c r="K120" s="6"/>
      <c r="L120" s="6"/>
      <c r="M120" s="6"/>
      <c r="N120" s="6"/>
      <c r="O120" s="6"/>
      <c r="P120" s="6"/>
      <c r="Q120" s="6"/>
      <c r="R120" s="6"/>
      <c r="S120" s="4"/>
    </row>
    <row r="121" spans="3:19" x14ac:dyDescent="0.25">
      <c r="C121" s="3"/>
      <c r="D121" s="6"/>
      <c r="E121" s="6"/>
      <c r="F121" s="6"/>
      <c r="G121" s="6"/>
      <c r="H121" s="6"/>
      <c r="I121" s="6"/>
      <c r="J121" s="6"/>
      <c r="K121" s="6"/>
      <c r="L121" s="6"/>
      <c r="M121" s="6"/>
      <c r="N121" s="6"/>
      <c r="O121" s="6"/>
      <c r="P121" s="6"/>
      <c r="Q121" s="6"/>
      <c r="R121" s="6"/>
      <c r="S121" s="4"/>
    </row>
    <row r="122" spans="3:19" x14ac:dyDescent="0.25">
      <c r="C122" s="3"/>
      <c r="D122" s="6"/>
      <c r="E122" s="6"/>
      <c r="F122" s="6"/>
      <c r="G122" s="6"/>
      <c r="H122" s="6"/>
      <c r="I122" s="6"/>
      <c r="J122" s="6"/>
      <c r="K122" s="6"/>
      <c r="L122" s="6"/>
      <c r="M122" s="6"/>
      <c r="N122" s="6"/>
      <c r="O122" s="6"/>
      <c r="P122" s="6"/>
      <c r="Q122" s="6"/>
      <c r="R122" s="6"/>
      <c r="S122" s="4"/>
    </row>
    <row r="123" spans="3:19" x14ac:dyDescent="0.25">
      <c r="C123" s="3"/>
      <c r="D123" s="6"/>
      <c r="E123" s="6"/>
      <c r="F123" s="6"/>
      <c r="G123" s="6"/>
      <c r="H123" s="6"/>
      <c r="I123" s="6"/>
      <c r="J123" s="6"/>
      <c r="K123" s="6"/>
      <c r="L123" s="6"/>
      <c r="M123" s="6"/>
      <c r="N123" s="6"/>
      <c r="O123" s="6"/>
      <c r="P123" s="6"/>
      <c r="Q123" s="6"/>
      <c r="R123" s="6"/>
      <c r="S123" s="4"/>
    </row>
    <row r="124" spans="3:19" x14ac:dyDescent="0.25">
      <c r="C124" s="3"/>
      <c r="D124" s="6"/>
      <c r="E124" s="6"/>
      <c r="F124" s="6"/>
      <c r="G124" s="6"/>
      <c r="H124" s="6"/>
      <c r="I124" s="6"/>
      <c r="J124" s="6"/>
      <c r="K124" s="6"/>
      <c r="L124" s="6"/>
      <c r="M124" s="6"/>
      <c r="N124" s="6"/>
      <c r="O124" s="6"/>
      <c r="P124" s="6"/>
      <c r="Q124" s="6"/>
      <c r="R124" s="6"/>
      <c r="S124" s="4"/>
    </row>
    <row r="125" spans="3:19" x14ac:dyDescent="0.25">
      <c r="C125" s="3"/>
      <c r="D125" s="6"/>
      <c r="E125" s="6"/>
      <c r="F125" s="6"/>
      <c r="G125" s="6"/>
      <c r="H125" s="6"/>
      <c r="I125" s="6"/>
      <c r="J125" s="6"/>
      <c r="K125" s="6"/>
      <c r="L125" s="6"/>
      <c r="M125" s="6"/>
      <c r="N125" s="6"/>
      <c r="O125" s="6"/>
      <c r="P125" s="6"/>
      <c r="Q125" s="6"/>
      <c r="R125" s="6"/>
      <c r="S125" s="4"/>
    </row>
    <row r="126" spans="3:19" x14ac:dyDescent="0.25">
      <c r="C126" s="3"/>
      <c r="D126" s="6"/>
      <c r="E126" s="6"/>
      <c r="F126" s="6"/>
      <c r="G126" s="6"/>
      <c r="H126" s="6"/>
      <c r="I126" s="6"/>
      <c r="J126" s="6"/>
      <c r="K126" s="6"/>
      <c r="L126" s="6"/>
      <c r="M126" s="6"/>
      <c r="N126" s="6"/>
      <c r="O126" s="6"/>
      <c r="P126" s="6"/>
      <c r="Q126" s="6"/>
      <c r="R126" s="6"/>
      <c r="S126" s="4"/>
    </row>
    <row r="127" spans="3:19" x14ac:dyDescent="0.25">
      <c r="C127" s="3"/>
      <c r="D127" s="6"/>
      <c r="E127" s="6"/>
      <c r="F127" s="6"/>
      <c r="G127" s="6"/>
      <c r="H127" s="6"/>
      <c r="I127" s="6"/>
      <c r="J127" s="6"/>
      <c r="K127" s="6"/>
      <c r="L127" s="6"/>
      <c r="M127" s="6"/>
      <c r="N127" s="6"/>
      <c r="O127" s="6"/>
      <c r="P127" s="6"/>
      <c r="Q127" s="6"/>
      <c r="R127" s="6"/>
      <c r="S127" s="4"/>
    </row>
    <row r="128" spans="3:19" x14ac:dyDescent="0.25">
      <c r="C128" s="3"/>
      <c r="D128" s="6"/>
      <c r="E128" s="6"/>
      <c r="F128" s="6"/>
      <c r="G128" s="6"/>
      <c r="H128" s="6"/>
      <c r="I128" s="6"/>
      <c r="J128" s="6"/>
      <c r="K128" s="6"/>
      <c r="L128" s="6"/>
      <c r="M128" s="6"/>
      <c r="N128" s="6"/>
      <c r="O128" s="6"/>
      <c r="P128" s="6"/>
      <c r="Q128" s="6"/>
      <c r="R128" s="6"/>
      <c r="S128" s="4"/>
    </row>
    <row r="129" spans="3:19" x14ac:dyDescent="0.25">
      <c r="C129" s="3"/>
      <c r="D129" s="6"/>
      <c r="E129" s="6"/>
      <c r="F129" s="6"/>
      <c r="G129" s="6"/>
      <c r="H129" s="6"/>
      <c r="I129" s="6"/>
      <c r="J129" s="6"/>
      <c r="K129" s="6"/>
      <c r="L129" s="6"/>
      <c r="M129" s="6"/>
      <c r="N129" s="6"/>
      <c r="O129" s="6"/>
      <c r="P129" s="6"/>
      <c r="Q129" s="6"/>
      <c r="R129" s="6"/>
      <c r="S129" s="4"/>
    </row>
    <row r="130" spans="3:19" x14ac:dyDescent="0.25">
      <c r="C130" s="3"/>
      <c r="D130" s="6"/>
      <c r="E130" s="6"/>
      <c r="F130" s="6"/>
      <c r="G130" s="6"/>
      <c r="H130" s="6"/>
      <c r="I130" s="6"/>
      <c r="J130" s="6"/>
      <c r="K130" s="6"/>
      <c r="L130" s="6"/>
      <c r="M130" s="6"/>
      <c r="N130" s="6"/>
      <c r="O130" s="6"/>
      <c r="P130" s="6"/>
      <c r="Q130" s="6"/>
      <c r="R130" s="6"/>
      <c r="S130" s="4"/>
    </row>
    <row r="131" spans="3:19" x14ac:dyDescent="0.25">
      <c r="C131" s="3"/>
      <c r="D131" s="6"/>
      <c r="E131" s="6"/>
      <c r="F131" s="6"/>
      <c r="G131" s="6"/>
      <c r="H131" s="6"/>
      <c r="I131" s="6"/>
      <c r="J131" s="6"/>
      <c r="K131" s="6"/>
      <c r="L131" s="6"/>
      <c r="M131" s="6"/>
      <c r="N131" s="6"/>
      <c r="O131" s="6"/>
      <c r="P131" s="6"/>
      <c r="Q131" s="6"/>
      <c r="R131" s="6"/>
      <c r="S131" s="4"/>
    </row>
    <row r="132" spans="3:19" x14ac:dyDescent="0.25">
      <c r="C132" s="3"/>
      <c r="D132" s="6"/>
      <c r="E132" s="6"/>
      <c r="F132" s="6"/>
      <c r="G132" s="6"/>
      <c r="H132" s="6"/>
      <c r="I132" s="6"/>
      <c r="J132" s="6"/>
      <c r="K132" s="6"/>
      <c r="L132" s="6"/>
      <c r="M132" s="6"/>
      <c r="N132" s="6"/>
      <c r="O132" s="6"/>
      <c r="P132" s="6"/>
      <c r="Q132" s="6"/>
      <c r="R132" s="6"/>
      <c r="S132" s="4"/>
    </row>
    <row r="133" spans="3:19" x14ac:dyDescent="0.25">
      <c r="C133" s="3"/>
      <c r="D133" s="6"/>
      <c r="E133" s="6"/>
      <c r="F133" s="6"/>
      <c r="G133" s="6"/>
      <c r="H133" s="6"/>
      <c r="I133" s="6"/>
      <c r="J133" s="6"/>
      <c r="K133" s="6"/>
      <c r="L133" s="6"/>
      <c r="M133" s="6"/>
      <c r="N133" s="6"/>
      <c r="O133" s="6"/>
      <c r="P133" s="6"/>
      <c r="Q133" s="6"/>
      <c r="R133" s="6"/>
      <c r="S133" s="4"/>
    </row>
    <row r="134" spans="3:19" x14ac:dyDescent="0.25">
      <c r="C134" s="3"/>
      <c r="D134" s="6"/>
      <c r="E134" s="6"/>
      <c r="F134" s="6"/>
      <c r="G134" s="6"/>
      <c r="H134" s="6"/>
      <c r="I134" s="6"/>
      <c r="J134" s="6"/>
      <c r="K134" s="6"/>
      <c r="L134" s="6"/>
      <c r="M134" s="6"/>
      <c r="N134" s="6"/>
      <c r="O134" s="6"/>
      <c r="P134" s="6"/>
      <c r="Q134" s="6"/>
      <c r="R134" s="6"/>
      <c r="S134" s="4"/>
    </row>
    <row r="135" spans="3:19" x14ac:dyDescent="0.25">
      <c r="C135" s="3"/>
      <c r="D135" s="6"/>
      <c r="E135" s="6"/>
      <c r="F135" s="6"/>
      <c r="G135" s="6"/>
      <c r="H135" s="6"/>
      <c r="I135" s="6"/>
      <c r="J135" s="6"/>
      <c r="K135" s="6"/>
      <c r="L135" s="6"/>
      <c r="M135" s="6"/>
      <c r="N135" s="6"/>
      <c r="O135" s="6"/>
      <c r="P135" s="6"/>
      <c r="Q135" s="6"/>
      <c r="R135" s="6"/>
      <c r="S135" s="4"/>
    </row>
    <row r="136" spans="3:19" x14ac:dyDescent="0.25">
      <c r="C136" s="3"/>
      <c r="D136" s="6"/>
      <c r="E136" s="6"/>
      <c r="F136" s="6"/>
      <c r="G136" s="6"/>
      <c r="H136" s="6"/>
      <c r="I136" s="6"/>
      <c r="J136" s="6"/>
      <c r="K136" s="6"/>
      <c r="L136" s="6"/>
      <c r="M136" s="6"/>
      <c r="N136" s="6"/>
      <c r="O136" s="6"/>
      <c r="P136" s="6"/>
      <c r="Q136" s="6"/>
      <c r="R136" s="6"/>
      <c r="S136" s="4"/>
    </row>
    <row r="137" spans="3:19" x14ac:dyDescent="0.25">
      <c r="C137" s="3"/>
      <c r="D137" s="6"/>
      <c r="E137" s="6"/>
      <c r="F137" s="6"/>
      <c r="G137" s="6"/>
      <c r="H137" s="6"/>
      <c r="I137" s="6"/>
      <c r="J137" s="6"/>
      <c r="K137" s="6"/>
      <c r="L137" s="6"/>
      <c r="M137" s="6"/>
      <c r="N137" s="6"/>
      <c r="O137" s="6"/>
      <c r="P137" s="6"/>
      <c r="Q137" s="6"/>
      <c r="R137" s="6"/>
      <c r="S137" s="4"/>
    </row>
    <row r="138" spans="3:19" x14ac:dyDescent="0.25">
      <c r="C138" s="3"/>
      <c r="D138" s="6"/>
      <c r="E138" s="6"/>
      <c r="F138" s="6"/>
      <c r="G138" s="6"/>
      <c r="H138" s="6"/>
      <c r="I138" s="6"/>
      <c r="J138" s="6"/>
      <c r="K138" s="6"/>
      <c r="L138" s="6"/>
      <c r="M138" s="6"/>
      <c r="N138" s="6"/>
      <c r="O138" s="6"/>
      <c r="P138" s="6"/>
      <c r="Q138" s="6"/>
      <c r="R138" s="6"/>
      <c r="S138" s="4"/>
    </row>
    <row r="139" spans="3:19" x14ac:dyDescent="0.25">
      <c r="C139" s="3"/>
      <c r="D139" s="6"/>
      <c r="E139" s="6"/>
      <c r="F139" s="6"/>
      <c r="G139" s="6"/>
      <c r="H139" s="6"/>
      <c r="I139" s="6"/>
      <c r="J139" s="6"/>
      <c r="K139" s="6"/>
      <c r="L139" s="6"/>
      <c r="M139" s="6"/>
      <c r="N139" s="6"/>
      <c r="O139" s="6"/>
      <c r="P139" s="6"/>
      <c r="Q139" s="6"/>
      <c r="R139" s="6"/>
      <c r="S139" s="4"/>
    </row>
    <row r="140" spans="3:19" x14ac:dyDescent="0.25">
      <c r="C140" s="3"/>
      <c r="D140" s="6"/>
      <c r="E140" s="6"/>
      <c r="F140" s="6"/>
      <c r="G140" s="6"/>
      <c r="H140" s="6"/>
      <c r="I140" s="6"/>
      <c r="J140" s="6"/>
      <c r="K140" s="6"/>
      <c r="L140" s="6"/>
      <c r="M140" s="6"/>
      <c r="N140" s="6"/>
      <c r="O140" s="6"/>
      <c r="P140" s="6"/>
      <c r="Q140" s="6"/>
      <c r="R140" s="6"/>
      <c r="S140" s="4"/>
    </row>
    <row r="141" spans="3:19" x14ac:dyDescent="0.25">
      <c r="C141" s="3"/>
      <c r="D141" s="6"/>
      <c r="E141" s="6"/>
      <c r="F141" s="6"/>
      <c r="G141" s="6"/>
      <c r="H141" s="6"/>
      <c r="I141" s="6"/>
      <c r="J141" s="6"/>
      <c r="K141" s="6"/>
      <c r="L141" s="6"/>
      <c r="M141" s="6"/>
      <c r="N141" s="6"/>
      <c r="O141" s="6"/>
      <c r="P141" s="6"/>
      <c r="Q141" s="6"/>
      <c r="R141" s="6"/>
      <c r="S141" s="4"/>
    </row>
    <row r="142" spans="3:19" x14ac:dyDescent="0.25">
      <c r="C142" s="3"/>
      <c r="D142" s="6"/>
      <c r="E142" s="6"/>
      <c r="F142" s="6"/>
      <c r="G142" s="6"/>
      <c r="H142" s="6"/>
      <c r="I142" s="6"/>
      <c r="J142" s="6"/>
      <c r="K142" s="6"/>
      <c r="L142" s="6"/>
      <c r="M142" s="6"/>
      <c r="N142" s="6"/>
      <c r="O142" s="6"/>
      <c r="P142" s="6"/>
      <c r="Q142" s="6"/>
      <c r="R142" s="6"/>
      <c r="S142" s="4"/>
    </row>
    <row r="143" spans="3:19" x14ac:dyDescent="0.25">
      <c r="C143" s="3"/>
      <c r="D143" s="6"/>
      <c r="E143" s="6"/>
      <c r="F143" s="6"/>
      <c r="G143" s="6"/>
      <c r="H143" s="6"/>
      <c r="I143" s="6"/>
      <c r="J143" s="6"/>
      <c r="K143" s="6"/>
      <c r="L143" s="6"/>
      <c r="M143" s="6"/>
      <c r="N143" s="6"/>
      <c r="O143" s="6"/>
      <c r="P143" s="6"/>
      <c r="Q143" s="6"/>
      <c r="R143" s="6"/>
      <c r="S143" s="4"/>
    </row>
    <row r="144" spans="3:19" x14ac:dyDescent="0.25">
      <c r="C144" s="3"/>
      <c r="D144" s="6"/>
      <c r="E144" s="6"/>
      <c r="F144" s="6"/>
      <c r="G144" s="6"/>
      <c r="H144" s="6"/>
      <c r="I144" s="6"/>
      <c r="J144" s="6"/>
      <c r="K144" s="6"/>
      <c r="L144" s="6"/>
      <c r="M144" s="6"/>
      <c r="N144" s="6"/>
      <c r="O144" s="6"/>
      <c r="P144" s="6"/>
      <c r="Q144" s="6"/>
      <c r="R144" s="6"/>
      <c r="S144" s="4"/>
    </row>
    <row r="145" spans="3:19" x14ac:dyDescent="0.25">
      <c r="C145" s="3"/>
      <c r="D145" s="6"/>
      <c r="E145" s="6"/>
      <c r="F145" s="6"/>
      <c r="G145" s="6"/>
      <c r="H145" s="6"/>
      <c r="I145" s="6"/>
      <c r="J145" s="6"/>
      <c r="K145" s="6"/>
      <c r="L145" s="6"/>
      <c r="M145" s="6"/>
      <c r="N145" s="6"/>
      <c r="O145" s="6"/>
      <c r="P145" s="6"/>
      <c r="Q145" s="6"/>
      <c r="R145" s="6"/>
      <c r="S145" s="4"/>
    </row>
    <row r="146" spans="3:19" x14ac:dyDescent="0.25">
      <c r="C146" s="3"/>
      <c r="D146" s="6"/>
      <c r="E146" s="6"/>
      <c r="F146" s="6"/>
      <c r="G146" s="6"/>
      <c r="H146" s="6"/>
      <c r="I146" s="6"/>
      <c r="J146" s="6"/>
      <c r="K146" s="6"/>
      <c r="L146" s="6"/>
      <c r="M146" s="6"/>
      <c r="N146" s="6"/>
      <c r="O146" s="6"/>
      <c r="P146" s="6"/>
      <c r="Q146" s="6"/>
      <c r="R146" s="6"/>
      <c r="S146" s="4"/>
    </row>
    <row r="147" spans="3:19" x14ac:dyDescent="0.25">
      <c r="C147" s="3"/>
      <c r="D147" s="6"/>
      <c r="E147" s="6"/>
      <c r="F147" s="6"/>
      <c r="G147" s="6"/>
      <c r="H147" s="6"/>
      <c r="I147" s="6"/>
      <c r="J147" s="6"/>
      <c r="K147" s="6"/>
      <c r="L147" s="6"/>
      <c r="M147" s="6"/>
      <c r="N147" s="6"/>
      <c r="O147" s="6"/>
      <c r="P147" s="6"/>
      <c r="Q147" s="6"/>
      <c r="R147" s="6"/>
      <c r="S147" s="4"/>
    </row>
    <row r="148" spans="3:19" x14ac:dyDescent="0.25">
      <c r="C148" s="3"/>
      <c r="D148" s="6"/>
      <c r="E148" s="6"/>
      <c r="F148" s="6"/>
      <c r="G148" s="6"/>
      <c r="H148" s="6"/>
      <c r="I148" s="6"/>
      <c r="J148" s="6"/>
      <c r="K148" s="6"/>
      <c r="L148" s="6"/>
      <c r="M148" s="6"/>
      <c r="N148" s="6"/>
      <c r="O148" s="6"/>
      <c r="P148" s="6"/>
      <c r="Q148" s="6"/>
      <c r="R148" s="6"/>
      <c r="S148" s="4"/>
    </row>
    <row r="149" spans="3:19" x14ac:dyDescent="0.25">
      <c r="C149" s="3"/>
      <c r="D149" s="6"/>
      <c r="E149" s="6"/>
      <c r="F149" s="6"/>
      <c r="G149" s="6"/>
      <c r="H149" s="6"/>
      <c r="I149" s="6"/>
      <c r="J149" s="6"/>
      <c r="K149" s="6"/>
      <c r="L149" s="6"/>
      <c r="M149" s="6"/>
      <c r="N149" s="6"/>
      <c r="O149" s="6"/>
      <c r="P149" s="6"/>
      <c r="Q149" s="6"/>
      <c r="R149" s="6"/>
      <c r="S149" s="4"/>
    </row>
    <row r="150" spans="3:19" x14ac:dyDescent="0.25">
      <c r="C150" s="3"/>
      <c r="D150" s="6"/>
      <c r="E150" s="6"/>
      <c r="F150" s="6"/>
      <c r="G150" s="6"/>
      <c r="H150" s="6"/>
      <c r="I150" s="6"/>
      <c r="J150" s="6"/>
      <c r="K150" s="6"/>
      <c r="L150" s="6"/>
      <c r="M150" s="6"/>
      <c r="N150" s="6"/>
      <c r="O150" s="6"/>
      <c r="P150" s="6"/>
      <c r="Q150" s="6"/>
      <c r="R150" s="6"/>
      <c r="S150" s="4"/>
    </row>
    <row r="151" spans="3:19" x14ac:dyDescent="0.25">
      <c r="C151" s="3"/>
      <c r="D151" s="6"/>
      <c r="E151" s="6"/>
      <c r="F151" s="6"/>
      <c r="G151" s="6"/>
      <c r="H151" s="6"/>
      <c r="I151" s="6"/>
      <c r="J151" s="6"/>
      <c r="K151" s="6"/>
      <c r="L151" s="6"/>
      <c r="M151" s="6"/>
      <c r="N151" s="6"/>
      <c r="O151" s="6"/>
      <c r="P151" s="6"/>
      <c r="Q151" s="6"/>
      <c r="R151" s="6"/>
      <c r="S151" s="4"/>
    </row>
    <row r="152" spans="3:19" x14ac:dyDescent="0.25">
      <c r="C152" s="3"/>
      <c r="D152" s="6"/>
      <c r="E152" s="6"/>
      <c r="F152" s="6"/>
      <c r="G152" s="6"/>
      <c r="H152" s="6"/>
      <c r="I152" s="6"/>
      <c r="J152" s="6"/>
      <c r="K152" s="6"/>
      <c r="L152" s="6"/>
      <c r="M152" s="6"/>
      <c r="N152" s="6"/>
      <c r="O152" s="6"/>
      <c r="P152" s="6"/>
      <c r="Q152" s="6"/>
      <c r="R152" s="6"/>
      <c r="S152" s="4"/>
    </row>
    <row r="153" spans="3:19" x14ac:dyDescent="0.25">
      <c r="C153" s="3"/>
      <c r="D153" s="6"/>
      <c r="E153" s="6"/>
      <c r="F153" s="6"/>
      <c r="G153" s="6"/>
      <c r="H153" s="6"/>
      <c r="I153" s="6"/>
      <c r="J153" s="6"/>
      <c r="K153" s="6"/>
      <c r="L153" s="6"/>
      <c r="M153" s="6"/>
      <c r="N153" s="6"/>
      <c r="O153" s="6"/>
      <c r="P153" s="6"/>
      <c r="Q153" s="6"/>
      <c r="R153" s="6"/>
      <c r="S153" s="4"/>
    </row>
    <row r="154" spans="3:19" x14ac:dyDescent="0.25">
      <c r="C154" s="3"/>
      <c r="D154" s="6"/>
      <c r="E154" s="6"/>
      <c r="F154" s="6"/>
      <c r="G154" s="6"/>
      <c r="H154" s="6"/>
      <c r="I154" s="6"/>
      <c r="J154" s="6"/>
      <c r="K154" s="6"/>
      <c r="L154" s="6"/>
      <c r="M154" s="6"/>
      <c r="N154" s="6"/>
      <c r="O154" s="6"/>
      <c r="P154" s="6"/>
      <c r="Q154" s="6"/>
      <c r="R154" s="6"/>
      <c r="S154" s="4"/>
    </row>
    <row r="155" spans="3:19" x14ac:dyDescent="0.25">
      <c r="C155" s="3"/>
      <c r="D155" s="6"/>
      <c r="E155" s="6"/>
      <c r="F155" s="6"/>
      <c r="G155" s="6"/>
      <c r="H155" s="6"/>
      <c r="I155" s="6"/>
      <c r="J155" s="6"/>
      <c r="K155" s="6"/>
      <c r="L155" s="6"/>
      <c r="M155" s="6"/>
      <c r="N155" s="6"/>
      <c r="O155" s="6"/>
      <c r="P155" s="6"/>
      <c r="Q155" s="6"/>
      <c r="R155" s="6"/>
      <c r="S155" s="4"/>
    </row>
    <row r="156" spans="3:19" x14ac:dyDescent="0.25">
      <c r="C156" s="3"/>
      <c r="D156" s="6"/>
      <c r="E156" s="6"/>
      <c r="F156" s="6"/>
      <c r="G156" s="6"/>
      <c r="H156" s="6"/>
      <c r="I156" s="6"/>
      <c r="J156" s="6"/>
      <c r="K156" s="6"/>
      <c r="L156" s="6"/>
      <c r="M156" s="6"/>
      <c r="N156" s="6"/>
      <c r="O156" s="6"/>
      <c r="P156" s="6"/>
      <c r="Q156" s="6"/>
      <c r="R156" s="6"/>
      <c r="S156" s="4"/>
    </row>
    <row r="157" spans="3:19" x14ac:dyDescent="0.25">
      <c r="C157" s="3"/>
      <c r="D157" s="6"/>
      <c r="E157" s="6"/>
      <c r="F157" s="6"/>
      <c r="G157" s="6"/>
      <c r="H157" s="6"/>
      <c r="I157" s="6"/>
      <c r="J157" s="6"/>
      <c r="K157" s="6"/>
      <c r="L157" s="6"/>
      <c r="M157" s="6"/>
      <c r="N157" s="6"/>
      <c r="O157" s="6"/>
      <c r="P157" s="6"/>
      <c r="Q157" s="6"/>
      <c r="R157" s="6"/>
      <c r="S157" s="4"/>
    </row>
    <row r="158" spans="3:19" x14ac:dyDescent="0.25">
      <c r="C158" s="3"/>
      <c r="D158" s="6"/>
      <c r="E158" s="6"/>
      <c r="F158" s="6"/>
      <c r="G158" s="6"/>
      <c r="H158" s="6"/>
      <c r="I158" s="6"/>
      <c r="J158" s="6"/>
      <c r="K158" s="6"/>
      <c r="L158" s="6"/>
      <c r="M158" s="6"/>
      <c r="N158" s="6"/>
      <c r="O158" s="6"/>
      <c r="P158" s="6"/>
      <c r="Q158" s="6"/>
      <c r="R158" s="6"/>
      <c r="S158" s="4"/>
    </row>
    <row r="159" spans="3:19" x14ac:dyDescent="0.25">
      <c r="C159" s="3"/>
      <c r="D159" s="6"/>
      <c r="E159" s="6"/>
      <c r="F159" s="6"/>
      <c r="G159" s="6"/>
      <c r="H159" s="6"/>
      <c r="I159" s="6"/>
      <c r="J159" s="6"/>
      <c r="K159" s="6"/>
      <c r="L159" s="6"/>
      <c r="M159" s="6"/>
      <c r="N159" s="6"/>
      <c r="O159" s="6"/>
      <c r="P159" s="6"/>
      <c r="Q159" s="6"/>
      <c r="R159" s="6"/>
      <c r="S159" s="4"/>
    </row>
    <row r="160" spans="3:19" x14ac:dyDescent="0.25">
      <c r="C160" s="3"/>
      <c r="D160" s="6"/>
      <c r="E160" s="6"/>
      <c r="F160" s="6"/>
      <c r="G160" s="6"/>
      <c r="H160" s="6"/>
      <c r="I160" s="6"/>
      <c r="J160" s="6"/>
      <c r="K160" s="6"/>
      <c r="L160" s="6"/>
      <c r="M160" s="6"/>
      <c r="N160" s="6"/>
      <c r="O160" s="6"/>
      <c r="P160" s="6"/>
      <c r="Q160" s="6"/>
      <c r="R160" s="6"/>
      <c r="S160" s="4"/>
    </row>
    <row r="161" spans="3:19" x14ac:dyDescent="0.25">
      <c r="C161" s="3"/>
      <c r="D161" s="6"/>
      <c r="E161" s="6"/>
      <c r="F161" s="6"/>
      <c r="G161" s="6"/>
      <c r="H161" s="6"/>
      <c r="I161" s="6"/>
      <c r="J161" s="6"/>
      <c r="K161" s="6"/>
      <c r="L161" s="6"/>
      <c r="M161" s="6"/>
      <c r="N161" s="6"/>
      <c r="O161" s="6"/>
      <c r="P161" s="6"/>
      <c r="Q161" s="6"/>
      <c r="R161" s="6"/>
      <c r="S161" s="4"/>
    </row>
    <row r="162" spans="3:19" x14ac:dyDescent="0.25">
      <c r="C162" s="3"/>
      <c r="D162" s="6"/>
      <c r="E162" s="6"/>
      <c r="F162" s="6"/>
      <c r="G162" s="6"/>
      <c r="H162" s="6"/>
      <c r="I162" s="6"/>
      <c r="J162" s="6"/>
      <c r="K162" s="6"/>
      <c r="L162" s="6"/>
      <c r="M162" s="6"/>
      <c r="N162" s="6"/>
      <c r="O162" s="6"/>
      <c r="P162" s="6"/>
      <c r="Q162" s="6"/>
      <c r="R162" s="6"/>
      <c r="S162" s="4"/>
    </row>
    <row r="163" spans="3:19" x14ac:dyDescent="0.25">
      <c r="C163" s="3"/>
      <c r="D163" s="6"/>
      <c r="E163" s="6"/>
      <c r="F163" s="6"/>
      <c r="G163" s="6"/>
      <c r="H163" s="6"/>
      <c r="I163" s="6"/>
      <c r="J163" s="6"/>
      <c r="K163" s="6"/>
      <c r="L163" s="6"/>
      <c r="M163" s="6"/>
      <c r="N163" s="6"/>
      <c r="O163" s="6"/>
      <c r="P163" s="6"/>
      <c r="Q163" s="6"/>
      <c r="R163" s="6"/>
      <c r="S163" s="4"/>
    </row>
    <row r="164" spans="3:19" x14ac:dyDescent="0.25">
      <c r="C164" s="3"/>
      <c r="D164" s="6"/>
      <c r="E164" s="6"/>
      <c r="F164" s="6"/>
      <c r="G164" s="6"/>
      <c r="H164" s="6"/>
      <c r="I164" s="6"/>
      <c r="J164" s="6"/>
      <c r="K164" s="6"/>
      <c r="L164" s="6"/>
      <c r="M164" s="6"/>
      <c r="N164" s="6"/>
      <c r="O164" s="6"/>
      <c r="P164" s="6"/>
      <c r="Q164" s="6"/>
      <c r="R164" s="6"/>
      <c r="S164" s="4"/>
    </row>
    <row r="165" spans="3:19" x14ac:dyDescent="0.25">
      <c r="C165" s="3"/>
      <c r="D165" s="6"/>
      <c r="E165" s="6"/>
      <c r="F165" s="6"/>
      <c r="G165" s="6"/>
      <c r="H165" s="6"/>
      <c r="I165" s="6"/>
      <c r="J165" s="6"/>
      <c r="K165" s="6"/>
      <c r="L165" s="6"/>
      <c r="M165" s="6"/>
      <c r="N165" s="6"/>
      <c r="O165" s="6"/>
      <c r="P165" s="6"/>
      <c r="Q165" s="6"/>
      <c r="R165" s="6"/>
      <c r="S165" s="4"/>
    </row>
    <row r="166" spans="3:19" x14ac:dyDescent="0.25">
      <c r="C166" s="3"/>
      <c r="D166" s="6"/>
      <c r="E166" s="6"/>
      <c r="F166" s="6"/>
      <c r="G166" s="6"/>
      <c r="H166" s="6"/>
      <c r="I166" s="6"/>
      <c r="J166" s="6"/>
      <c r="K166" s="6"/>
      <c r="L166" s="6"/>
      <c r="M166" s="6"/>
      <c r="N166" s="6"/>
      <c r="O166" s="6"/>
      <c r="P166" s="6"/>
      <c r="Q166" s="6"/>
      <c r="R166" s="6"/>
      <c r="S166" s="4"/>
    </row>
    <row r="167" spans="3:19" x14ac:dyDescent="0.25">
      <c r="C167" s="3"/>
      <c r="D167" s="6"/>
      <c r="E167" s="6"/>
      <c r="F167" s="6"/>
      <c r="G167" s="6"/>
      <c r="H167" s="6"/>
      <c r="I167" s="6"/>
      <c r="J167" s="6"/>
      <c r="K167" s="6"/>
      <c r="L167" s="6"/>
      <c r="M167" s="6"/>
      <c r="N167" s="6"/>
      <c r="O167" s="6"/>
      <c r="P167" s="6"/>
      <c r="Q167" s="6"/>
      <c r="R167" s="6"/>
      <c r="S167" s="4"/>
    </row>
    <row r="168" spans="3:19" x14ac:dyDescent="0.25">
      <c r="C168" s="3"/>
      <c r="D168" s="6"/>
      <c r="E168" s="6"/>
      <c r="F168" s="6"/>
      <c r="G168" s="6"/>
      <c r="H168" s="6"/>
      <c r="I168" s="6"/>
      <c r="J168" s="6"/>
      <c r="K168" s="6"/>
      <c r="L168" s="6"/>
      <c r="M168" s="6"/>
      <c r="N168" s="6"/>
      <c r="O168" s="6"/>
      <c r="P168" s="6"/>
      <c r="Q168" s="6"/>
      <c r="R168" s="6"/>
      <c r="S168" s="4"/>
    </row>
    <row r="169" spans="3:19" x14ac:dyDescent="0.25">
      <c r="C169" s="3"/>
      <c r="D169" s="6"/>
      <c r="E169" s="6"/>
      <c r="F169" s="6"/>
      <c r="G169" s="6"/>
      <c r="H169" s="6"/>
      <c r="I169" s="6"/>
      <c r="J169" s="6"/>
      <c r="K169" s="6"/>
      <c r="L169" s="6"/>
      <c r="M169" s="6"/>
      <c r="N169" s="6"/>
      <c r="O169" s="6"/>
      <c r="P169" s="6"/>
      <c r="Q169" s="6"/>
      <c r="R169" s="6"/>
      <c r="S169" s="4"/>
    </row>
    <row r="170" spans="3:19" x14ac:dyDescent="0.25">
      <c r="C170" s="3"/>
      <c r="D170" s="6"/>
      <c r="E170" s="6"/>
      <c r="F170" s="6"/>
      <c r="G170" s="6"/>
      <c r="H170" s="6"/>
      <c r="I170" s="6"/>
      <c r="J170" s="6"/>
      <c r="K170" s="6"/>
      <c r="L170" s="6"/>
      <c r="M170" s="6"/>
      <c r="N170" s="6"/>
      <c r="O170" s="6"/>
      <c r="P170" s="6"/>
      <c r="Q170" s="6"/>
      <c r="R170" s="6"/>
      <c r="S170" s="4"/>
    </row>
    <row r="171" spans="3:19" x14ac:dyDescent="0.25">
      <c r="C171" s="3"/>
      <c r="D171" s="6"/>
      <c r="E171" s="6"/>
      <c r="F171" s="6"/>
      <c r="G171" s="6"/>
      <c r="H171" s="6"/>
      <c r="I171" s="6"/>
      <c r="J171" s="6"/>
      <c r="K171" s="6"/>
      <c r="L171" s="6"/>
      <c r="M171" s="6"/>
      <c r="N171" s="6"/>
      <c r="O171" s="6"/>
      <c r="P171" s="6"/>
      <c r="Q171" s="6"/>
      <c r="R171" s="6"/>
      <c r="S171" s="4"/>
    </row>
    <row r="172" spans="3:19" x14ac:dyDescent="0.25">
      <c r="C172" s="3"/>
      <c r="D172" s="6"/>
      <c r="E172" s="6"/>
      <c r="F172" s="6"/>
      <c r="G172" s="6"/>
      <c r="H172" s="6"/>
      <c r="I172" s="6"/>
      <c r="J172" s="6"/>
      <c r="K172" s="6"/>
      <c r="L172" s="6"/>
      <c r="M172" s="6"/>
      <c r="N172" s="6"/>
      <c r="O172" s="6"/>
      <c r="P172" s="6"/>
      <c r="Q172" s="6"/>
      <c r="R172" s="6"/>
      <c r="S172" s="4"/>
    </row>
    <row r="173" spans="3:19" x14ac:dyDescent="0.25">
      <c r="C173" s="3"/>
      <c r="D173" s="6"/>
      <c r="E173" s="6"/>
      <c r="F173" s="6"/>
      <c r="G173" s="6"/>
      <c r="H173" s="6"/>
      <c r="I173" s="6"/>
      <c r="J173" s="6"/>
      <c r="K173" s="6"/>
      <c r="L173" s="6"/>
      <c r="M173" s="6"/>
      <c r="N173" s="6"/>
      <c r="O173" s="6"/>
      <c r="P173" s="6"/>
      <c r="Q173" s="6"/>
      <c r="R173" s="6"/>
      <c r="S173" s="4"/>
    </row>
    <row r="174" spans="3:19" x14ac:dyDescent="0.25">
      <c r="C174" s="3"/>
      <c r="D174" s="6"/>
      <c r="E174" s="6"/>
      <c r="F174" s="6"/>
      <c r="G174" s="6"/>
      <c r="H174" s="6"/>
      <c r="I174" s="6"/>
      <c r="J174" s="6"/>
      <c r="K174" s="6"/>
      <c r="L174" s="6"/>
      <c r="M174" s="6"/>
      <c r="N174" s="6"/>
      <c r="O174" s="6"/>
      <c r="P174" s="6"/>
      <c r="Q174" s="6"/>
      <c r="R174" s="6"/>
      <c r="S174" s="4"/>
    </row>
    <row r="175" spans="3:19" x14ac:dyDescent="0.25">
      <c r="C175" s="3"/>
      <c r="D175" s="6"/>
      <c r="E175" s="6"/>
      <c r="F175" s="6"/>
      <c r="G175" s="6"/>
      <c r="H175" s="6"/>
      <c r="I175" s="6"/>
      <c r="J175" s="6"/>
      <c r="K175" s="6"/>
      <c r="L175" s="6"/>
      <c r="M175" s="6"/>
      <c r="N175" s="6"/>
      <c r="O175" s="6"/>
      <c r="P175" s="6"/>
      <c r="Q175" s="6"/>
      <c r="R175" s="6"/>
      <c r="S175" s="4"/>
    </row>
    <row r="176" spans="3:19" x14ac:dyDescent="0.25">
      <c r="C176" s="3"/>
      <c r="D176" s="6"/>
      <c r="E176" s="6"/>
      <c r="F176" s="6"/>
      <c r="G176" s="6"/>
      <c r="H176" s="6"/>
      <c r="I176" s="6"/>
      <c r="J176" s="6"/>
      <c r="K176" s="6"/>
      <c r="L176" s="6"/>
      <c r="M176" s="6"/>
      <c r="N176" s="6"/>
      <c r="O176" s="6"/>
      <c r="P176" s="6"/>
      <c r="Q176" s="6"/>
      <c r="R176" s="6"/>
      <c r="S176" s="4"/>
    </row>
    <row r="177" spans="3:19" x14ac:dyDescent="0.25">
      <c r="C177" s="3"/>
      <c r="D177" s="6"/>
      <c r="E177" s="6"/>
      <c r="F177" s="6"/>
      <c r="G177" s="6"/>
      <c r="H177" s="6"/>
      <c r="I177" s="6"/>
      <c r="J177" s="6"/>
      <c r="K177" s="6"/>
      <c r="L177" s="6"/>
      <c r="M177" s="6"/>
      <c r="N177" s="6"/>
      <c r="O177" s="6"/>
      <c r="P177" s="6"/>
      <c r="Q177" s="6"/>
      <c r="R177" s="6"/>
      <c r="S177" s="4"/>
    </row>
    <row r="178" spans="3:19" x14ac:dyDescent="0.25">
      <c r="C178" s="3"/>
      <c r="D178" s="6"/>
      <c r="E178" s="6"/>
      <c r="F178" s="6"/>
      <c r="G178" s="6"/>
      <c r="H178" s="6"/>
      <c r="I178" s="6"/>
      <c r="J178" s="6"/>
      <c r="K178" s="6"/>
      <c r="L178" s="6"/>
      <c r="M178" s="6"/>
      <c r="N178" s="6"/>
      <c r="O178" s="6"/>
      <c r="P178" s="6"/>
      <c r="Q178" s="6"/>
      <c r="R178" s="6"/>
      <c r="S178" s="4"/>
    </row>
    <row r="179" spans="3:19" x14ac:dyDescent="0.25">
      <c r="C179" s="3"/>
      <c r="D179" s="6"/>
      <c r="E179" s="6"/>
      <c r="F179" s="6"/>
      <c r="G179" s="6"/>
      <c r="H179" s="6"/>
      <c r="I179" s="6"/>
      <c r="J179" s="6"/>
      <c r="K179" s="6"/>
      <c r="L179" s="6"/>
      <c r="M179" s="6"/>
      <c r="N179" s="6"/>
      <c r="O179" s="6"/>
      <c r="P179" s="6"/>
      <c r="Q179" s="6"/>
      <c r="R179" s="6"/>
      <c r="S179" s="4"/>
    </row>
    <row r="180" spans="3:19" x14ac:dyDescent="0.25">
      <c r="C180" s="3"/>
      <c r="D180" s="6"/>
      <c r="E180" s="6"/>
      <c r="F180" s="6"/>
      <c r="G180" s="6"/>
      <c r="H180" s="6"/>
      <c r="I180" s="6"/>
      <c r="J180" s="6"/>
      <c r="K180" s="6"/>
      <c r="L180" s="6"/>
      <c r="M180" s="6"/>
      <c r="N180" s="6"/>
      <c r="O180" s="6"/>
      <c r="P180" s="6"/>
      <c r="Q180" s="6"/>
      <c r="R180" s="6"/>
      <c r="S180" s="4"/>
    </row>
    <row r="181" spans="3:19" x14ac:dyDescent="0.25">
      <c r="C181" s="3"/>
      <c r="D181" s="6"/>
      <c r="E181" s="6"/>
      <c r="F181" s="6"/>
      <c r="G181" s="6"/>
      <c r="H181" s="6"/>
      <c r="I181" s="6"/>
      <c r="J181" s="6"/>
      <c r="K181" s="6"/>
      <c r="L181" s="6"/>
      <c r="M181" s="6"/>
      <c r="N181" s="6"/>
      <c r="O181" s="6"/>
      <c r="P181" s="6"/>
      <c r="Q181" s="6"/>
      <c r="R181" s="6"/>
      <c r="S181" s="4"/>
    </row>
    <row r="182" spans="3:19" x14ac:dyDescent="0.25">
      <c r="C182" s="3"/>
      <c r="D182" s="6"/>
      <c r="E182" s="6"/>
      <c r="F182" s="6"/>
      <c r="G182" s="6"/>
      <c r="H182" s="6"/>
      <c r="I182" s="6"/>
      <c r="J182" s="6"/>
      <c r="K182" s="6"/>
      <c r="L182" s="6"/>
      <c r="M182" s="6"/>
      <c r="N182" s="6"/>
      <c r="O182" s="6"/>
      <c r="P182" s="6"/>
      <c r="Q182" s="6"/>
      <c r="R182" s="6"/>
      <c r="S182" s="4"/>
    </row>
    <row r="183" spans="3:19" x14ac:dyDescent="0.25">
      <c r="C183" s="3"/>
      <c r="D183" s="6"/>
      <c r="E183" s="6"/>
      <c r="F183" s="6"/>
      <c r="G183" s="6"/>
      <c r="H183" s="6"/>
      <c r="I183" s="6"/>
      <c r="J183" s="6"/>
      <c r="K183" s="6"/>
      <c r="L183" s="6"/>
      <c r="M183" s="6"/>
      <c r="N183" s="6"/>
      <c r="O183" s="6"/>
      <c r="P183" s="6"/>
      <c r="Q183" s="6"/>
      <c r="R183" s="6"/>
      <c r="S183" s="4"/>
    </row>
    <row r="184" spans="3:19" x14ac:dyDescent="0.25">
      <c r="C184" s="3"/>
      <c r="D184" s="6"/>
      <c r="E184" s="6"/>
      <c r="F184" s="6"/>
      <c r="G184" s="6"/>
      <c r="H184" s="6"/>
      <c r="I184" s="6"/>
      <c r="J184" s="6"/>
      <c r="K184" s="6"/>
      <c r="L184" s="6"/>
      <c r="M184" s="6"/>
      <c r="N184" s="6"/>
      <c r="O184" s="6"/>
      <c r="P184" s="6"/>
      <c r="Q184" s="6"/>
      <c r="R184" s="6"/>
      <c r="S184" s="4"/>
    </row>
    <row r="185" spans="3:19" x14ac:dyDescent="0.25">
      <c r="C185" s="3"/>
      <c r="D185" s="6"/>
      <c r="E185" s="6"/>
      <c r="F185" s="6"/>
      <c r="G185" s="6"/>
      <c r="H185" s="6"/>
      <c r="I185" s="6"/>
      <c r="J185" s="6"/>
      <c r="K185" s="6"/>
      <c r="L185" s="6"/>
      <c r="M185" s="6"/>
      <c r="N185" s="6"/>
      <c r="O185" s="6"/>
      <c r="P185" s="6"/>
      <c r="Q185" s="6"/>
      <c r="R185" s="6"/>
      <c r="S185" s="4"/>
    </row>
    <row r="186" spans="3:19" x14ac:dyDescent="0.25">
      <c r="C186" s="3"/>
      <c r="D186" s="6"/>
      <c r="E186" s="6"/>
      <c r="F186" s="6"/>
      <c r="G186" s="6"/>
      <c r="H186" s="6"/>
      <c r="I186" s="6"/>
      <c r="J186" s="6"/>
      <c r="K186" s="6"/>
      <c r="L186" s="6"/>
      <c r="M186" s="6"/>
      <c r="N186" s="6"/>
      <c r="O186" s="6"/>
      <c r="P186" s="6"/>
      <c r="Q186" s="6"/>
      <c r="R186" s="6"/>
      <c r="S186" s="4"/>
    </row>
    <row r="187" spans="3:19" x14ac:dyDescent="0.25">
      <c r="C187" s="3"/>
      <c r="D187" s="6"/>
      <c r="E187" s="6"/>
      <c r="F187" s="6"/>
      <c r="G187" s="6"/>
      <c r="H187" s="6"/>
      <c r="I187" s="6"/>
      <c r="J187" s="6"/>
      <c r="K187" s="6"/>
      <c r="L187" s="6"/>
      <c r="M187" s="6"/>
      <c r="N187" s="6"/>
      <c r="O187" s="6"/>
      <c r="P187" s="6"/>
      <c r="Q187" s="6"/>
      <c r="R187" s="6"/>
      <c r="S187" s="4"/>
    </row>
    <row r="188" spans="3:19" x14ac:dyDescent="0.25">
      <c r="C188" s="3"/>
      <c r="D188" s="6"/>
      <c r="E188" s="6"/>
      <c r="F188" s="6"/>
      <c r="G188" s="6"/>
      <c r="H188" s="6"/>
      <c r="I188" s="6"/>
      <c r="J188" s="6"/>
      <c r="K188" s="6"/>
      <c r="L188" s="6"/>
      <c r="M188" s="6"/>
      <c r="N188" s="6"/>
      <c r="O188" s="6"/>
      <c r="P188" s="6"/>
      <c r="Q188" s="6"/>
      <c r="R188" s="6"/>
      <c r="S188" s="4"/>
    </row>
    <row r="189" spans="3:19" x14ac:dyDescent="0.25">
      <c r="C189" s="3"/>
      <c r="D189" s="6"/>
      <c r="E189" s="6"/>
      <c r="F189" s="6"/>
      <c r="G189" s="6"/>
      <c r="H189" s="6"/>
      <c r="I189" s="6"/>
      <c r="J189" s="6"/>
      <c r="K189" s="6"/>
      <c r="L189" s="6"/>
      <c r="M189" s="6"/>
      <c r="N189" s="6"/>
      <c r="O189" s="6"/>
      <c r="P189" s="6"/>
      <c r="Q189" s="6"/>
      <c r="R189" s="6"/>
      <c r="S189" s="4"/>
    </row>
    <row r="190" spans="3:19" x14ac:dyDescent="0.25">
      <c r="C190" s="3"/>
      <c r="D190" s="6"/>
      <c r="E190" s="6"/>
      <c r="F190" s="6"/>
      <c r="G190" s="6"/>
      <c r="H190" s="6"/>
      <c r="I190" s="6"/>
      <c r="J190" s="6"/>
      <c r="K190" s="6"/>
      <c r="L190" s="6"/>
      <c r="M190" s="6"/>
      <c r="N190" s="6"/>
      <c r="O190" s="6"/>
      <c r="P190" s="6"/>
      <c r="Q190" s="6"/>
      <c r="R190" s="6"/>
      <c r="S190" s="4"/>
    </row>
    <row r="191" spans="3:19" x14ac:dyDescent="0.25">
      <c r="C191" s="3"/>
      <c r="D191" s="6"/>
      <c r="E191" s="6"/>
      <c r="F191" s="6"/>
      <c r="G191" s="6"/>
      <c r="H191" s="6"/>
      <c r="I191" s="6"/>
      <c r="J191" s="6"/>
      <c r="K191" s="6"/>
      <c r="L191" s="6"/>
      <c r="M191" s="6"/>
      <c r="N191" s="6"/>
      <c r="O191" s="6"/>
      <c r="P191" s="6"/>
      <c r="Q191" s="6"/>
      <c r="R191" s="6"/>
      <c r="S191" s="4"/>
    </row>
    <row r="192" spans="3:19" x14ac:dyDescent="0.25">
      <c r="C192" s="3"/>
      <c r="D192" s="6"/>
      <c r="E192" s="6"/>
      <c r="F192" s="6"/>
      <c r="G192" s="6"/>
      <c r="H192" s="6"/>
      <c r="I192" s="6"/>
      <c r="J192" s="6"/>
      <c r="K192" s="6"/>
      <c r="L192" s="6"/>
      <c r="M192" s="6"/>
      <c r="N192" s="6"/>
      <c r="O192" s="6"/>
      <c r="P192" s="6"/>
      <c r="Q192" s="6"/>
      <c r="R192" s="6"/>
      <c r="S192" s="4"/>
    </row>
    <row r="193" spans="3:19" x14ac:dyDescent="0.25">
      <c r="C193" s="3"/>
      <c r="D193" s="6"/>
      <c r="E193" s="6"/>
      <c r="F193" s="6"/>
      <c r="G193" s="6"/>
      <c r="H193" s="6"/>
      <c r="I193" s="6"/>
      <c r="J193" s="6"/>
      <c r="K193" s="6"/>
      <c r="L193" s="6"/>
      <c r="M193" s="6"/>
      <c r="N193" s="6"/>
      <c r="O193" s="6"/>
      <c r="P193" s="6"/>
      <c r="Q193" s="6"/>
      <c r="R193" s="6"/>
      <c r="S193" s="4"/>
    </row>
    <row r="194" spans="3:19" x14ac:dyDescent="0.25">
      <c r="C194" s="3"/>
      <c r="D194" s="6"/>
      <c r="E194" s="6"/>
      <c r="F194" s="6"/>
      <c r="G194" s="6"/>
      <c r="H194" s="6"/>
      <c r="I194" s="6"/>
      <c r="J194" s="6"/>
      <c r="K194" s="6"/>
      <c r="L194" s="6"/>
      <c r="M194" s="6"/>
      <c r="N194" s="6"/>
      <c r="O194" s="6"/>
      <c r="P194" s="6"/>
      <c r="Q194" s="6"/>
      <c r="R194" s="6"/>
      <c r="S194" s="4"/>
    </row>
    <row r="195" spans="3:19" x14ac:dyDescent="0.25">
      <c r="C195" s="3"/>
      <c r="D195" s="6"/>
      <c r="E195" s="6"/>
      <c r="F195" s="6"/>
      <c r="G195" s="6"/>
      <c r="H195" s="6"/>
      <c r="I195" s="6"/>
      <c r="J195" s="6"/>
      <c r="K195" s="6"/>
      <c r="L195" s="6"/>
      <c r="M195" s="6"/>
      <c r="N195" s="6"/>
      <c r="O195" s="6"/>
      <c r="P195" s="6"/>
      <c r="Q195" s="6"/>
      <c r="R195" s="6"/>
      <c r="S195" s="4"/>
    </row>
    <row r="196" spans="3:19" x14ac:dyDescent="0.25">
      <c r="C196" s="3"/>
      <c r="D196" s="6"/>
      <c r="E196" s="6"/>
      <c r="F196" s="6"/>
      <c r="G196" s="6"/>
      <c r="H196" s="6"/>
      <c r="I196" s="6"/>
      <c r="J196" s="6"/>
      <c r="K196" s="6"/>
      <c r="L196" s="6"/>
      <c r="M196" s="6"/>
      <c r="N196" s="6"/>
      <c r="O196" s="6"/>
      <c r="P196" s="6"/>
      <c r="Q196" s="6"/>
      <c r="R196" s="6"/>
      <c r="S196" s="4"/>
    </row>
    <row r="197" spans="3:19" x14ac:dyDescent="0.25">
      <c r="C197" s="3"/>
      <c r="D197" s="6"/>
      <c r="E197" s="6"/>
      <c r="F197" s="6"/>
      <c r="G197" s="6"/>
      <c r="H197" s="6"/>
      <c r="I197" s="6"/>
      <c r="J197" s="6"/>
      <c r="K197" s="6"/>
      <c r="L197" s="6"/>
      <c r="M197" s="6"/>
      <c r="N197" s="6"/>
      <c r="O197" s="6"/>
      <c r="P197" s="6"/>
      <c r="Q197" s="6"/>
      <c r="R197" s="6"/>
      <c r="S197" s="4"/>
    </row>
    <row r="198" spans="3:19" x14ac:dyDescent="0.25">
      <c r="C198" s="3"/>
      <c r="D198" s="6"/>
      <c r="E198" s="6"/>
      <c r="F198" s="6"/>
      <c r="G198" s="6"/>
      <c r="H198" s="6"/>
      <c r="I198" s="6"/>
      <c r="J198" s="6"/>
      <c r="K198" s="6"/>
      <c r="L198" s="6"/>
      <c r="M198" s="6"/>
      <c r="N198" s="6"/>
      <c r="O198" s="6"/>
      <c r="P198" s="6"/>
      <c r="Q198" s="6"/>
      <c r="R198" s="6"/>
      <c r="S198" s="4"/>
    </row>
    <row r="199" spans="3:19" x14ac:dyDescent="0.25">
      <c r="C199" s="3"/>
      <c r="D199" s="6"/>
      <c r="E199" s="6"/>
      <c r="F199" s="6"/>
      <c r="G199" s="6"/>
      <c r="H199" s="6"/>
      <c r="I199" s="6"/>
      <c r="J199" s="6"/>
      <c r="K199" s="6"/>
      <c r="L199" s="6"/>
      <c r="M199" s="6"/>
      <c r="N199" s="6"/>
      <c r="O199" s="6"/>
      <c r="P199" s="6"/>
      <c r="Q199" s="6"/>
      <c r="R199" s="6"/>
      <c r="S199" s="4"/>
    </row>
    <row r="200" spans="3:19" x14ac:dyDescent="0.25">
      <c r="C200" s="3"/>
      <c r="D200" s="6"/>
      <c r="E200" s="6"/>
      <c r="F200" s="6"/>
      <c r="G200" s="6"/>
      <c r="H200" s="6"/>
      <c r="I200" s="6"/>
      <c r="J200" s="6"/>
      <c r="K200" s="6"/>
      <c r="L200" s="6"/>
      <c r="M200" s="6"/>
      <c r="N200" s="6"/>
      <c r="O200" s="6"/>
      <c r="P200" s="6"/>
      <c r="Q200" s="6"/>
      <c r="R200" s="6"/>
      <c r="S200" s="4"/>
    </row>
    <row r="201" spans="3:19" x14ac:dyDescent="0.25">
      <c r="C201" s="3"/>
      <c r="D201" s="6"/>
      <c r="E201" s="6"/>
      <c r="F201" s="6"/>
      <c r="G201" s="6"/>
      <c r="H201" s="6"/>
      <c r="I201" s="6"/>
      <c r="J201" s="6"/>
      <c r="K201" s="6"/>
      <c r="L201" s="6"/>
      <c r="M201" s="6"/>
      <c r="N201" s="6"/>
      <c r="O201" s="6"/>
      <c r="P201" s="6"/>
      <c r="Q201" s="6"/>
      <c r="R201" s="6"/>
      <c r="S201" s="4"/>
    </row>
    <row r="202" spans="3:19" x14ac:dyDescent="0.25">
      <c r="C202" s="3"/>
      <c r="D202" s="6"/>
      <c r="E202" s="6"/>
      <c r="F202" s="6"/>
      <c r="G202" s="6"/>
      <c r="H202" s="6"/>
      <c r="I202" s="6"/>
      <c r="J202" s="6"/>
      <c r="K202" s="6"/>
      <c r="L202" s="6"/>
      <c r="M202" s="6"/>
      <c r="N202" s="6"/>
      <c r="O202" s="6"/>
      <c r="P202" s="6"/>
      <c r="Q202" s="6"/>
      <c r="R202" s="6"/>
      <c r="S202" s="4"/>
    </row>
    <row r="203" spans="3:19" x14ac:dyDescent="0.25">
      <c r="C203" s="3"/>
      <c r="D203" s="6"/>
      <c r="E203" s="6"/>
      <c r="F203" s="6"/>
      <c r="G203" s="6"/>
      <c r="H203" s="6"/>
      <c r="I203" s="6"/>
      <c r="J203" s="6"/>
      <c r="K203" s="6"/>
      <c r="L203" s="6"/>
      <c r="M203" s="6"/>
      <c r="N203" s="6"/>
      <c r="O203" s="6"/>
      <c r="P203" s="6"/>
      <c r="Q203" s="6"/>
      <c r="R203" s="6"/>
      <c r="S203" s="4"/>
    </row>
    <row r="204" spans="3:19" x14ac:dyDescent="0.25">
      <c r="C204" s="3"/>
      <c r="D204" s="6"/>
      <c r="E204" s="6"/>
      <c r="F204" s="6"/>
      <c r="G204" s="6"/>
      <c r="H204" s="6"/>
      <c r="I204" s="6"/>
      <c r="J204" s="6"/>
      <c r="K204" s="6"/>
      <c r="L204" s="6"/>
      <c r="M204" s="6"/>
      <c r="N204" s="6"/>
      <c r="O204" s="6"/>
      <c r="P204" s="6"/>
      <c r="Q204" s="6"/>
      <c r="R204" s="6"/>
      <c r="S204" s="4"/>
    </row>
    <row r="205" spans="3:19" x14ac:dyDescent="0.25">
      <c r="C205" s="3"/>
      <c r="D205" s="6"/>
      <c r="E205" s="6"/>
      <c r="F205" s="6"/>
      <c r="G205" s="6"/>
      <c r="H205" s="6"/>
      <c r="I205" s="6"/>
      <c r="J205" s="6"/>
      <c r="K205" s="6"/>
      <c r="L205" s="6"/>
      <c r="M205" s="6"/>
      <c r="N205" s="6"/>
      <c r="O205" s="6"/>
      <c r="P205" s="6"/>
      <c r="Q205" s="6"/>
      <c r="R205" s="6"/>
      <c r="S205" s="4"/>
    </row>
    <row r="206" spans="3:19" x14ac:dyDescent="0.25">
      <c r="C206" s="3"/>
      <c r="D206" s="6"/>
      <c r="E206" s="6"/>
      <c r="F206" s="6"/>
      <c r="G206" s="6"/>
      <c r="H206" s="6"/>
      <c r="I206" s="6"/>
      <c r="J206" s="6"/>
      <c r="K206" s="6"/>
      <c r="L206" s="6"/>
      <c r="M206" s="6"/>
      <c r="N206" s="6"/>
      <c r="O206" s="6"/>
      <c r="P206" s="6"/>
      <c r="Q206" s="6"/>
      <c r="R206" s="6"/>
      <c r="S206" s="4"/>
    </row>
    <row r="207" spans="3:19" x14ac:dyDescent="0.25">
      <c r="C207" s="3"/>
      <c r="D207" s="6"/>
      <c r="E207" s="6"/>
      <c r="F207" s="6"/>
      <c r="G207" s="6"/>
      <c r="H207" s="6"/>
      <c r="I207" s="6"/>
      <c r="J207" s="6"/>
      <c r="K207" s="6"/>
      <c r="L207" s="6"/>
      <c r="M207" s="6"/>
      <c r="N207" s="6"/>
      <c r="O207" s="6"/>
      <c r="P207" s="6"/>
      <c r="Q207" s="6"/>
      <c r="R207" s="6"/>
      <c r="S207" s="4"/>
    </row>
    <row r="208" spans="3:19" x14ac:dyDescent="0.25">
      <c r="C208" s="3"/>
      <c r="D208" s="6"/>
      <c r="E208" s="6"/>
      <c r="F208" s="6"/>
      <c r="G208" s="6"/>
      <c r="H208" s="6"/>
      <c r="I208" s="6"/>
      <c r="J208" s="6"/>
      <c r="K208" s="6"/>
      <c r="L208" s="6"/>
      <c r="M208" s="6"/>
      <c r="N208" s="6"/>
      <c r="O208" s="6"/>
      <c r="P208" s="6"/>
      <c r="Q208" s="6"/>
      <c r="R208" s="6"/>
      <c r="S208" s="4"/>
    </row>
    <row r="209" spans="3:19" x14ac:dyDescent="0.25">
      <c r="C209" s="3"/>
      <c r="D209" s="6"/>
      <c r="E209" s="6"/>
      <c r="F209" s="6"/>
      <c r="G209" s="6"/>
      <c r="H209" s="6"/>
      <c r="I209" s="6"/>
      <c r="J209" s="6"/>
      <c r="K209" s="6"/>
      <c r="L209" s="6"/>
      <c r="M209" s="6"/>
      <c r="N209" s="6"/>
      <c r="O209" s="6"/>
      <c r="P209" s="6"/>
      <c r="Q209" s="6"/>
      <c r="R209" s="6"/>
      <c r="S209" s="4"/>
    </row>
    <row r="210" spans="3:19" x14ac:dyDescent="0.25">
      <c r="C210" s="3"/>
      <c r="D210" s="6"/>
      <c r="E210" s="6"/>
      <c r="F210" s="6"/>
      <c r="G210" s="6"/>
      <c r="H210" s="6"/>
      <c r="I210" s="6"/>
      <c r="J210" s="6"/>
      <c r="K210" s="6"/>
      <c r="L210" s="6"/>
      <c r="M210" s="6"/>
      <c r="N210" s="6"/>
      <c r="O210" s="6"/>
      <c r="P210" s="6"/>
      <c r="Q210" s="6"/>
      <c r="R210" s="6"/>
      <c r="S210" s="4"/>
    </row>
    <row r="211" spans="3:19" x14ac:dyDescent="0.25">
      <c r="C211" s="3"/>
      <c r="D211" s="6"/>
      <c r="E211" s="6"/>
      <c r="F211" s="6"/>
      <c r="G211" s="6"/>
      <c r="H211" s="6"/>
      <c r="I211" s="6"/>
      <c r="J211" s="6"/>
      <c r="K211" s="6"/>
      <c r="L211" s="6"/>
      <c r="M211" s="6"/>
      <c r="N211" s="6"/>
      <c r="O211" s="6"/>
      <c r="P211" s="6"/>
      <c r="Q211" s="6"/>
      <c r="R211" s="6"/>
      <c r="S211" s="4"/>
    </row>
    <row r="212" spans="3:19" x14ac:dyDescent="0.25">
      <c r="C212" s="3"/>
      <c r="D212" s="6"/>
      <c r="E212" s="6"/>
      <c r="F212" s="6"/>
      <c r="G212" s="6"/>
      <c r="H212" s="6"/>
      <c r="I212" s="6"/>
      <c r="J212" s="6"/>
      <c r="K212" s="6"/>
      <c r="L212" s="6"/>
      <c r="M212" s="6"/>
      <c r="N212" s="6"/>
      <c r="O212" s="6"/>
      <c r="P212" s="6"/>
      <c r="Q212" s="6"/>
      <c r="R212" s="6"/>
      <c r="S212" s="4"/>
    </row>
    <row r="213" spans="3:19" x14ac:dyDescent="0.25">
      <c r="C213" s="3"/>
      <c r="D213" s="6"/>
      <c r="E213" s="6"/>
      <c r="F213" s="6"/>
      <c r="G213" s="6"/>
      <c r="H213" s="6"/>
      <c r="I213" s="6"/>
      <c r="J213" s="6"/>
      <c r="K213" s="6"/>
      <c r="L213" s="6"/>
      <c r="M213" s="6"/>
      <c r="N213" s="6"/>
      <c r="O213" s="6"/>
      <c r="P213" s="6"/>
      <c r="Q213" s="6"/>
      <c r="R213" s="6"/>
      <c r="S213" s="4"/>
    </row>
    <row r="214" spans="3:19" x14ac:dyDescent="0.25">
      <c r="C214" s="3"/>
      <c r="D214" s="6"/>
      <c r="E214" s="6"/>
      <c r="F214" s="6"/>
      <c r="G214" s="6"/>
      <c r="H214" s="6"/>
      <c r="I214" s="6"/>
      <c r="J214" s="6"/>
      <c r="K214" s="6"/>
      <c r="L214" s="6"/>
      <c r="M214" s="6"/>
      <c r="N214" s="6"/>
      <c r="O214" s="6"/>
      <c r="P214" s="6"/>
      <c r="Q214" s="6"/>
      <c r="R214" s="6"/>
      <c r="S214" s="4"/>
    </row>
    <row r="215" spans="3:19" x14ac:dyDescent="0.25">
      <c r="C215" s="3"/>
      <c r="D215" s="6"/>
      <c r="E215" s="6"/>
      <c r="F215" s="6"/>
      <c r="G215" s="6"/>
      <c r="H215" s="6"/>
      <c r="I215" s="6"/>
      <c r="J215" s="6"/>
      <c r="K215" s="6"/>
      <c r="L215" s="6"/>
      <c r="M215" s="6"/>
      <c r="N215" s="6"/>
      <c r="O215" s="6"/>
      <c r="P215" s="6"/>
      <c r="Q215" s="6"/>
      <c r="R215" s="6"/>
      <c r="S215" s="4"/>
    </row>
    <row r="216" spans="3:19" x14ac:dyDescent="0.25">
      <c r="C216" s="3"/>
      <c r="D216" s="6"/>
      <c r="E216" s="6"/>
      <c r="F216" s="6"/>
      <c r="G216" s="6"/>
      <c r="H216" s="6"/>
      <c r="I216" s="6"/>
      <c r="J216" s="6"/>
      <c r="K216" s="6"/>
      <c r="L216" s="6"/>
      <c r="M216" s="6"/>
      <c r="N216" s="6"/>
      <c r="O216" s="6"/>
      <c r="P216" s="6"/>
      <c r="Q216" s="6"/>
      <c r="R216" s="6"/>
      <c r="S216" s="4"/>
    </row>
    <row r="217" spans="3:19" x14ac:dyDescent="0.25">
      <c r="C217" s="3"/>
      <c r="D217" s="6"/>
      <c r="E217" s="6"/>
      <c r="F217" s="6"/>
      <c r="G217" s="6"/>
      <c r="H217" s="6"/>
      <c r="I217" s="6"/>
      <c r="J217" s="6"/>
      <c r="K217" s="6"/>
      <c r="L217" s="6"/>
      <c r="M217" s="6"/>
      <c r="N217" s="6"/>
      <c r="O217" s="6"/>
      <c r="P217" s="6"/>
      <c r="Q217" s="6"/>
      <c r="R217" s="6"/>
      <c r="S217" s="4"/>
    </row>
    <row r="218" spans="3:19" x14ac:dyDescent="0.25">
      <c r="C218" s="3"/>
      <c r="D218" s="6"/>
      <c r="E218" s="6"/>
      <c r="F218" s="6"/>
      <c r="G218" s="6"/>
      <c r="H218" s="6"/>
      <c r="I218" s="6"/>
      <c r="J218" s="6"/>
      <c r="K218" s="6"/>
      <c r="L218" s="6"/>
      <c r="M218" s="6"/>
      <c r="N218" s="6"/>
      <c r="O218" s="6"/>
      <c r="P218" s="6"/>
      <c r="Q218" s="6"/>
      <c r="R218" s="6"/>
      <c r="S218" s="4"/>
    </row>
    <row r="219" spans="3:19" x14ac:dyDescent="0.25">
      <c r="C219" s="3"/>
      <c r="D219" s="6"/>
      <c r="E219" s="6"/>
      <c r="F219" s="6"/>
      <c r="G219" s="6"/>
      <c r="H219" s="6"/>
      <c r="I219" s="6"/>
      <c r="J219" s="6"/>
      <c r="K219" s="6"/>
      <c r="L219" s="6"/>
      <c r="M219" s="6"/>
      <c r="N219" s="6"/>
      <c r="O219" s="6"/>
      <c r="P219" s="6"/>
      <c r="Q219" s="6"/>
      <c r="R219" s="6"/>
      <c r="S219" s="4"/>
    </row>
    <row r="220" spans="3:19" x14ac:dyDescent="0.25">
      <c r="C220" s="3"/>
      <c r="D220" s="6"/>
      <c r="E220" s="6"/>
      <c r="F220" s="6"/>
      <c r="G220" s="6"/>
      <c r="H220" s="6"/>
      <c r="I220" s="6"/>
      <c r="J220" s="6"/>
      <c r="K220" s="6"/>
      <c r="L220" s="6"/>
      <c r="M220" s="6"/>
      <c r="N220" s="6"/>
      <c r="O220" s="6"/>
      <c r="P220" s="6"/>
      <c r="Q220" s="6"/>
      <c r="R220" s="6"/>
      <c r="S220" s="4"/>
    </row>
    <row r="221" spans="3:19" x14ac:dyDescent="0.25">
      <c r="C221" s="3"/>
      <c r="D221" s="6"/>
      <c r="E221" s="6"/>
      <c r="F221" s="6"/>
      <c r="G221" s="6"/>
      <c r="H221" s="6"/>
      <c r="I221" s="6"/>
      <c r="J221" s="6"/>
      <c r="K221" s="6"/>
      <c r="L221" s="6"/>
      <c r="M221" s="6"/>
      <c r="N221" s="6"/>
      <c r="O221" s="6"/>
      <c r="P221" s="6"/>
      <c r="Q221" s="6"/>
      <c r="R221" s="6"/>
      <c r="S221" s="4"/>
    </row>
    <row r="222" spans="3:19" x14ac:dyDescent="0.25">
      <c r="C222" s="3"/>
      <c r="D222" s="6"/>
      <c r="E222" s="6"/>
      <c r="F222" s="6"/>
      <c r="G222" s="6"/>
      <c r="H222" s="6"/>
      <c r="I222" s="6"/>
      <c r="J222" s="6"/>
      <c r="K222" s="6"/>
      <c r="L222" s="6"/>
      <c r="M222" s="6"/>
      <c r="N222" s="6"/>
      <c r="O222" s="6"/>
      <c r="P222" s="6"/>
      <c r="Q222" s="6"/>
      <c r="R222" s="6"/>
      <c r="S222" s="4"/>
    </row>
    <row r="223" spans="3:19" x14ac:dyDescent="0.25">
      <c r="C223" s="3"/>
      <c r="D223" s="6"/>
      <c r="E223" s="6"/>
      <c r="F223" s="6"/>
      <c r="G223" s="6"/>
      <c r="H223" s="6"/>
      <c r="I223" s="6"/>
      <c r="J223" s="6"/>
      <c r="K223" s="6"/>
      <c r="L223" s="6"/>
      <c r="M223" s="6"/>
      <c r="N223" s="6"/>
      <c r="O223" s="6"/>
      <c r="P223" s="6"/>
      <c r="Q223" s="6"/>
      <c r="R223" s="6"/>
      <c r="S223" s="4"/>
    </row>
    <row r="224" spans="3:19" x14ac:dyDescent="0.25">
      <c r="C224" s="3"/>
      <c r="D224" s="6"/>
      <c r="E224" s="6"/>
      <c r="F224" s="6"/>
      <c r="G224" s="6"/>
      <c r="H224" s="6"/>
      <c r="I224" s="6"/>
      <c r="J224" s="6"/>
      <c r="K224" s="6"/>
      <c r="L224" s="6"/>
      <c r="M224" s="6"/>
      <c r="N224" s="6"/>
      <c r="O224" s="6"/>
      <c r="P224" s="6"/>
      <c r="Q224" s="6"/>
      <c r="R224" s="6"/>
      <c r="S224" s="4"/>
    </row>
    <row r="225" spans="3:19" x14ac:dyDescent="0.25">
      <c r="C225" s="3"/>
      <c r="D225" s="6"/>
      <c r="E225" s="6"/>
      <c r="F225" s="6"/>
      <c r="G225" s="6"/>
      <c r="H225" s="6"/>
      <c r="I225" s="6"/>
      <c r="J225" s="6"/>
      <c r="K225" s="6"/>
      <c r="L225" s="6"/>
      <c r="M225" s="6"/>
      <c r="N225" s="6"/>
      <c r="O225" s="6"/>
      <c r="P225" s="6"/>
      <c r="Q225" s="6"/>
      <c r="R225" s="6"/>
      <c r="S225" s="4"/>
    </row>
    <row r="226" spans="3:19" x14ac:dyDescent="0.25">
      <c r="C226" s="3"/>
      <c r="D226" s="6"/>
      <c r="E226" s="6"/>
      <c r="F226" s="6"/>
      <c r="G226" s="6"/>
      <c r="H226" s="6"/>
      <c r="I226" s="6"/>
      <c r="J226" s="6"/>
      <c r="K226" s="6"/>
      <c r="L226" s="6"/>
      <c r="M226" s="6"/>
      <c r="N226" s="6"/>
      <c r="O226" s="6"/>
      <c r="P226" s="6"/>
      <c r="Q226" s="6"/>
      <c r="R226" s="6"/>
      <c r="S226" s="4"/>
    </row>
    <row r="227" spans="3:19" x14ac:dyDescent="0.25">
      <c r="C227" s="3"/>
      <c r="D227" s="6"/>
      <c r="E227" s="6"/>
      <c r="F227" s="6"/>
      <c r="G227" s="6"/>
      <c r="H227" s="6"/>
      <c r="I227" s="6"/>
      <c r="J227" s="6"/>
      <c r="K227" s="6"/>
      <c r="L227" s="6"/>
      <c r="M227" s="6"/>
      <c r="N227" s="6"/>
      <c r="O227" s="6"/>
      <c r="P227" s="6"/>
      <c r="Q227" s="6"/>
      <c r="R227" s="6"/>
      <c r="S227" s="4"/>
    </row>
    <row r="228" spans="3:19" x14ac:dyDescent="0.25">
      <c r="C228" s="3"/>
      <c r="D228" s="6"/>
      <c r="E228" s="6"/>
      <c r="F228" s="6"/>
      <c r="G228" s="6"/>
      <c r="H228" s="6"/>
      <c r="I228" s="6"/>
      <c r="J228" s="6"/>
      <c r="K228" s="6"/>
      <c r="L228" s="6"/>
      <c r="M228" s="6"/>
      <c r="N228" s="6"/>
      <c r="O228" s="6"/>
      <c r="P228" s="6"/>
      <c r="Q228" s="6"/>
      <c r="R228" s="6"/>
      <c r="S228" s="4"/>
    </row>
    <row r="229" spans="3:19" x14ac:dyDescent="0.25">
      <c r="C229" s="3"/>
      <c r="D229" s="6"/>
      <c r="E229" s="6"/>
      <c r="F229" s="6"/>
      <c r="G229" s="6"/>
      <c r="H229" s="6"/>
      <c r="I229" s="6"/>
      <c r="J229" s="6"/>
      <c r="K229" s="6"/>
      <c r="L229" s="6"/>
      <c r="M229" s="6"/>
      <c r="N229" s="6"/>
      <c r="O229" s="6"/>
      <c r="P229" s="6"/>
      <c r="Q229" s="6"/>
      <c r="R229" s="6"/>
      <c r="S229" s="4"/>
    </row>
    <row r="230" spans="3:19" x14ac:dyDescent="0.25">
      <c r="C230" s="3"/>
      <c r="D230" s="6"/>
      <c r="E230" s="6"/>
      <c r="F230" s="6"/>
      <c r="G230" s="6"/>
      <c r="H230" s="6"/>
      <c r="I230" s="6"/>
      <c r="J230" s="6"/>
      <c r="K230" s="6"/>
      <c r="L230" s="6"/>
      <c r="M230" s="6"/>
      <c r="N230" s="6"/>
      <c r="O230" s="6"/>
      <c r="P230" s="6"/>
      <c r="Q230" s="6"/>
      <c r="R230" s="6"/>
      <c r="S230" s="4"/>
    </row>
    <row r="231" spans="3:19" x14ac:dyDescent="0.25">
      <c r="C231" s="3"/>
      <c r="D231" s="6"/>
      <c r="E231" s="6"/>
      <c r="F231" s="6"/>
      <c r="G231" s="6"/>
      <c r="H231" s="6"/>
      <c r="I231" s="6"/>
      <c r="J231" s="6"/>
      <c r="K231" s="6"/>
      <c r="L231" s="6"/>
      <c r="M231" s="6"/>
      <c r="N231" s="6"/>
      <c r="O231" s="6"/>
      <c r="P231" s="6"/>
      <c r="Q231" s="6"/>
      <c r="R231" s="6"/>
      <c r="S231" s="4"/>
    </row>
    <row r="232" spans="3:19" x14ac:dyDescent="0.25">
      <c r="C232" s="3"/>
      <c r="D232" s="6"/>
      <c r="E232" s="6"/>
      <c r="F232" s="6"/>
      <c r="G232" s="6"/>
      <c r="H232" s="6"/>
      <c r="I232" s="6"/>
      <c r="J232" s="6"/>
      <c r="K232" s="6"/>
      <c r="L232" s="6"/>
      <c r="M232" s="6"/>
      <c r="N232" s="6"/>
      <c r="O232" s="6"/>
      <c r="P232" s="6"/>
      <c r="Q232" s="6"/>
      <c r="R232" s="6"/>
      <c r="S232" s="4"/>
    </row>
    <row r="233" spans="3:19" x14ac:dyDescent="0.25">
      <c r="C233" s="3"/>
      <c r="D233" s="6"/>
      <c r="E233" s="6"/>
      <c r="F233" s="6"/>
      <c r="G233" s="6"/>
      <c r="H233" s="6"/>
      <c r="I233" s="6"/>
      <c r="J233" s="6"/>
      <c r="K233" s="6"/>
      <c r="L233" s="6"/>
      <c r="M233" s="6"/>
      <c r="N233" s="6"/>
      <c r="O233" s="6"/>
      <c r="P233" s="6"/>
      <c r="Q233" s="6"/>
      <c r="R233" s="6"/>
      <c r="S233" s="4"/>
    </row>
    <row r="234" spans="3:19" x14ac:dyDescent="0.25">
      <c r="C234" s="3"/>
      <c r="D234" s="6"/>
      <c r="E234" s="6"/>
      <c r="F234" s="6"/>
      <c r="G234" s="6"/>
      <c r="H234" s="6"/>
      <c r="I234" s="6"/>
      <c r="J234" s="6"/>
      <c r="K234" s="6"/>
      <c r="L234" s="6"/>
      <c r="M234" s="6"/>
      <c r="N234" s="6"/>
      <c r="O234" s="6"/>
      <c r="P234" s="6"/>
      <c r="Q234" s="6"/>
      <c r="R234" s="6"/>
      <c r="S234" s="4"/>
    </row>
    <row r="235" spans="3:19" x14ac:dyDescent="0.25">
      <c r="C235" s="3"/>
      <c r="D235" s="6"/>
      <c r="E235" s="6"/>
      <c r="F235" s="6"/>
      <c r="G235" s="6"/>
      <c r="H235" s="6"/>
      <c r="I235" s="6"/>
      <c r="J235" s="6"/>
      <c r="K235" s="6"/>
      <c r="L235" s="6"/>
      <c r="M235" s="6"/>
      <c r="N235" s="6"/>
      <c r="O235" s="6"/>
      <c r="P235" s="6"/>
      <c r="Q235" s="6"/>
      <c r="R235" s="6"/>
      <c r="S235" s="4"/>
    </row>
    <row r="236" spans="3:19" x14ac:dyDescent="0.25">
      <c r="C236" s="3"/>
      <c r="D236" s="6"/>
      <c r="E236" s="6"/>
      <c r="F236" s="6"/>
      <c r="G236" s="6"/>
      <c r="H236" s="6"/>
      <c r="I236" s="6"/>
      <c r="J236" s="6"/>
      <c r="K236" s="6"/>
      <c r="L236" s="6"/>
      <c r="M236" s="6"/>
      <c r="N236" s="6"/>
      <c r="O236" s="6"/>
      <c r="P236" s="6"/>
      <c r="Q236" s="6"/>
      <c r="R236" s="6"/>
      <c r="S236" s="4"/>
    </row>
    <row r="237" spans="3:19" x14ac:dyDescent="0.25">
      <c r="C237" s="3"/>
      <c r="D237" s="6"/>
      <c r="E237" s="6"/>
      <c r="F237" s="6"/>
      <c r="G237" s="6"/>
      <c r="H237" s="6"/>
      <c r="I237" s="6"/>
      <c r="J237" s="6"/>
      <c r="K237" s="6"/>
      <c r="L237" s="6"/>
      <c r="M237" s="6"/>
      <c r="N237" s="6"/>
      <c r="O237" s="6"/>
      <c r="P237" s="6"/>
      <c r="Q237" s="6"/>
      <c r="R237" s="6"/>
      <c r="S237" s="4"/>
    </row>
    <row r="238" spans="3:19" x14ac:dyDescent="0.25">
      <c r="C238" s="3"/>
      <c r="D238" s="6"/>
      <c r="E238" s="6"/>
      <c r="F238" s="6"/>
      <c r="G238" s="6"/>
      <c r="H238" s="6"/>
      <c r="I238" s="6"/>
      <c r="J238" s="6"/>
      <c r="K238" s="6"/>
      <c r="L238" s="6"/>
      <c r="M238" s="6"/>
      <c r="N238" s="6"/>
      <c r="O238" s="6"/>
      <c r="P238" s="6"/>
      <c r="Q238" s="6"/>
      <c r="R238" s="6"/>
      <c r="S238" s="4"/>
    </row>
    <row r="239" spans="3:19" x14ac:dyDescent="0.25">
      <c r="C239" s="3"/>
      <c r="D239" s="6"/>
      <c r="E239" s="6"/>
      <c r="F239" s="6"/>
      <c r="G239" s="6"/>
      <c r="H239" s="6"/>
      <c r="I239" s="6"/>
      <c r="J239" s="6"/>
      <c r="K239" s="6"/>
      <c r="L239" s="6"/>
      <c r="M239" s="6"/>
      <c r="N239" s="6"/>
      <c r="O239" s="6"/>
      <c r="P239" s="6"/>
      <c r="Q239" s="6"/>
      <c r="R239" s="6"/>
      <c r="S239" s="4"/>
    </row>
    <row r="240" spans="3:19" x14ac:dyDescent="0.25">
      <c r="C240" s="3"/>
      <c r="D240" s="6"/>
      <c r="E240" s="6"/>
      <c r="F240" s="6"/>
      <c r="G240" s="6"/>
      <c r="H240" s="6"/>
      <c r="I240" s="6"/>
      <c r="J240" s="6"/>
      <c r="K240" s="6"/>
      <c r="L240" s="6"/>
      <c r="M240" s="6"/>
      <c r="N240" s="6"/>
      <c r="O240" s="6"/>
      <c r="P240" s="6"/>
      <c r="Q240" s="6"/>
      <c r="R240" s="6"/>
      <c r="S240" s="4"/>
    </row>
    <row r="241" spans="3:19" x14ac:dyDescent="0.25">
      <c r="C241" s="3"/>
      <c r="D241" s="6"/>
      <c r="E241" s="6"/>
      <c r="F241" s="6"/>
      <c r="G241" s="6"/>
      <c r="H241" s="6"/>
      <c r="I241" s="6"/>
      <c r="J241" s="6"/>
      <c r="K241" s="6"/>
      <c r="L241" s="6"/>
      <c r="M241" s="6"/>
      <c r="N241" s="6"/>
      <c r="O241" s="6"/>
      <c r="P241" s="6"/>
      <c r="Q241" s="6"/>
      <c r="R241" s="6"/>
      <c r="S241" s="4"/>
    </row>
    <row r="242" spans="3:19" x14ac:dyDescent="0.25">
      <c r="C242" s="3"/>
      <c r="D242" s="6"/>
      <c r="E242" s="6"/>
      <c r="F242" s="6"/>
      <c r="G242" s="6"/>
      <c r="H242" s="6"/>
      <c r="I242" s="6"/>
      <c r="J242" s="6"/>
      <c r="K242" s="6"/>
      <c r="L242" s="6"/>
      <c r="M242" s="6"/>
      <c r="N242" s="6"/>
      <c r="O242" s="6"/>
      <c r="P242" s="6"/>
      <c r="Q242" s="6"/>
      <c r="R242" s="6"/>
      <c r="S242" s="4"/>
    </row>
    <row r="243" spans="3:19" x14ac:dyDescent="0.25">
      <c r="C243" s="3"/>
      <c r="D243" s="6"/>
      <c r="E243" s="6"/>
      <c r="F243" s="6"/>
      <c r="G243" s="6"/>
      <c r="H243" s="6"/>
      <c r="I243" s="6"/>
      <c r="J243" s="6"/>
      <c r="K243" s="6"/>
      <c r="L243" s="6"/>
      <c r="M243" s="6"/>
      <c r="N243" s="6"/>
      <c r="O243" s="6"/>
      <c r="P243" s="6"/>
      <c r="Q243" s="6"/>
      <c r="R243" s="6"/>
      <c r="S243" s="4"/>
    </row>
    <row r="244" spans="3:19" x14ac:dyDescent="0.25">
      <c r="C244" s="3"/>
      <c r="D244" s="6"/>
      <c r="E244" s="6"/>
      <c r="F244" s="6"/>
      <c r="G244" s="6"/>
      <c r="H244" s="6"/>
      <c r="I244" s="6"/>
      <c r="J244" s="6"/>
      <c r="K244" s="6"/>
      <c r="L244" s="6"/>
      <c r="M244" s="6"/>
      <c r="N244" s="6"/>
      <c r="O244" s="6"/>
      <c r="P244" s="6"/>
      <c r="Q244" s="6"/>
      <c r="R244" s="6"/>
      <c r="S244" s="4"/>
    </row>
    <row r="245" spans="3:19" x14ac:dyDescent="0.25">
      <c r="C245" s="3"/>
      <c r="D245" s="6"/>
      <c r="E245" s="6"/>
      <c r="F245" s="6"/>
      <c r="G245" s="6"/>
      <c r="H245" s="6"/>
      <c r="I245" s="6"/>
      <c r="J245" s="6"/>
      <c r="K245" s="6"/>
      <c r="L245" s="6"/>
      <c r="M245" s="6"/>
      <c r="N245" s="6"/>
      <c r="O245" s="6"/>
      <c r="P245" s="6"/>
      <c r="Q245" s="6"/>
      <c r="R245" s="6"/>
      <c r="S245" s="4"/>
    </row>
    <row r="246" spans="3:19" x14ac:dyDescent="0.25">
      <c r="C246" s="3"/>
      <c r="D246" s="6"/>
      <c r="E246" s="6"/>
      <c r="F246" s="6"/>
      <c r="G246" s="6"/>
      <c r="H246" s="6"/>
      <c r="I246" s="6"/>
      <c r="J246" s="6"/>
      <c r="K246" s="6"/>
      <c r="L246" s="6"/>
      <c r="M246" s="6"/>
      <c r="N246" s="6"/>
      <c r="O246" s="6"/>
      <c r="P246" s="6"/>
      <c r="Q246" s="6"/>
      <c r="R246" s="6"/>
      <c r="S246" s="4"/>
    </row>
    <row r="247" spans="3:19" x14ac:dyDescent="0.25">
      <c r="C247" s="3"/>
      <c r="D247" s="6"/>
      <c r="E247" s="6"/>
      <c r="F247" s="6"/>
      <c r="G247" s="6"/>
      <c r="H247" s="6"/>
      <c r="I247" s="6"/>
      <c r="J247" s="6"/>
      <c r="K247" s="6"/>
      <c r="L247" s="6"/>
      <c r="M247" s="6"/>
      <c r="N247" s="6"/>
      <c r="O247" s="6"/>
      <c r="P247" s="6"/>
      <c r="Q247" s="6"/>
      <c r="R247" s="6"/>
      <c r="S247" s="4"/>
    </row>
    <row r="248" spans="3:19" x14ac:dyDescent="0.25">
      <c r="C248" s="3"/>
      <c r="D248" s="6"/>
      <c r="E248" s="6"/>
      <c r="F248" s="6"/>
      <c r="G248" s="6"/>
      <c r="H248" s="6"/>
      <c r="I248" s="6"/>
      <c r="J248" s="6"/>
      <c r="K248" s="6"/>
      <c r="L248" s="6"/>
      <c r="M248" s="6"/>
      <c r="N248" s="6"/>
      <c r="O248" s="6"/>
      <c r="P248" s="6"/>
      <c r="Q248" s="6"/>
      <c r="R248" s="6"/>
      <c r="S248" s="4"/>
    </row>
    <row r="249" spans="3:19" x14ac:dyDescent="0.25">
      <c r="C249" s="3"/>
      <c r="D249" s="6"/>
      <c r="E249" s="6"/>
      <c r="F249" s="6"/>
      <c r="G249" s="6"/>
      <c r="H249" s="6"/>
      <c r="I249" s="6"/>
      <c r="J249" s="6"/>
      <c r="K249" s="6"/>
      <c r="L249" s="6"/>
      <c r="M249" s="6"/>
      <c r="N249" s="6"/>
      <c r="O249" s="6"/>
      <c r="P249" s="6"/>
      <c r="Q249" s="6"/>
      <c r="R249" s="6"/>
      <c r="S249" s="4"/>
    </row>
    <row r="250" spans="3:19" x14ac:dyDescent="0.25">
      <c r="C250" s="3"/>
      <c r="D250" s="6"/>
      <c r="E250" s="6"/>
      <c r="F250" s="6"/>
      <c r="G250" s="6"/>
      <c r="H250" s="6"/>
      <c r="I250" s="6"/>
      <c r="J250" s="6"/>
      <c r="K250" s="6"/>
      <c r="L250" s="6"/>
      <c r="M250" s="6"/>
      <c r="N250" s="6"/>
      <c r="O250" s="6"/>
      <c r="P250" s="6"/>
      <c r="Q250" s="6"/>
      <c r="R250" s="6"/>
      <c r="S250" s="4"/>
    </row>
    <row r="251" spans="3:19" x14ac:dyDescent="0.25">
      <c r="C251" s="3"/>
      <c r="D251" s="6"/>
      <c r="E251" s="6"/>
      <c r="F251" s="6"/>
      <c r="G251" s="6"/>
      <c r="H251" s="6"/>
      <c r="I251" s="6"/>
      <c r="J251" s="6"/>
      <c r="K251" s="6"/>
      <c r="L251" s="6"/>
      <c r="M251" s="6"/>
      <c r="N251" s="6"/>
      <c r="O251" s="6"/>
      <c r="P251" s="6"/>
      <c r="Q251" s="6"/>
      <c r="R251" s="6"/>
      <c r="S251" s="4"/>
    </row>
    <row r="252" spans="3:19" x14ac:dyDescent="0.25">
      <c r="C252" s="3"/>
      <c r="D252" s="6"/>
      <c r="E252" s="6"/>
      <c r="F252" s="6"/>
      <c r="G252" s="6"/>
      <c r="H252" s="6"/>
      <c r="I252" s="6"/>
      <c r="J252" s="6"/>
      <c r="K252" s="6"/>
      <c r="L252" s="6"/>
      <c r="M252" s="6"/>
      <c r="N252" s="6"/>
      <c r="O252" s="6"/>
      <c r="P252" s="6"/>
      <c r="Q252" s="6"/>
      <c r="R252" s="6"/>
      <c r="S252" s="4"/>
    </row>
    <row r="253" spans="3:19" x14ac:dyDescent="0.25">
      <c r="C253" s="3"/>
      <c r="D253" s="6"/>
      <c r="E253" s="6"/>
      <c r="F253" s="6"/>
      <c r="G253" s="6"/>
      <c r="H253" s="6"/>
      <c r="I253" s="6"/>
      <c r="J253" s="6"/>
      <c r="K253" s="6"/>
      <c r="L253" s="6"/>
      <c r="M253" s="6"/>
      <c r="N253" s="6"/>
      <c r="O253" s="6"/>
      <c r="P253" s="6"/>
      <c r="Q253" s="6"/>
      <c r="R253" s="6"/>
      <c r="S253" s="4"/>
    </row>
    <row r="254" spans="3:19" x14ac:dyDescent="0.25">
      <c r="C254" s="3"/>
      <c r="D254" s="6"/>
      <c r="E254" s="6"/>
      <c r="F254" s="6"/>
      <c r="G254" s="6"/>
      <c r="H254" s="6"/>
      <c r="I254" s="6"/>
      <c r="J254" s="6"/>
      <c r="K254" s="6"/>
      <c r="L254" s="6"/>
      <c r="M254" s="6"/>
      <c r="N254" s="6"/>
      <c r="O254" s="6"/>
      <c r="P254" s="6"/>
      <c r="Q254" s="6"/>
      <c r="R254" s="6"/>
      <c r="S254" s="4"/>
    </row>
    <row r="255" spans="3:19" x14ac:dyDescent="0.25">
      <c r="C255" s="3"/>
      <c r="D255" s="6"/>
      <c r="E255" s="6"/>
      <c r="F255" s="6"/>
      <c r="G255" s="6"/>
      <c r="H255" s="6"/>
      <c r="I255" s="6"/>
      <c r="J255" s="6"/>
      <c r="K255" s="6"/>
      <c r="L255" s="6"/>
      <c r="M255" s="6"/>
      <c r="N255" s="6"/>
      <c r="O255" s="6"/>
      <c r="P255" s="6"/>
      <c r="Q255" s="6"/>
      <c r="R255" s="6"/>
      <c r="S255" s="4"/>
    </row>
    <row r="256" spans="3:19" x14ac:dyDescent="0.25">
      <c r="C256" s="3"/>
      <c r="D256" s="6"/>
      <c r="E256" s="6"/>
      <c r="F256" s="6"/>
      <c r="G256" s="6"/>
      <c r="H256" s="6"/>
      <c r="I256" s="6"/>
      <c r="J256" s="6"/>
      <c r="K256" s="6"/>
      <c r="L256" s="6"/>
      <c r="M256" s="6"/>
      <c r="N256" s="6"/>
      <c r="O256" s="6"/>
      <c r="P256" s="6"/>
      <c r="Q256" s="6"/>
      <c r="R256" s="6"/>
      <c r="S256" s="4"/>
    </row>
    <row r="257" spans="3:19" x14ac:dyDescent="0.25">
      <c r="C257" s="3"/>
      <c r="D257" s="6"/>
      <c r="E257" s="6"/>
      <c r="F257" s="6"/>
      <c r="G257" s="6"/>
      <c r="H257" s="6"/>
      <c r="I257" s="6"/>
      <c r="J257" s="6"/>
      <c r="K257" s="6"/>
      <c r="L257" s="6"/>
      <c r="M257" s="6"/>
      <c r="N257" s="6"/>
      <c r="O257" s="6"/>
      <c r="P257" s="6"/>
      <c r="Q257" s="6"/>
      <c r="R257" s="6"/>
      <c r="S257" s="4"/>
    </row>
    <row r="258" spans="3:19" x14ac:dyDescent="0.25">
      <c r="C258" s="3"/>
      <c r="D258" s="6"/>
      <c r="E258" s="6"/>
      <c r="F258" s="6"/>
      <c r="G258" s="6"/>
      <c r="H258" s="6"/>
      <c r="I258" s="6"/>
      <c r="J258" s="6"/>
      <c r="K258" s="6"/>
      <c r="L258" s="6"/>
      <c r="M258" s="6"/>
      <c r="N258" s="6"/>
      <c r="O258" s="6"/>
      <c r="P258" s="6"/>
      <c r="Q258" s="6"/>
      <c r="R258" s="6"/>
      <c r="S258" s="4"/>
    </row>
    <row r="259" spans="3:19" x14ac:dyDescent="0.25">
      <c r="C259" s="3"/>
      <c r="D259" s="6"/>
      <c r="E259" s="6"/>
      <c r="F259" s="6"/>
      <c r="G259" s="6"/>
      <c r="H259" s="6"/>
      <c r="I259" s="6"/>
      <c r="J259" s="6"/>
      <c r="K259" s="6"/>
      <c r="L259" s="6"/>
      <c r="M259" s="6"/>
      <c r="N259" s="6"/>
      <c r="O259" s="6"/>
      <c r="P259" s="6"/>
      <c r="Q259" s="6"/>
      <c r="R259" s="6"/>
      <c r="S259" s="4"/>
    </row>
    <row r="260" spans="3:19" x14ac:dyDescent="0.25">
      <c r="C260" s="3"/>
      <c r="D260" s="6"/>
      <c r="E260" s="6"/>
      <c r="F260" s="6"/>
      <c r="G260" s="6"/>
      <c r="H260" s="6"/>
      <c r="I260" s="6"/>
      <c r="J260" s="6"/>
      <c r="K260" s="6"/>
      <c r="L260" s="6"/>
      <c r="M260" s="6"/>
      <c r="N260" s="6"/>
      <c r="O260" s="6"/>
      <c r="P260" s="6"/>
      <c r="Q260" s="6"/>
      <c r="R260" s="6"/>
      <c r="S260" s="4"/>
    </row>
    <row r="261" spans="3:19" x14ac:dyDescent="0.25">
      <c r="C261" s="3"/>
      <c r="D261" s="6"/>
      <c r="E261" s="6"/>
      <c r="F261" s="6"/>
      <c r="G261" s="6"/>
      <c r="H261" s="6"/>
      <c r="I261" s="6"/>
      <c r="J261" s="6"/>
      <c r="K261" s="6"/>
      <c r="L261" s="6"/>
      <c r="M261" s="6"/>
      <c r="N261" s="6"/>
      <c r="O261" s="6"/>
      <c r="P261" s="6"/>
      <c r="Q261" s="6"/>
      <c r="R261" s="6"/>
      <c r="S261" s="4"/>
    </row>
    <row r="262" spans="3:19" x14ac:dyDescent="0.25">
      <c r="C262" s="3"/>
      <c r="D262" s="6"/>
      <c r="E262" s="6"/>
      <c r="F262" s="6"/>
      <c r="G262" s="6"/>
      <c r="H262" s="6"/>
      <c r="I262" s="6"/>
      <c r="J262" s="6"/>
      <c r="K262" s="6"/>
      <c r="L262" s="6"/>
      <c r="M262" s="6"/>
      <c r="N262" s="6"/>
      <c r="O262" s="6"/>
      <c r="P262" s="6"/>
      <c r="Q262" s="6"/>
      <c r="R262" s="6"/>
      <c r="S262" s="4"/>
    </row>
    <row r="263" spans="3:19" x14ac:dyDescent="0.25">
      <c r="C263" s="3"/>
      <c r="D263" s="6"/>
      <c r="E263" s="6"/>
      <c r="F263" s="6"/>
      <c r="G263" s="6"/>
      <c r="H263" s="6"/>
      <c r="I263" s="6"/>
      <c r="J263" s="6"/>
      <c r="K263" s="6"/>
      <c r="L263" s="6"/>
      <c r="M263" s="6"/>
      <c r="N263" s="6"/>
      <c r="O263" s="6"/>
      <c r="P263" s="6"/>
      <c r="Q263" s="6"/>
      <c r="R263" s="6"/>
      <c r="S263" s="4"/>
    </row>
    <row r="264" spans="3:19" x14ac:dyDescent="0.25">
      <c r="C264" s="3"/>
      <c r="D264" s="6"/>
      <c r="E264" s="6"/>
      <c r="F264" s="6"/>
      <c r="G264" s="6"/>
      <c r="H264" s="6"/>
      <c r="I264" s="6"/>
      <c r="J264" s="6"/>
      <c r="K264" s="6"/>
      <c r="L264" s="6"/>
      <c r="M264" s="6"/>
      <c r="N264" s="6"/>
      <c r="O264" s="6"/>
      <c r="P264" s="6"/>
      <c r="Q264" s="6"/>
      <c r="R264" s="6"/>
      <c r="S264" s="4"/>
    </row>
    <row r="265" spans="3:19" x14ac:dyDescent="0.25">
      <c r="C265" s="3"/>
      <c r="D265" s="6"/>
      <c r="E265" s="6"/>
      <c r="F265" s="6"/>
      <c r="G265" s="6"/>
      <c r="H265" s="6"/>
      <c r="I265" s="6"/>
      <c r="J265" s="6"/>
      <c r="K265" s="6"/>
      <c r="L265" s="6"/>
      <c r="M265" s="6"/>
      <c r="N265" s="6"/>
      <c r="O265" s="6"/>
      <c r="P265" s="6"/>
      <c r="Q265" s="6"/>
      <c r="R265" s="6"/>
      <c r="S265" s="4"/>
    </row>
    <row r="266" spans="3:19" x14ac:dyDescent="0.25">
      <c r="C266" s="3"/>
      <c r="D266" s="6"/>
      <c r="E266" s="6"/>
      <c r="F266" s="6"/>
      <c r="G266" s="6"/>
      <c r="H266" s="6"/>
      <c r="I266" s="6"/>
      <c r="J266" s="6"/>
      <c r="K266" s="6"/>
      <c r="L266" s="6"/>
      <c r="M266" s="6"/>
      <c r="N266" s="6"/>
      <c r="O266" s="6"/>
      <c r="P266" s="6"/>
      <c r="Q266" s="6"/>
      <c r="R266" s="6"/>
      <c r="S266" s="4"/>
    </row>
    <row r="267" spans="3:19" x14ac:dyDescent="0.25">
      <c r="C267" s="3"/>
      <c r="D267" s="6"/>
      <c r="E267" s="6"/>
      <c r="F267" s="6"/>
      <c r="G267" s="6"/>
      <c r="H267" s="6"/>
      <c r="I267" s="6"/>
      <c r="J267" s="6"/>
      <c r="K267" s="6"/>
      <c r="L267" s="6"/>
      <c r="M267" s="6"/>
      <c r="N267" s="6"/>
      <c r="O267" s="6"/>
      <c r="P267" s="6"/>
      <c r="Q267" s="6"/>
      <c r="R267" s="6"/>
      <c r="S267" s="4"/>
    </row>
    <row r="268" spans="3:19" x14ac:dyDescent="0.25">
      <c r="C268" s="3"/>
      <c r="D268" s="6"/>
      <c r="E268" s="6"/>
      <c r="F268" s="6"/>
      <c r="G268" s="6"/>
      <c r="H268" s="6"/>
      <c r="I268" s="6"/>
      <c r="J268" s="6"/>
      <c r="K268" s="6"/>
      <c r="L268" s="6"/>
      <c r="M268" s="6"/>
      <c r="N268" s="6"/>
      <c r="O268" s="6"/>
      <c r="P268" s="6"/>
      <c r="Q268" s="6"/>
      <c r="R268" s="6"/>
      <c r="S268" s="4"/>
    </row>
    <row r="269" spans="3:19" x14ac:dyDescent="0.25">
      <c r="C269" s="3"/>
      <c r="D269" s="6"/>
      <c r="E269" s="6"/>
      <c r="F269" s="6"/>
      <c r="G269" s="6"/>
      <c r="H269" s="6"/>
      <c r="I269" s="6"/>
      <c r="J269" s="6"/>
      <c r="K269" s="6"/>
      <c r="L269" s="6"/>
      <c r="M269" s="6"/>
      <c r="N269" s="6"/>
      <c r="O269" s="6"/>
      <c r="P269" s="6"/>
      <c r="Q269" s="6"/>
      <c r="R269" s="6"/>
      <c r="S269" s="4"/>
    </row>
    <row r="270" spans="3:19" x14ac:dyDescent="0.25">
      <c r="C270" s="3"/>
      <c r="D270" s="6"/>
      <c r="E270" s="6"/>
      <c r="F270" s="6"/>
      <c r="G270" s="6"/>
      <c r="H270" s="6"/>
      <c r="I270" s="6"/>
      <c r="J270" s="6"/>
      <c r="K270" s="6"/>
      <c r="L270" s="6"/>
      <c r="M270" s="6"/>
      <c r="N270" s="6"/>
      <c r="O270" s="6"/>
      <c r="P270" s="6"/>
      <c r="Q270" s="6"/>
      <c r="R270" s="6"/>
      <c r="S270" s="4"/>
    </row>
    <row r="271" spans="3:19" x14ac:dyDescent="0.25">
      <c r="C271" s="3"/>
      <c r="D271" s="6"/>
      <c r="E271" s="6"/>
      <c r="F271" s="6"/>
      <c r="G271" s="6"/>
      <c r="H271" s="6"/>
      <c r="I271" s="6"/>
      <c r="J271" s="6"/>
      <c r="K271" s="6"/>
      <c r="L271" s="6"/>
      <c r="M271" s="6"/>
      <c r="N271" s="6"/>
      <c r="O271" s="6"/>
      <c r="P271" s="6"/>
      <c r="Q271" s="6"/>
      <c r="R271" s="6"/>
      <c r="S271" s="4"/>
    </row>
    <row r="272" spans="3:19" x14ac:dyDescent="0.25">
      <c r="C272" s="3"/>
      <c r="D272" s="6"/>
      <c r="E272" s="6"/>
      <c r="F272" s="6"/>
      <c r="G272" s="6"/>
      <c r="H272" s="6"/>
      <c r="I272" s="6"/>
      <c r="J272" s="6"/>
      <c r="K272" s="6"/>
      <c r="L272" s="6"/>
      <c r="M272" s="6"/>
      <c r="N272" s="6"/>
      <c r="O272" s="6"/>
      <c r="P272" s="6"/>
      <c r="Q272" s="6"/>
      <c r="R272" s="6"/>
      <c r="S272" s="4"/>
    </row>
    <row r="273" spans="3:19" x14ac:dyDescent="0.25">
      <c r="C273" s="3"/>
      <c r="D273" s="6"/>
      <c r="E273" s="6"/>
      <c r="F273" s="6"/>
      <c r="G273" s="6"/>
      <c r="H273" s="6"/>
      <c r="I273" s="6"/>
      <c r="J273" s="6"/>
      <c r="K273" s="6"/>
      <c r="L273" s="6"/>
      <c r="M273" s="6"/>
      <c r="N273" s="6"/>
      <c r="O273" s="6"/>
      <c r="P273" s="6"/>
      <c r="Q273" s="6"/>
      <c r="R273" s="6"/>
      <c r="S273" s="4"/>
    </row>
    <row r="274" spans="3:19" x14ac:dyDescent="0.25">
      <c r="C274" s="3"/>
      <c r="D274" s="6"/>
      <c r="E274" s="6"/>
      <c r="F274" s="6"/>
      <c r="G274" s="6"/>
      <c r="H274" s="6"/>
      <c r="I274" s="6"/>
      <c r="J274" s="6"/>
      <c r="K274" s="6"/>
      <c r="L274" s="6"/>
      <c r="M274" s="6"/>
      <c r="N274" s="6"/>
      <c r="O274" s="6"/>
      <c r="P274" s="6"/>
      <c r="Q274" s="6"/>
      <c r="R274" s="6"/>
      <c r="S274" s="4"/>
    </row>
    <row r="275" spans="3:19" x14ac:dyDescent="0.25">
      <c r="C275" s="3"/>
      <c r="D275" s="6"/>
      <c r="E275" s="6"/>
      <c r="F275" s="6"/>
      <c r="G275" s="6"/>
      <c r="H275" s="6"/>
      <c r="I275" s="6"/>
      <c r="J275" s="6"/>
      <c r="K275" s="6"/>
      <c r="L275" s="6"/>
      <c r="M275" s="6"/>
      <c r="N275" s="6"/>
      <c r="O275" s="6"/>
      <c r="P275" s="6"/>
      <c r="Q275" s="6"/>
      <c r="R275" s="6"/>
      <c r="S275" s="4"/>
    </row>
    <row r="276" spans="3:19" x14ac:dyDescent="0.25">
      <c r="C276" s="3"/>
      <c r="D276" s="6"/>
      <c r="E276" s="6"/>
      <c r="F276" s="6"/>
      <c r="G276" s="6"/>
      <c r="H276" s="6"/>
      <c r="I276" s="6"/>
      <c r="J276" s="6"/>
      <c r="K276" s="6"/>
      <c r="L276" s="6"/>
      <c r="M276" s="6"/>
      <c r="N276" s="6"/>
      <c r="O276" s="6"/>
      <c r="P276" s="6"/>
      <c r="Q276" s="6"/>
      <c r="R276" s="6"/>
      <c r="S276" s="4"/>
    </row>
    <row r="277" spans="3:19" x14ac:dyDescent="0.25">
      <c r="C277" s="3"/>
      <c r="D277" s="6"/>
      <c r="E277" s="6"/>
      <c r="F277" s="6"/>
      <c r="G277" s="6"/>
      <c r="H277" s="6"/>
      <c r="I277" s="6"/>
      <c r="J277" s="6"/>
      <c r="K277" s="6"/>
      <c r="L277" s="6"/>
      <c r="M277" s="6"/>
      <c r="N277" s="6"/>
      <c r="O277" s="6"/>
      <c r="P277" s="6"/>
      <c r="Q277" s="6"/>
      <c r="R277" s="6"/>
      <c r="S277" s="4"/>
    </row>
    <row r="278" spans="3:19" x14ac:dyDescent="0.25">
      <c r="C278" s="3"/>
      <c r="D278" s="6"/>
      <c r="E278" s="6"/>
      <c r="F278" s="6"/>
      <c r="G278" s="6"/>
      <c r="H278" s="6"/>
      <c r="I278" s="6"/>
      <c r="J278" s="6"/>
      <c r="K278" s="6"/>
      <c r="L278" s="6"/>
      <c r="M278" s="6"/>
      <c r="N278" s="6"/>
      <c r="O278" s="6"/>
      <c r="P278" s="6"/>
      <c r="Q278" s="6"/>
      <c r="R278" s="6"/>
      <c r="S278" s="4"/>
    </row>
    <row r="279" spans="3:19" x14ac:dyDescent="0.25">
      <c r="C279" s="3"/>
      <c r="D279" s="6"/>
      <c r="E279" s="6"/>
      <c r="F279" s="6"/>
      <c r="G279" s="6"/>
      <c r="H279" s="6"/>
      <c r="I279" s="6"/>
      <c r="J279" s="6"/>
      <c r="K279" s="6"/>
      <c r="L279" s="6"/>
      <c r="M279" s="6"/>
      <c r="N279" s="6"/>
      <c r="O279" s="6"/>
      <c r="P279" s="6"/>
      <c r="Q279" s="6"/>
      <c r="R279" s="6"/>
      <c r="S279" s="4"/>
    </row>
    <row r="280" spans="3:19" x14ac:dyDescent="0.25">
      <c r="C280" s="3"/>
      <c r="D280" s="6"/>
      <c r="E280" s="6"/>
      <c r="F280" s="6"/>
      <c r="G280" s="6"/>
      <c r="H280" s="6"/>
      <c r="I280" s="6"/>
      <c r="J280" s="6"/>
      <c r="K280" s="6"/>
      <c r="L280" s="6"/>
      <c r="M280" s="6"/>
      <c r="N280" s="6"/>
      <c r="O280" s="6"/>
      <c r="P280" s="6"/>
      <c r="Q280" s="6"/>
      <c r="R280" s="6"/>
      <c r="S280" s="4"/>
    </row>
    <row r="281" spans="3:19" x14ac:dyDescent="0.25">
      <c r="C281" s="3"/>
      <c r="D281" s="6"/>
      <c r="E281" s="6"/>
      <c r="F281" s="6"/>
      <c r="G281" s="6"/>
      <c r="H281" s="6"/>
      <c r="I281" s="6"/>
      <c r="J281" s="6"/>
      <c r="K281" s="6"/>
      <c r="L281" s="6"/>
      <c r="M281" s="6"/>
      <c r="N281" s="6"/>
      <c r="O281" s="6"/>
      <c r="P281" s="6"/>
      <c r="Q281" s="6"/>
      <c r="R281" s="6"/>
      <c r="S281" s="4"/>
    </row>
    <row r="282" spans="3:19" x14ac:dyDescent="0.25">
      <c r="C282" s="3"/>
      <c r="D282" s="6"/>
      <c r="E282" s="6"/>
      <c r="F282" s="6"/>
      <c r="G282" s="6"/>
      <c r="H282" s="6"/>
      <c r="I282" s="6"/>
      <c r="J282" s="6"/>
      <c r="K282" s="6"/>
      <c r="L282" s="6"/>
      <c r="M282" s="6"/>
      <c r="N282" s="6"/>
      <c r="O282" s="6"/>
      <c r="P282" s="6"/>
      <c r="Q282" s="6"/>
      <c r="R282" s="6"/>
      <c r="S282" s="4"/>
    </row>
    <row r="283" spans="3:19" x14ac:dyDescent="0.25">
      <c r="C283" s="3"/>
      <c r="D283" s="6"/>
      <c r="E283" s="6"/>
      <c r="F283" s="6"/>
      <c r="G283" s="6"/>
      <c r="H283" s="6"/>
      <c r="I283" s="6"/>
      <c r="J283" s="6"/>
      <c r="K283" s="6"/>
      <c r="L283" s="6"/>
      <c r="M283" s="6"/>
      <c r="N283" s="6"/>
      <c r="O283" s="6"/>
      <c r="P283" s="6"/>
      <c r="Q283" s="6"/>
      <c r="R283" s="6"/>
      <c r="S283" s="4"/>
    </row>
    <row r="284" spans="3:19" x14ac:dyDescent="0.25">
      <c r="C284" s="3"/>
      <c r="D284" s="6"/>
      <c r="E284" s="6"/>
      <c r="F284" s="6"/>
      <c r="G284" s="6"/>
      <c r="H284" s="6"/>
      <c r="I284" s="6"/>
      <c r="J284" s="6"/>
      <c r="K284" s="6"/>
      <c r="L284" s="6"/>
      <c r="M284" s="6"/>
      <c r="N284" s="6"/>
      <c r="O284" s="6"/>
      <c r="P284" s="6"/>
      <c r="Q284" s="6"/>
      <c r="R284" s="6"/>
      <c r="S284" s="4"/>
    </row>
    <row r="285" spans="3:19" x14ac:dyDescent="0.25">
      <c r="C285" s="3"/>
      <c r="D285" s="6"/>
      <c r="E285" s="6"/>
      <c r="F285" s="6"/>
      <c r="G285" s="6"/>
      <c r="H285" s="6"/>
      <c r="I285" s="6"/>
      <c r="J285" s="6"/>
      <c r="K285" s="6"/>
      <c r="L285" s="6"/>
      <c r="M285" s="6"/>
      <c r="N285" s="6"/>
      <c r="O285" s="6"/>
      <c r="P285" s="6"/>
      <c r="Q285" s="6"/>
      <c r="R285" s="6"/>
      <c r="S285" s="4"/>
    </row>
    <row r="286" spans="3:19" x14ac:dyDescent="0.25">
      <c r="C286" s="3"/>
      <c r="D286" s="6"/>
      <c r="E286" s="6"/>
      <c r="F286" s="6"/>
      <c r="G286" s="6"/>
      <c r="H286" s="6"/>
      <c r="I286" s="6"/>
      <c r="J286" s="6"/>
      <c r="K286" s="6"/>
      <c r="L286" s="6"/>
      <c r="M286" s="6"/>
      <c r="N286" s="6"/>
      <c r="O286" s="6"/>
      <c r="P286" s="6"/>
      <c r="Q286" s="6"/>
      <c r="R286" s="6"/>
      <c r="S286" s="4"/>
    </row>
    <row r="287" spans="3:19" x14ac:dyDescent="0.25">
      <c r="C287" s="3"/>
      <c r="D287" s="6"/>
      <c r="E287" s="6"/>
      <c r="F287" s="6"/>
      <c r="G287" s="6"/>
      <c r="H287" s="6"/>
      <c r="I287" s="6"/>
      <c r="J287" s="6"/>
      <c r="K287" s="6"/>
      <c r="L287" s="6"/>
      <c r="M287" s="6"/>
      <c r="N287" s="6"/>
      <c r="O287" s="6"/>
      <c r="P287" s="6"/>
      <c r="Q287" s="6"/>
      <c r="R287" s="6"/>
      <c r="S287" s="4"/>
    </row>
    <row r="288" spans="3:19" x14ac:dyDescent="0.25">
      <c r="C288" s="3"/>
      <c r="D288" s="6"/>
      <c r="E288" s="6"/>
      <c r="F288" s="6"/>
      <c r="G288" s="6"/>
      <c r="H288" s="6"/>
      <c r="I288" s="6"/>
      <c r="J288" s="6"/>
      <c r="K288" s="6"/>
      <c r="L288" s="6"/>
      <c r="M288" s="6"/>
      <c r="N288" s="6"/>
      <c r="O288" s="6"/>
      <c r="P288" s="6"/>
      <c r="Q288" s="6"/>
      <c r="R288" s="6"/>
      <c r="S288" s="4"/>
    </row>
    <row r="289" spans="3:19" x14ac:dyDescent="0.25">
      <c r="C289" s="3"/>
      <c r="D289" s="6"/>
      <c r="E289" s="6"/>
      <c r="F289" s="6"/>
      <c r="G289" s="6"/>
      <c r="H289" s="6"/>
      <c r="I289" s="6"/>
      <c r="J289" s="6"/>
      <c r="K289" s="6"/>
      <c r="L289" s="6"/>
      <c r="M289" s="6"/>
      <c r="N289" s="6"/>
      <c r="O289" s="6"/>
      <c r="P289" s="6"/>
      <c r="Q289" s="6"/>
      <c r="R289" s="6"/>
      <c r="S289" s="4"/>
    </row>
    <row r="290" spans="3:19" x14ac:dyDescent="0.25">
      <c r="C290" s="3"/>
      <c r="D290" s="6"/>
      <c r="E290" s="6"/>
      <c r="F290" s="6"/>
      <c r="G290" s="6"/>
      <c r="H290" s="6"/>
      <c r="I290" s="6"/>
      <c r="J290" s="6"/>
      <c r="K290" s="6"/>
      <c r="L290" s="6"/>
      <c r="M290" s="6"/>
      <c r="N290" s="6"/>
      <c r="O290" s="6"/>
      <c r="P290" s="6"/>
      <c r="Q290" s="6"/>
      <c r="R290" s="6"/>
      <c r="S290" s="4"/>
    </row>
    <row r="291" spans="3:19" x14ac:dyDescent="0.25">
      <c r="C291" s="3"/>
      <c r="D291" s="6"/>
      <c r="E291" s="6"/>
      <c r="F291" s="6"/>
      <c r="G291" s="6"/>
      <c r="H291" s="6"/>
      <c r="I291" s="6"/>
      <c r="J291" s="6"/>
      <c r="K291" s="6"/>
      <c r="L291" s="6"/>
      <c r="M291" s="6"/>
      <c r="N291" s="6"/>
      <c r="O291" s="6"/>
      <c r="P291" s="6"/>
      <c r="Q291" s="6"/>
      <c r="R291" s="6"/>
      <c r="S291" s="4"/>
    </row>
    <row r="292" spans="3:19" x14ac:dyDescent="0.25">
      <c r="C292" s="3"/>
      <c r="D292" s="6"/>
      <c r="E292" s="6"/>
      <c r="F292" s="6"/>
      <c r="G292" s="6"/>
      <c r="H292" s="6"/>
      <c r="I292" s="6"/>
      <c r="J292" s="6"/>
      <c r="K292" s="6"/>
      <c r="L292" s="6"/>
      <c r="M292" s="6"/>
      <c r="N292" s="6"/>
      <c r="O292" s="6"/>
      <c r="P292" s="6"/>
      <c r="Q292" s="6"/>
      <c r="R292" s="6"/>
      <c r="S292" s="4"/>
    </row>
    <row r="293" spans="3:19" x14ac:dyDescent="0.25">
      <c r="C293" s="3"/>
      <c r="D293" s="6"/>
      <c r="E293" s="6"/>
      <c r="F293" s="6"/>
      <c r="G293" s="6"/>
      <c r="H293" s="6"/>
      <c r="I293" s="6"/>
      <c r="J293" s="6"/>
      <c r="K293" s="6"/>
      <c r="L293" s="6"/>
      <c r="M293" s="6"/>
      <c r="N293" s="6"/>
      <c r="O293" s="6"/>
      <c r="P293" s="6"/>
      <c r="Q293" s="6"/>
      <c r="R293" s="6"/>
      <c r="S293" s="4"/>
    </row>
    <row r="294" spans="3:19" x14ac:dyDescent="0.25">
      <c r="C294" s="3"/>
      <c r="D294" s="6"/>
      <c r="E294" s="6"/>
      <c r="F294" s="6"/>
      <c r="G294" s="6"/>
      <c r="H294" s="6"/>
      <c r="I294" s="6"/>
      <c r="J294" s="6"/>
      <c r="K294" s="6"/>
      <c r="L294" s="6"/>
      <c r="M294" s="6"/>
      <c r="N294" s="6"/>
      <c r="O294" s="6"/>
      <c r="P294" s="6"/>
      <c r="Q294" s="6"/>
      <c r="R294" s="6"/>
      <c r="S294" s="4"/>
    </row>
    <row r="295" spans="3:19" x14ac:dyDescent="0.25">
      <c r="C295" s="3"/>
      <c r="D295" s="6"/>
      <c r="E295" s="6"/>
      <c r="F295" s="6"/>
      <c r="G295" s="6"/>
      <c r="H295" s="6"/>
      <c r="I295" s="6"/>
      <c r="J295" s="6"/>
      <c r="K295" s="6"/>
      <c r="L295" s="6"/>
      <c r="M295" s="6"/>
      <c r="N295" s="6"/>
      <c r="O295" s="6"/>
      <c r="P295" s="6"/>
      <c r="Q295" s="6"/>
      <c r="R295" s="6"/>
      <c r="S295" s="4"/>
    </row>
    <row r="296" spans="3:19" x14ac:dyDescent="0.25">
      <c r="C296" s="3"/>
      <c r="D296" s="6"/>
      <c r="E296" s="6"/>
      <c r="F296" s="6"/>
      <c r="G296" s="6"/>
      <c r="H296" s="6"/>
      <c r="I296" s="6"/>
      <c r="J296" s="6"/>
      <c r="K296" s="6"/>
      <c r="L296" s="6"/>
      <c r="M296" s="6"/>
      <c r="N296" s="6"/>
      <c r="O296" s="6"/>
      <c r="P296" s="6"/>
      <c r="Q296" s="6"/>
      <c r="R296" s="6"/>
      <c r="S296" s="4"/>
    </row>
    <row r="297" spans="3:19" x14ac:dyDescent="0.25">
      <c r="C297" s="3"/>
      <c r="D297" s="6"/>
      <c r="E297" s="6"/>
      <c r="F297" s="6"/>
      <c r="G297" s="6"/>
      <c r="H297" s="6"/>
      <c r="I297" s="6"/>
      <c r="J297" s="6"/>
      <c r="K297" s="6"/>
      <c r="L297" s="6"/>
      <c r="M297" s="6"/>
      <c r="N297" s="6"/>
      <c r="O297" s="6"/>
      <c r="P297" s="6"/>
      <c r="Q297" s="6"/>
      <c r="R297" s="6"/>
      <c r="S297" s="4"/>
    </row>
    <row r="298" spans="3:19" x14ac:dyDescent="0.25">
      <c r="C298" s="3"/>
      <c r="D298" s="6"/>
      <c r="E298" s="6"/>
      <c r="F298" s="6"/>
      <c r="G298" s="6"/>
      <c r="H298" s="6"/>
      <c r="I298" s="6"/>
      <c r="J298" s="6"/>
      <c r="K298" s="6"/>
      <c r="L298" s="6"/>
      <c r="M298" s="6"/>
      <c r="N298" s="6"/>
      <c r="O298" s="6"/>
      <c r="P298" s="6"/>
      <c r="Q298" s="6"/>
      <c r="R298" s="6"/>
      <c r="S298" s="4"/>
    </row>
    <row r="299" spans="3:19" x14ac:dyDescent="0.25">
      <c r="C299" s="3"/>
      <c r="D299" s="6"/>
      <c r="E299" s="6"/>
      <c r="F299" s="6"/>
      <c r="G299" s="6"/>
      <c r="H299" s="6"/>
      <c r="I299" s="6"/>
      <c r="J299" s="6"/>
      <c r="K299" s="6"/>
      <c r="L299" s="6"/>
      <c r="M299" s="6"/>
      <c r="N299" s="6"/>
      <c r="O299" s="6"/>
      <c r="P299" s="6"/>
      <c r="Q299" s="6"/>
      <c r="R299" s="6"/>
      <c r="S299" s="4"/>
    </row>
    <row r="300" spans="3:19" x14ac:dyDescent="0.25">
      <c r="C300" s="3"/>
      <c r="D300" s="6"/>
      <c r="E300" s="6"/>
      <c r="F300" s="6"/>
      <c r="G300" s="6"/>
      <c r="H300" s="6"/>
      <c r="I300" s="6"/>
      <c r="J300" s="6"/>
      <c r="K300" s="6"/>
      <c r="L300" s="6"/>
      <c r="M300" s="6"/>
      <c r="N300" s="6"/>
      <c r="O300" s="6"/>
      <c r="P300" s="6"/>
      <c r="Q300" s="6"/>
      <c r="R300" s="6"/>
      <c r="S300" s="4"/>
    </row>
    <row r="301" spans="3:19" x14ac:dyDescent="0.25">
      <c r="C301" s="3"/>
      <c r="D301" s="6"/>
      <c r="E301" s="6"/>
      <c r="F301" s="6"/>
      <c r="G301" s="6"/>
      <c r="H301" s="6"/>
      <c r="I301" s="6"/>
      <c r="J301" s="6"/>
      <c r="K301" s="6"/>
      <c r="L301" s="6"/>
      <c r="M301" s="6"/>
      <c r="N301" s="6"/>
      <c r="O301" s="6"/>
      <c r="P301" s="6"/>
      <c r="Q301" s="6"/>
      <c r="R301" s="6"/>
      <c r="S301" s="4"/>
    </row>
    <row r="302" spans="3:19" x14ac:dyDescent="0.25">
      <c r="C302" s="3"/>
      <c r="D302" s="6"/>
      <c r="E302" s="6"/>
      <c r="F302" s="6"/>
      <c r="G302" s="6"/>
      <c r="H302" s="6"/>
      <c r="I302" s="6"/>
      <c r="J302" s="6"/>
      <c r="K302" s="6"/>
      <c r="L302" s="6"/>
      <c r="M302" s="6"/>
      <c r="N302" s="6"/>
      <c r="O302" s="6"/>
      <c r="P302" s="6"/>
      <c r="Q302" s="6"/>
      <c r="R302" s="6"/>
      <c r="S302" s="4"/>
    </row>
    <row r="303" spans="3:19" x14ac:dyDescent="0.25">
      <c r="C303" s="3"/>
      <c r="D303" s="6"/>
      <c r="E303" s="6"/>
      <c r="F303" s="6"/>
      <c r="G303" s="6"/>
      <c r="H303" s="6"/>
      <c r="I303" s="6"/>
      <c r="J303" s="6"/>
      <c r="K303" s="6"/>
      <c r="L303" s="6"/>
      <c r="M303" s="6"/>
      <c r="N303" s="6"/>
      <c r="O303" s="6"/>
      <c r="P303" s="6"/>
      <c r="Q303" s="6"/>
      <c r="R303" s="6"/>
      <c r="S303" s="4"/>
    </row>
    <row r="304" spans="3:19" x14ac:dyDescent="0.25">
      <c r="C304" s="3"/>
      <c r="D304" s="6"/>
      <c r="E304" s="6"/>
      <c r="F304" s="6"/>
      <c r="G304" s="6"/>
      <c r="H304" s="6"/>
      <c r="I304" s="6"/>
      <c r="J304" s="6"/>
      <c r="K304" s="6"/>
      <c r="L304" s="6"/>
      <c r="M304" s="6"/>
      <c r="N304" s="6"/>
      <c r="O304" s="6"/>
      <c r="P304" s="6"/>
      <c r="Q304" s="6"/>
      <c r="R304" s="6"/>
      <c r="S304" s="4"/>
    </row>
    <row r="305" spans="3:19" x14ac:dyDescent="0.25">
      <c r="C305" s="3"/>
      <c r="D305" s="6"/>
      <c r="E305" s="6"/>
      <c r="F305" s="6"/>
      <c r="G305" s="6"/>
      <c r="H305" s="6"/>
      <c r="I305" s="6"/>
      <c r="J305" s="6"/>
      <c r="K305" s="6"/>
      <c r="L305" s="6"/>
      <c r="M305" s="6"/>
      <c r="N305" s="6"/>
      <c r="O305" s="6"/>
      <c r="P305" s="6"/>
      <c r="Q305" s="6"/>
      <c r="R305" s="6"/>
      <c r="S305" s="4"/>
    </row>
    <row r="306" spans="3:19" x14ac:dyDescent="0.25">
      <c r="C306" s="3"/>
      <c r="D306" s="6"/>
      <c r="E306" s="6"/>
      <c r="F306" s="6"/>
      <c r="G306" s="6"/>
      <c r="H306" s="6"/>
      <c r="I306" s="6"/>
      <c r="J306" s="6"/>
      <c r="K306" s="6"/>
      <c r="L306" s="6"/>
      <c r="M306" s="6"/>
      <c r="N306" s="6"/>
      <c r="O306" s="6"/>
      <c r="P306" s="6"/>
      <c r="Q306" s="6"/>
      <c r="R306" s="6"/>
      <c r="S306" s="4"/>
    </row>
    <row r="307" spans="3:19" x14ac:dyDescent="0.25">
      <c r="C307" s="3"/>
      <c r="D307" s="6"/>
      <c r="E307" s="6"/>
      <c r="F307" s="6"/>
      <c r="G307" s="6"/>
      <c r="H307" s="6"/>
      <c r="I307" s="6"/>
      <c r="J307" s="6"/>
      <c r="K307" s="6"/>
      <c r="L307" s="6"/>
      <c r="M307" s="6"/>
      <c r="N307" s="6"/>
      <c r="O307" s="6"/>
      <c r="P307" s="6"/>
      <c r="Q307" s="6"/>
      <c r="R307" s="6"/>
      <c r="S307" s="4"/>
    </row>
    <row r="308" spans="3:19" x14ac:dyDescent="0.25">
      <c r="C308" s="3"/>
      <c r="D308" s="6"/>
      <c r="E308" s="6"/>
      <c r="F308" s="6"/>
      <c r="G308" s="6"/>
      <c r="H308" s="6"/>
      <c r="I308" s="6"/>
      <c r="J308" s="6"/>
      <c r="K308" s="6"/>
      <c r="L308" s="6"/>
      <c r="M308" s="6"/>
      <c r="N308" s="6"/>
      <c r="O308" s="6"/>
      <c r="P308" s="6"/>
      <c r="Q308" s="6"/>
      <c r="R308" s="6"/>
      <c r="S308" s="4"/>
    </row>
    <row r="309" spans="3:19" x14ac:dyDescent="0.25">
      <c r="C309" s="3"/>
      <c r="D309" s="6"/>
      <c r="E309" s="6"/>
      <c r="F309" s="6"/>
      <c r="G309" s="6"/>
      <c r="H309" s="6"/>
      <c r="I309" s="6"/>
      <c r="J309" s="6"/>
      <c r="K309" s="6"/>
      <c r="L309" s="6"/>
      <c r="M309" s="6"/>
      <c r="N309" s="6"/>
      <c r="O309" s="6"/>
      <c r="P309" s="6"/>
      <c r="Q309" s="6"/>
      <c r="R309" s="6"/>
      <c r="S309" s="4"/>
    </row>
    <row r="310" spans="3:19" x14ac:dyDescent="0.25">
      <c r="C310" s="3"/>
      <c r="D310" s="6"/>
      <c r="E310" s="6"/>
      <c r="F310" s="6"/>
      <c r="G310" s="6"/>
      <c r="H310" s="6"/>
      <c r="I310" s="6"/>
      <c r="J310" s="6"/>
      <c r="K310" s="6"/>
      <c r="L310" s="6"/>
      <c r="M310" s="6"/>
      <c r="N310" s="6"/>
      <c r="O310" s="6"/>
      <c r="P310" s="6"/>
      <c r="Q310" s="6"/>
      <c r="R310" s="6"/>
      <c r="S310" s="4"/>
    </row>
    <row r="311" spans="3:19" x14ac:dyDescent="0.25">
      <c r="C311" s="3"/>
      <c r="D311" s="6"/>
      <c r="E311" s="6"/>
      <c r="F311" s="6"/>
      <c r="G311" s="6"/>
      <c r="H311" s="6"/>
      <c r="I311" s="6"/>
      <c r="J311" s="6"/>
      <c r="K311" s="6"/>
      <c r="L311" s="6"/>
      <c r="M311" s="6"/>
      <c r="N311" s="6"/>
      <c r="O311" s="6"/>
      <c r="P311" s="6"/>
      <c r="Q311" s="6"/>
      <c r="R311" s="6"/>
      <c r="S311" s="4"/>
    </row>
    <row r="312" spans="3:19" x14ac:dyDescent="0.25">
      <c r="C312" s="3"/>
      <c r="D312" s="6"/>
      <c r="E312" s="6"/>
      <c r="F312" s="6"/>
      <c r="G312" s="6"/>
      <c r="H312" s="6"/>
      <c r="I312" s="6"/>
      <c r="J312" s="6"/>
      <c r="K312" s="6"/>
      <c r="L312" s="6"/>
      <c r="M312" s="6"/>
      <c r="N312" s="6"/>
      <c r="O312" s="6"/>
      <c r="P312" s="6"/>
      <c r="Q312" s="6"/>
      <c r="R312" s="6"/>
      <c r="S312" s="4"/>
    </row>
    <row r="313" spans="3:19" x14ac:dyDescent="0.25">
      <c r="C313" s="3"/>
      <c r="D313" s="6"/>
      <c r="E313" s="6"/>
      <c r="F313" s="6"/>
      <c r="G313" s="6"/>
      <c r="H313" s="6"/>
      <c r="I313" s="6"/>
      <c r="J313" s="6"/>
      <c r="K313" s="6"/>
      <c r="L313" s="6"/>
      <c r="M313" s="6"/>
      <c r="N313" s="6"/>
      <c r="O313" s="6"/>
      <c r="P313" s="6"/>
      <c r="Q313" s="6"/>
      <c r="R313" s="6"/>
      <c r="S313" s="4"/>
    </row>
    <row r="314" spans="3:19" x14ac:dyDescent="0.25">
      <c r="C314" s="3"/>
      <c r="D314" s="6"/>
      <c r="E314" s="6"/>
      <c r="F314" s="6"/>
      <c r="G314" s="6"/>
      <c r="H314" s="6"/>
      <c r="I314" s="6"/>
      <c r="J314" s="6"/>
      <c r="K314" s="6"/>
      <c r="L314" s="6"/>
      <c r="M314" s="6"/>
      <c r="N314" s="6"/>
      <c r="O314" s="6"/>
      <c r="P314" s="6"/>
      <c r="Q314" s="6"/>
      <c r="R314" s="6"/>
      <c r="S314" s="4"/>
    </row>
    <row r="315" spans="3:19" x14ac:dyDescent="0.25">
      <c r="C315" s="3"/>
      <c r="D315" s="6"/>
      <c r="E315" s="6"/>
      <c r="F315" s="6"/>
      <c r="G315" s="6"/>
      <c r="H315" s="6"/>
      <c r="I315" s="6"/>
      <c r="J315" s="6"/>
      <c r="K315" s="6"/>
      <c r="L315" s="6"/>
      <c r="M315" s="6"/>
      <c r="N315" s="6"/>
      <c r="O315" s="6"/>
      <c r="P315" s="6"/>
      <c r="Q315" s="6"/>
      <c r="R315" s="6"/>
      <c r="S315" s="4"/>
    </row>
    <row r="316" spans="3:19" x14ac:dyDescent="0.25">
      <c r="C316" s="3"/>
      <c r="D316" s="6"/>
      <c r="E316" s="6"/>
      <c r="F316" s="6"/>
      <c r="G316" s="6"/>
      <c r="H316" s="6"/>
      <c r="I316" s="6"/>
      <c r="J316" s="6"/>
      <c r="K316" s="6"/>
      <c r="L316" s="6"/>
      <c r="M316" s="6"/>
      <c r="N316" s="6"/>
      <c r="O316" s="6"/>
      <c r="P316" s="6"/>
      <c r="Q316" s="6"/>
      <c r="R316" s="6"/>
      <c r="S316" s="4"/>
    </row>
    <row r="317" spans="3:19" x14ac:dyDescent="0.25">
      <c r="C317" s="3"/>
      <c r="D317" s="6"/>
      <c r="E317" s="6"/>
      <c r="F317" s="6"/>
      <c r="G317" s="6"/>
      <c r="H317" s="6"/>
      <c r="I317" s="6"/>
      <c r="J317" s="6"/>
      <c r="K317" s="6"/>
      <c r="L317" s="6"/>
      <c r="M317" s="6"/>
      <c r="N317" s="6"/>
      <c r="O317" s="6"/>
      <c r="P317" s="6"/>
      <c r="Q317" s="6"/>
      <c r="R317" s="6"/>
      <c r="S317" s="4"/>
    </row>
    <row r="318" spans="3:19" x14ac:dyDescent="0.25">
      <c r="C318" s="3"/>
      <c r="D318" s="6"/>
      <c r="E318" s="6"/>
      <c r="F318" s="6"/>
      <c r="G318" s="6"/>
      <c r="H318" s="6"/>
      <c r="I318" s="6"/>
      <c r="J318" s="6"/>
      <c r="K318" s="6"/>
      <c r="L318" s="6"/>
      <c r="M318" s="6"/>
      <c r="N318" s="6"/>
      <c r="O318" s="6"/>
      <c r="P318" s="6"/>
      <c r="Q318" s="6"/>
      <c r="R318" s="6"/>
      <c r="S318" s="4"/>
    </row>
    <row r="319" spans="3:19" x14ac:dyDescent="0.25">
      <c r="C319" s="3"/>
      <c r="D319" s="6"/>
      <c r="E319" s="6"/>
      <c r="F319" s="6"/>
      <c r="G319" s="6"/>
      <c r="H319" s="6"/>
      <c r="I319" s="6"/>
      <c r="J319" s="6"/>
      <c r="K319" s="6"/>
      <c r="L319" s="6"/>
      <c r="M319" s="6"/>
      <c r="N319" s="6"/>
      <c r="O319" s="6"/>
      <c r="P319" s="6"/>
      <c r="Q319" s="6"/>
      <c r="R319" s="6"/>
      <c r="S319" s="4"/>
    </row>
    <row r="320" spans="3:19" x14ac:dyDescent="0.25">
      <c r="C320" s="3"/>
      <c r="D320" s="6"/>
      <c r="E320" s="6"/>
      <c r="F320" s="6"/>
      <c r="G320" s="6"/>
      <c r="H320" s="6"/>
      <c r="I320" s="6"/>
      <c r="J320" s="6"/>
      <c r="K320" s="6"/>
      <c r="L320" s="6"/>
      <c r="M320" s="6"/>
      <c r="N320" s="6"/>
      <c r="O320" s="6"/>
      <c r="P320" s="6"/>
      <c r="Q320" s="6"/>
      <c r="R320" s="6"/>
      <c r="S320" s="4"/>
    </row>
    <row r="321" spans="3:19" x14ac:dyDescent="0.25">
      <c r="C321" s="3"/>
      <c r="D321" s="6"/>
      <c r="E321" s="6"/>
      <c r="F321" s="6"/>
      <c r="G321" s="6"/>
      <c r="H321" s="6"/>
      <c r="I321" s="6"/>
      <c r="J321" s="6"/>
      <c r="K321" s="6"/>
      <c r="L321" s="6"/>
      <c r="M321" s="6"/>
      <c r="N321" s="6"/>
      <c r="O321" s="6"/>
      <c r="P321" s="6"/>
      <c r="Q321" s="6"/>
      <c r="R321" s="6"/>
      <c r="S321" s="4"/>
    </row>
    <row r="322" spans="3:19" x14ac:dyDescent="0.25">
      <c r="C322" s="3"/>
      <c r="D322" s="6"/>
      <c r="E322" s="6"/>
      <c r="F322" s="6"/>
      <c r="G322" s="6"/>
      <c r="H322" s="6"/>
      <c r="I322" s="6"/>
      <c r="J322" s="6"/>
      <c r="K322" s="6"/>
      <c r="L322" s="6"/>
      <c r="M322" s="6"/>
      <c r="N322" s="6"/>
      <c r="O322" s="6"/>
      <c r="P322" s="6"/>
      <c r="Q322" s="6"/>
      <c r="R322" s="6"/>
      <c r="S322" s="4"/>
    </row>
    <row r="323" spans="3:19" x14ac:dyDescent="0.25">
      <c r="C323" s="3"/>
      <c r="D323" s="6"/>
      <c r="E323" s="6"/>
      <c r="F323" s="6"/>
      <c r="G323" s="6"/>
      <c r="H323" s="6"/>
      <c r="I323" s="6"/>
      <c r="J323" s="6"/>
      <c r="K323" s="6"/>
      <c r="L323" s="6"/>
      <c r="M323" s="6"/>
      <c r="N323" s="6"/>
      <c r="O323" s="6"/>
      <c r="P323" s="6"/>
      <c r="Q323" s="6"/>
      <c r="R323" s="6"/>
      <c r="S323" s="4"/>
    </row>
    <row r="324" spans="3:19" x14ac:dyDescent="0.25">
      <c r="C324" s="3"/>
      <c r="D324" s="6"/>
      <c r="E324" s="6"/>
      <c r="F324" s="6"/>
      <c r="G324" s="6"/>
      <c r="H324" s="6"/>
      <c r="I324" s="6"/>
      <c r="J324" s="6"/>
      <c r="K324" s="6"/>
      <c r="L324" s="6"/>
      <c r="M324" s="6"/>
      <c r="N324" s="6"/>
      <c r="O324" s="6"/>
      <c r="P324" s="6"/>
      <c r="Q324" s="6"/>
      <c r="R324" s="6"/>
      <c r="S324" s="4"/>
    </row>
    <row r="325" spans="3:19" x14ac:dyDescent="0.25">
      <c r="C325" s="3"/>
      <c r="D325" s="6"/>
      <c r="E325" s="6"/>
      <c r="F325" s="6"/>
      <c r="G325" s="6"/>
      <c r="H325" s="6"/>
      <c r="I325" s="6"/>
      <c r="J325" s="6"/>
      <c r="K325" s="6"/>
      <c r="L325" s="6"/>
      <c r="M325" s="6"/>
      <c r="N325" s="6"/>
      <c r="O325" s="6"/>
      <c r="P325" s="6"/>
      <c r="Q325" s="6"/>
      <c r="R325" s="6"/>
      <c r="S325" s="4"/>
    </row>
    <row r="326" spans="3:19" x14ac:dyDescent="0.25">
      <c r="C326" s="3"/>
      <c r="D326" s="6"/>
      <c r="E326" s="6"/>
      <c r="F326" s="6"/>
      <c r="G326" s="6"/>
      <c r="H326" s="6"/>
      <c r="I326" s="6"/>
      <c r="J326" s="6"/>
      <c r="K326" s="6"/>
      <c r="L326" s="6"/>
      <c r="M326" s="6"/>
      <c r="N326" s="6"/>
      <c r="O326" s="6"/>
      <c r="P326" s="6"/>
      <c r="Q326" s="6"/>
      <c r="R326" s="6"/>
      <c r="S326" s="4"/>
    </row>
    <row r="327" spans="3:19" x14ac:dyDescent="0.25">
      <c r="C327" s="3"/>
      <c r="D327" s="6"/>
      <c r="E327" s="6"/>
      <c r="F327" s="6"/>
      <c r="G327" s="6"/>
      <c r="H327" s="6"/>
      <c r="I327" s="6"/>
      <c r="J327" s="6"/>
      <c r="K327" s="6"/>
      <c r="L327" s="6"/>
      <c r="M327" s="6"/>
      <c r="N327" s="6"/>
      <c r="O327" s="6"/>
      <c r="P327" s="6"/>
      <c r="Q327" s="6"/>
      <c r="R327" s="6"/>
      <c r="S327" s="4"/>
    </row>
    <row r="328" spans="3:19" x14ac:dyDescent="0.25">
      <c r="C328" s="3"/>
      <c r="D328" s="6"/>
      <c r="E328" s="6"/>
      <c r="F328" s="6"/>
      <c r="G328" s="6"/>
      <c r="H328" s="6"/>
      <c r="I328" s="6"/>
      <c r="J328" s="6"/>
      <c r="K328" s="6"/>
      <c r="L328" s="6"/>
      <c r="M328" s="6"/>
      <c r="N328" s="6"/>
      <c r="O328" s="6"/>
      <c r="P328" s="6"/>
      <c r="Q328" s="6"/>
      <c r="R328" s="6"/>
      <c r="S328" s="4"/>
    </row>
    <row r="329" spans="3:19" x14ac:dyDescent="0.25">
      <c r="C329" s="3"/>
      <c r="D329" s="6"/>
      <c r="E329" s="6"/>
      <c r="F329" s="6"/>
      <c r="G329" s="6"/>
      <c r="H329" s="6"/>
      <c r="I329" s="6"/>
      <c r="J329" s="6"/>
      <c r="K329" s="6"/>
      <c r="L329" s="6"/>
      <c r="M329" s="6"/>
      <c r="N329" s="6"/>
      <c r="O329" s="6"/>
      <c r="P329" s="6"/>
      <c r="Q329" s="6"/>
      <c r="R329" s="6"/>
      <c r="S329" s="4"/>
    </row>
    <row r="330" spans="3:19" x14ac:dyDescent="0.25">
      <c r="C330" s="3"/>
      <c r="D330" s="6"/>
      <c r="E330" s="6"/>
      <c r="F330" s="6"/>
      <c r="G330" s="6"/>
      <c r="H330" s="6"/>
      <c r="I330" s="6"/>
      <c r="J330" s="6"/>
      <c r="K330" s="6"/>
      <c r="L330" s="6"/>
      <c r="M330" s="6"/>
      <c r="N330" s="6"/>
      <c r="O330" s="6"/>
      <c r="P330" s="6"/>
      <c r="Q330" s="6"/>
      <c r="R330" s="6"/>
      <c r="S330" s="4"/>
    </row>
    <row r="331" spans="3:19" x14ac:dyDescent="0.25">
      <c r="C331" s="3"/>
      <c r="D331" s="6"/>
      <c r="E331" s="6"/>
      <c r="F331" s="6"/>
      <c r="G331" s="6"/>
      <c r="H331" s="6"/>
      <c r="I331" s="6"/>
      <c r="J331" s="6"/>
      <c r="K331" s="6"/>
      <c r="L331" s="6"/>
      <c r="M331" s="6"/>
      <c r="N331" s="6"/>
      <c r="O331" s="6"/>
      <c r="P331" s="6"/>
      <c r="Q331" s="6"/>
      <c r="R331" s="6"/>
      <c r="S331" s="4"/>
    </row>
    <row r="332" spans="3:19" x14ac:dyDescent="0.25">
      <c r="C332" s="3"/>
      <c r="D332" s="6"/>
      <c r="E332" s="6"/>
      <c r="F332" s="6"/>
      <c r="G332" s="6"/>
      <c r="H332" s="6"/>
      <c r="I332" s="6"/>
      <c r="J332" s="6"/>
      <c r="K332" s="6"/>
      <c r="L332" s="6"/>
      <c r="M332" s="6"/>
      <c r="N332" s="6"/>
      <c r="O332" s="6"/>
      <c r="P332" s="6"/>
      <c r="Q332" s="6"/>
      <c r="R332" s="6"/>
      <c r="S332" s="4"/>
    </row>
    <row r="333" spans="3:19" x14ac:dyDescent="0.25">
      <c r="C333" s="3"/>
      <c r="D333" s="6"/>
      <c r="E333" s="6"/>
      <c r="F333" s="6"/>
      <c r="G333" s="6"/>
      <c r="H333" s="6"/>
      <c r="I333" s="6"/>
      <c r="J333" s="6"/>
      <c r="K333" s="6"/>
      <c r="L333" s="6"/>
      <c r="M333" s="6"/>
      <c r="N333" s="6"/>
      <c r="O333" s="6"/>
      <c r="P333" s="6"/>
      <c r="Q333" s="6"/>
      <c r="R333" s="6"/>
      <c r="S333" s="4"/>
    </row>
    <row r="334" spans="3:19" x14ac:dyDescent="0.25">
      <c r="C334" s="3"/>
      <c r="D334" s="6"/>
      <c r="E334" s="6"/>
      <c r="F334" s="6"/>
      <c r="G334" s="6"/>
      <c r="H334" s="6"/>
      <c r="I334" s="6"/>
      <c r="J334" s="6"/>
      <c r="K334" s="6"/>
      <c r="L334" s="6"/>
      <c r="M334" s="6"/>
      <c r="N334" s="6"/>
      <c r="O334" s="6"/>
      <c r="P334" s="6"/>
      <c r="Q334" s="6"/>
      <c r="R334" s="6"/>
      <c r="S334" s="4"/>
    </row>
    <row r="335" spans="3:19" x14ac:dyDescent="0.25">
      <c r="C335" s="3"/>
      <c r="D335" s="6"/>
      <c r="E335" s="6"/>
      <c r="F335" s="6"/>
      <c r="G335" s="6"/>
      <c r="H335" s="6"/>
      <c r="I335" s="6"/>
      <c r="J335" s="6"/>
      <c r="K335" s="6"/>
      <c r="L335" s="6"/>
      <c r="M335" s="6"/>
      <c r="N335" s="6"/>
      <c r="O335" s="6"/>
      <c r="P335" s="6"/>
      <c r="Q335" s="6"/>
      <c r="R335" s="6"/>
      <c r="S335" s="4"/>
    </row>
    <row r="336" spans="3:19" x14ac:dyDescent="0.25">
      <c r="C336" s="3"/>
      <c r="D336" s="6"/>
      <c r="E336" s="6"/>
      <c r="F336" s="6"/>
      <c r="G336" s="6"/>
      <c r="H336" s="6"/>
      <c r="I336" s="6"/>
      <c r="J336" s="6"/>
      <c r="K336" s="6"/>
      <c r="L336" s="6"/>
      <c r="M336" s="6"/>
      <c r="N336" s="6"/>
      <c r="O336" s="6"/>
      <c r="P336" s="6"/>
      <c r="Q336" s="6"/>
      <c r="R336" s="6"/>
      <c r="S336" s="4"/>
    </row>
    <row r="337" spans="3:19" x14ac:dyDescent="0.25">
      <c r="C337" s="3"/>
      <c r="D337" s="6"/>
      <c r="E337" s="6"/>
      <c r="F337" s="6"/>
      <c r="G337" s="6"/>
      <c r="H337" s="6"/>
      <c r="I337" s="6"/>
      <c r="J337" s="6"/>
      <c r="K337" s="6"/>
      <c r="L337" s="6"/>
      <c r="M337" s="6"/>
      <c r="N337" s="6"/>
      <c r="O337" s="6"/>
      <c r="P337" s="6"/>
      <c r="Q337" s="6"/>
      <c r="R337" s="6"/>
      <c r="S337" s="4"/>
    </row>
    <row r="338" spans="3:19" x14ac:dyDescent="0.25">
      <c r="C338" s="3"/>
      <c r="D338" s="6"/>
      <c r="E338" s="6"/>
      <c r="F338" s="6"/>
      <c r="G338" s="6"/>
      <c r="H338" s="6"/>
      <c r="I338" s="6"/>
      <c r="J338" s="6"/>
      <c r="K338" s="6"/>
      <c r="L338" s="6"/>
      <c r="M338" s="6"/>
      <c r="N338" s="6"/>
      <c r="O338" s="6"/>
      <c r="P338" s="6"/>
      <c r="Q338" s="6"/>
      <c r="R338" s="6"/>
      <c r="S338" s="4"/>
    </row>
    <row r="339" spans="3:19" x14ac:dyDescent="0.25">
      <c r="C339" s="3"/>
      <c r="D339" s="6"/>
      <c r="E339" s="6"/>
      <c r="F339" s="6"/>
      <c r="G339" s="6"/>
      <c r="H339" s="6"/>
      <c r="I339" s="6"/>
      <c r="J339" s="6"/>
      <c r="K339" s="6"/>
      <c r="L339" s="6"/>
      <c r="M339" s="6"/>
      <c r="N339" s="6"/>
      <c r="O339" s="6"/>
      <c r="P339" s="6"/>
      <c r="Q339" s="6"/>
      <c r="R339" s="6"/>
      <c r="S339" s="4"/>
    </row>
    <row r="340" spans="3:19" x14ac:dyDescent="0.25">
      <c r="C340" s="3"/>
      <c r="D340" s="6"/>
      <c r="E340" s="6"/>
      <c r="F340" s="6"/>
      <c r="G340" s="6"/>
      <c r="H340" s="6"/>
      <c r="I340" s="6"/>
      <c r="J340" s="6"/>
      <c r="K340" s="6"/>
      <c r="L340" s="6"/>
      <c r="M340" s="6"/>
      <c r="N340" s="6"/>
      <c r="O340" s="6"/>
      <c r="P340" s="6"/>
      <c r="Q340" s="6"/>
      <c r="R340" s="6"/>
      <c r="S340" s="4"/>
    </row>
    <row r="341" spans="3:19" x14ac:dyDescent="0.25">
      <c r="C341" s="3"/>
      <c r="D341" s="6"/>
      <c r="E341" s="6"/>
      <c r="F341" s="6"/>
      <c r="G341" s="6"/>
      <c r="H341" s="6"/>
      <c r="I341" s="6"/>
      <c r="J341" s="6"/>
      <c r="K341" s="6"/>
      <c r="L341" s="6"/>
      <c r="M341" s="6"/>
      <c r="N341" s="6"/>
      <c r="O341" s="6"/>
      <c r="P341" s="6"/>
      <c r="Q341" s="6"/>
      <c r="R341" s="6"/>
      <c r="S341" s="4"/>
    </row>
    <row r="342" spans="3:19" x14ac:dyDescent="0.25">
      <c r="C342" s="3"/>
      <c r="D342" s="6"/>
      <c r="E342" s="6"/>
      <c r="F342" s="6"/>
      <c r="G342" s="6"/>
      <c r="H342" s="6"/>
      <c r="I342" s="6"/>
      <c r="J342" s="6"/>
      <c r="K342" s="6"/>
      <c r="L342" s="6"/>
      <c r="M342" s="6"/>
      <c r="N342" s="6"/>
      <c r="O342" s="6"/>
      <c r="P342" s="6"/>
      <c r="Q342" s="6"/>
      <c r="R342" s="6"/>
      <c r="S342" s="4"/>
    </row>
    <row r="343" spans="3:19" x14ac:dyDescent="0.25">
      <c r="C343" s="3"/>
      <c r="D343" s="6"/>
      <c r="E343" s="6"/>
      <c r="F343" s="6"/>
      <c r="G343" s="6"/>
      <c r="H343" s="6"/>
      <c r="I343" s="6"/>
      <c r="J343" s="6"/>
      <c r="K343" s="6"/>
      <c r="L343" s="6"/>
      <c r="M343" s="6"/>
      <c r="N343" s="6"/>
      <c r="O343" s="6"/>
      <c r="P343" s="6"/>
      <c r="Q343" s="6"/>
      <c r="R343" s="6"/>
      <c r="S343" s="4"/>
    </row>
    <row r="344" spans="3:19" x14ac:dyDescent="0.25">
      <c r="C344" s="3"/>
      <c r="D344" s="6"/>
      <c r="E344" s="6"/>
      <c r="F344" s="6"/>
      <c r="G344" s="6"/>
      <c r="H344" s="6"/>
      <c r="I344" s="6"/>
      <c r="J344" s="6"/>
      <c r="K344" s="6"/>
      <c r="L344" s="6"/>
      <c r="M344" s="6"/>
      <c r="N344" s="6"/>
      <c r="O344" s="6"/>
      <c r="P344" s="6"/>
      <c r="Q344" s="6"/>
      <c r="R344" s="6"/>
      <c r="S344" s="4"/>
    </row>
    <row r="345" spans="3:19" x14ac:dyDescent="0.25">
      <c r="C345" s="3"/>
      <c r="D345" s="6"/>
      <c r="E345" s="6"/>
      <c r="F345" s="6"/>
      <c r="G345" s="6"/>
      <c r="H345" s="6"/>
      <c r="I345" s="6"/>
      <c r="J345" s="6"/>
      <c r="K345" s="6"/>
      <c r="L345" s="6"/>
      <c r="M345" s="6"/>
      <c r="N345" s="6"/>
      <c r="O345" s="6"/>
      <c r="P345" s="6"/>
      <c r="Q345" s="6"/>
      <c r="R345" s="6"/>
      <c r="S345" s="4"/>
    </row>
    <row r="346" spans="3:19" x14ac:dyDescent="0.25">
      <c r="C346" s="3"/>
      <c r="D346" s="6"/>
      <c r="E346" s="6"/>
      <c r="F346" s="6"/>
      <c r="G346" s="6"/>
      <c r="H346" s="6"/>
      <c r="I346" s="6"/>
      <c r="J346" s="6"/>
      <c r="K346" s="6"/>
      <c r="L346" s="6"/>
      <c r="M346" s="6"/>
      <c r="N346" s="6"/>
      <c r="O346" s="6"/>
      <c r="P346" s="6"/>
      <c r="Q346" s="6"/>
      <c r="R346" s="6"/>
      <c r="S346" s="4"/>
    </row>
    <row r="347" spans="3:19" x14ac:dyDescent="0.25">
      <c r="C347" s="3"/>
      <c r="D347" s="6"/>
      <c r="E347" s="6"/>
      <c r="F347" s="6"/>
      <c r="G347" s="6"/>
      <c r="H347" s="6"/>
      <c r="I347" s="6"/>
      <c r="J347" s="6"/>
      <c r="K347" s="6"/>
      <c r="L347" s="6"/>
      <c r="M347" s="6"/>
      <c r="N347" s="6"/>
      <c r="O347" s="6"/>
      <c r="P347" s="6"/>
      <c r="Q347" s="6"/>
      <c r="R347" s="6"/>
      <c r="S347" s="4"/>
    </row>
    <row r="348" spans="3:19" x14ac:dyDescent="0.25">
      <c r="C348" s="3"/>
      <c r="D348" s="6"/>
      <c r="E348" s="6"/>
      <c r="F348" s="6"/>
      <c r="G348" s="6"/>
      <c r="H348" s="6"/>
      <c r="I348" s="6"/>
      <c r="J348" s="6"/>
      <c r="K348" s="6"/>
      <c r="L348" s="6"/>
      <c r="M348" s="6"/>
      <c r="N348" s="6"/>
      <c r="O348" s="6"/>
      <c r="P348" s="6"/>
      <c r="Q348" s="6"/>
      <c r="R348" s="6"/>
      <c r="S348" s="4"/>
    </row>
    <row r="349" spans="3:19" x14ac:dyDescent="0.25">
      <c r="C349" s="3"/>
      <c r="D349" s="6"/>
      <c r="E349" s="6"/>
      <c r="F349" s="6"/>
      <c r="G349" s="6"/>
      <c r="H349" s="6"/>
      <c r="I349" s="6"/>
      <c r="J349" s="6"/>
      <c r="K349" s="6"/>
      <c r="L349" s="6"/>
      <c r="M349" s="6"/>
      <c r="N349" s="6"/>
      <c r="O349" s="6"/>
      <c r="P349" s="6"/>
      <c r="Q349" s="6"/>
      <c r="R349" s="6"/>
      <c r="S349" s="4"/>
    </row>
    <row r="350" spans="3:19" x14ac:dyDescent="0.25">
      <c r="C350" s="3"/>
      <c r="D350" s="6"/>
      <c r="E350" s="6"/>
      <c r="F350" s="6"/>
      <c r="G350" s="6"/>
      <c r="H350" s="6"/>
      <c r="I350" s="6"/>
      <c r="J350" s="6"/>
      <c r="K350" s="6"/>
      <c r="L350" s="6"/>
      <c r="M350" s="6"/>
      <c r="N350" s="6"/>
      <c r="O350" s="6"/>
      <c r="P350" s="6"/>
      <c r="Q350" s="6"/>
      <c r="R350" s="6"/>
      <c r="S350" s="4"/>
    </row>
    <row r="351" spans="3:19" x14ac:dyDescent="0.25">
      <c r="C351" s="3"/>
      <c r="D351" s="6"/>
      <c r="E351" s="6"/>
      <c r="F351" s="6"/>
      <c r="G351" s="6"/>
      <c r="H351" s="6"/>
      <c r="I351" s="6"/>
      <c r="J351" s="6"/>
      <c r="K351" s="6"/>
      <c r="L351" s="6"/>
      <c r="M351" s="6"/>
      <c r="N351" s="6"/>
      <c r="O351" s="6"/>
      <c r="P351" s="6"/>
      <c r="Q351" s="6"/>
      <c r="R351" s="6"/>
      <c r="S351" s="4"/>
    </row>
    <row r="352" spans="3:19" x14ac:dyDescent="0.25">
      <c r="C352" s="3"/>
      <c r="D352" s="6"/>
      <c r="E352" s="6"/>
      <c r="F352" s="6"/>
      <c r="G352" s="6"/>
      <c r="H352" s="6"/>
      <c r="I352" s="6"/>
      <c r="J352" s="6"/>
      <c r="K352" s="6"/>
      <c r="L352" s="6"/>
      <c r="M352" s="6"/>
      <c r="N352" s="6"/>
      <c r="O352" s="6"/>
      <c r="P352" s="6"/>
      <c r="Q352" s="6"/>
      <c r="R352" s="6"/>
      <c r="S352" s="4"/>
    </row>
    <row r="353" spans="3:19" x14ac:dyDescent="0.25">
      <c r="C353" s="3"/>
      <c r="D353" s="6"/>
      <c r="E353" s="6"/>
      <c r="F353" s="6"/>
      <c r="G353" s="6"/>
      <c r="H353" s="6"/>
      <c r="I353" s="6"/>
      <c r="J353" s="6"/>
      <c r="K353" s="6"/>
      <c r="L353" s="6"/>
      <c r="M353" s="6"/>
      <c r="N353" s="6"/>
      <c r="O353" s="6"/>
      <c r="P353" s="6"/>
      <c r="Q353" s="6"/>
      <c r="R353" s="6"/>
      <c r="S353" s="4"/>
    </row>
    <row r="354" spans="3:19" x14ac:dyDescent="0.25">
      <c r="C354" s="3"/>
      <c r="D354" s="6"/>
      <c r="E354" s="6"/>
      <c r="F354" s="6"/>
      <c r="G354" s="6"/>
      <c r="H354" s="6"/>
      <c r="I354" s="6"/>
      <c r="J354" s="6"/>
      <c r="K354" s="6"/>
      <c r="L354" s="6"/>
      <c r="M354" s="6"/>
      <c r="N354" s="6"/>
      <c r="O354" s="6"/>
      <c r="P354" s="6"/>
      <c r="Q354" s="6"/>
      <c r="R354" s="6"/>
      <c r="S354" s="4"/>
    </row>
    <row r="355" spans="3:19" x14ac:dyDescent="0.25">
      <c r="C355" s="3"/>
      <c r="D355" s="6"/>
      <c r="E355" s="6"/>
      <c r="F355" s="6"/>
      <c r="G355" s="6"/>
      <c r="H355" s="6"/>
      <c r="I355" s="6"/>
      <c r="J355" s="6"/>
      <c r="K355" s="6"/>
      <c r="L355" s="6"/>
      <c r="M355" s="6"/>
      <c r="N355" s="6"/>
      <c r="O355" s="6"/>
      <c r="P355" s="6"/>
      <c r="Q355" s="6"/>
      <c r="R355" s="6"/>
      <c r="S355" s="4"/>
    </row>
    <row r="356" spans="3:19" x14ac:dyDescent="0.25">
      <c r="C356" s="3"/>
      <c r="D356" s="6"/>
      <c r="E356" s="6"/>
      <c r="F356" s="6"/>
      <c r="G356" s="6"/>
      <c r="H356" s="6"/>
      <c r="I356" s="6"/>
      <c r="J356" s="6"/>
      <c r="K356" s="6"/>
      <c r="L356" s="6"/>
      <c r="M356" s="6"/>
      <c r="N356" s="6"/>
      <c r="O356" s="6"/>
      <c r="P356" s="6"/>
      <c r="Q356" s="6"/>
      <c r="R356" s="6"/>
      <c r="S356" s="4"/>
    </row>
    <row r="357" spans="3:19" x14ac:dyDescent="0.25">
      <c r="C357" s="3"/>
      <c r="D357" s="6"/>
      <c r="E357" s="6"/>
      <c r="F357" s="6"/>
      <c r="G357" s="6"/>
      <c r="H357" s="6"/>
      <c r="I357" s="6"/>
      <c r="J357" s="6"/>
      <c r="K357" s="6"/>
      <c r="L357" s="6"/>
      <c r="M357" s="6"/>
      <c r="N357" s="6"/>
      <c r="O357" s="6"/>
      <c r="P357" s="6"/>
      <c r="Q357" s="6"/>
      <c r="R357" s="6"/>
      <c r="S357" s="4"/>
    </row>
    <row r="358" spans="3:19" x14ac:dyDescent="0.25">
      <c r="C358" s="3"/>
      <c r="D358" s="6"/>
      <c r="E358" s="6"/>
      <c r="F358" s="6"/>
      <c r="G358" s="6"/>
      <c r="H358" s="6"/>
      <c r="I358" s="6"/>
      <c r="J358" s="6"/>
      <c r="K358" s="6"/>
      <c r="L358" s="6"/>
      <c r="M358" s="6"/>
      <c r="N358" s="6"/>
      <c r="O358" s="6"/>
      <c r="P358" s="6"/>
      <c r="Q358" s="6"/>
      <c r="R358" s="6"/>
      <c r="S358" s="4"/>
    </row>
    <row r="359" spans="3:19" x14ac:dyDescent="0.25">
      <c r="C359" s="3"/>
      <c r="D359" s="6"/>
      <c r="E359" s="6"/>
      <c r="F359" s="6"/>
      <c r="G359" s="6"/>
      <c r="H359" s="6"/>
      <c r="I359" s="6"/>
      <c r="J359" s="6"/>
      <c r="K359" s="6"/>
      <c r="L359" s="6"/>
      <c r="M359" s="6"/>
      <c r="N359" s="6"/>
      <c r="O359" s="6"/>
      <c r="P359" s="6"/>
      <c r="Q359" s="6"/>
      <c r="R359" s="6"/>
      <c r="S359" s="4"/>
    </row>
    <row r="360" spans="3:19" x14ac:dyDescent="0.25">
      <c r="C360" s="3"/>
      <c r="D360" s="6"/>
      <c r="E360" s="6"/>
      <c r="F360" s="6"/>
      <c r="G360" s="6"/>
      <c r="H360" s="6"/>
      <c r="I360" s="6"/>
      <c r="J360" s="6"/>
      <c r="K360" s="6"/>
      <c r="L360" s="6"/>
      <c r="M360" s="6"/>
      <c r="N360" s="6"/>
      <c r="O360" s="6"/>
      <c r="P360" s="6"/>
      <c r="Q360" s="6"/>
      <c r="R360" s="6"/>
      <c r="S360" s="4"/>
    </row>
    <row r="361" spans="3:19" x14ac:dyDescent="0.25">
      <c r="C361" s="3"/>
      <c r="D361" s="6"/>
      <c r="E361" s="6"/>
      <c r="F361" s="6"/>
      <c r="G361" s="6"/>
      <c r="H361" s="6"/>
      <c r="I361" s="6"/>
      <c r="J361" s="6"/>
      <c r="K361" s="6"/>
      <c r="L361" s="6"/>
      <c r="M361" s="6"/>
      <c r="N361" s="6"/>
      <c r="O361" s="6"/>
      <c r="P361" s="6"/>
      <c r="Q361" s="6"/>
      <c r="R361" s="6"/>
      <c r="S361" s="4"/>
    </row>
    <row r="362" spans="3:19" x14ac:dyDescent="0.25">
      <c r="C362" s="3"/>
      <c r="D362" s="6"/>
      <c r="E362" s="6"/>
      <c r="F362" s="6"/>
      <c r="G362" s="6"/>
      <c r="H362" s="6"/>
      <c r="I362" s="6"/>
      <c r="J362" s="6"/>
      <c r="K362" s="6"/>
      <c r="L362" s="6"/>
      <c r="M362" s="6"/>
      <c r="N362" s="6"/>
      <c r="O362" s="6"/>
      <c r="P362" s="6"/>
      <c r="Q362" s="6"/>
      <c r="R362" s="6"/>
      <c r="S362" s="4"/>
    </row>
    <row r="363" spans="3:19" x14ac:dyDescent="0.25">
      <c r="C363" s="3"/>
      <c r="D363" s="6"/>
      <c r="E363" s="6"/>
      <c r="F363" s="6"/>
      <c r="G363" s="6"/>
      <c r="H363" s="6"/>
      <c r="I363" s="6"/>
      <c r="J363" s="6"/>
      <c r="K363" s="6"/>
      <c r="L363" s="6"/>
      <c r="M363" s="6"/>
      <c r="N363" s="6"/>
      <c r="O363" s="6"/>
      <c r="P363" s="6"/>
      <c r="Q363" s="6"/>
      <c r="R363" s="6"/>
      <c r="S363" s="4"/>
    </row>
    <row r="364" spans="3:19" x14ac:dyDescent="0.25">
      <c r="C364" s="3"/>
      <c r="D364" s="6"/>
      <c r="E364" s="6"/>
      <c r="F364" s="6"/>
      <c r="G364" s="6"/>
      <c r="H364" s="6"/>
      <c r="I364" s="6"/>
      <c r="J364" s="6"/>
      <c r="K364" s="6"/>
      <c r="L364" s="6"/>
      <c r="M364" s="6"/>
      <c r="N364" s="6"/>
      <c r="O364" s="6"/>
      <c r="P364" s="6"/>
      <c r="Q364" s="6"/>
      <c r="R364" s="6"/>
      <c r="S364" s="4"/>
    </row>
    <row r="365" spans="3:19" x14ac:dyDescent="0.25">
      <c r="C365" s="3"/>
      <c r="D365" s="6"/>
      <c r="E365" s="6"/>
      <c r="F365" s="6"/>
      <c r="G365" s="6"/>
      <c r="H365" s="6"/>
      <c r="I365" s="6"/>
      <c r="J365" s="6"/>
      <c r="K365" s="6"/>
      <c r="L365" s="6"/>
      <c r="M365" s="6"/>
      <c r="N365" s="6"/>
      <c r="O365" s="6"/>
      <c r="P365" s="6"/>
      <c r="Q365" s="6"/>
      <c r="R365" s="6"/>
      <c r="S365" s="4"/>
    </row>
    <row r="366" spans="3:19" x14ac:dyDescent="0.25">
      <c r="C366" s="3"/>
      <c r="D366" s="6"/>
      <c r="E366" s="6"/>
      <c r="F366" s="6"/>
      <c r="G366" s="6"/>
      <c r="H366" s="6"/>
      <c r="I366" s="6"/>
      <c r="J366" s="6"/>
      <c r="K366" s="6"/>
      <c r="L366" s="6"/>
      <c r="M366" s="6"/>
      <c r="N366" s="6"/>
      <c r="O366" s="6"/>
      <c r="P366" s="6"/>
      <c r="Q366" s="6"/>
      <c r="R366" s="6"/>
      <c r="S366" s="4"/>
    </row>
    <row r="367" spans="3:19" x14ac:dyDescent="0.25">
      <c r="C367" s="3"/>
      <c r="D367" s="6"/>
      <c r="E367" s="6"/>
      <c r="F367" s="6"/>
      <c r="G367" s="6"/>
      <c r="H367" s="6"/>
      <c r="I367" s="6"/>
      <c r="J367" s="6"/>
      <c r="K367" s="6"/>
      <c r="L367" s="6"/>
      <c r="M367" s="6"/>
      <c r="N367" s="6"/>
      <c r="O367" s="6"/>
      <c r="P367" s="6"/>
      <c r="Q367" s="6"/>
      <c r="R367" s="6"/>
      <c r="S367" s="4"/>
    </row>
    <row r="368" spans="3:19" x14ac:dyDescent="0.25">
      <c r="C368" s="3"/>
      <c r="D368" s="6"/>
      <c r="E368" s="6"/>
      <c r="F368" s="6"/>
      <c r="G368" s="6"/>
      <c r="H368" s="6"/>
      <c r="I368" s="6"/>
      <c r="J368" s="6"/>
      <c r="K368" s="6"/>
      <c r="L368" s="6"/>
      <c r="M368" s="6"/>
      <c r="N368" s="6"/>
      <c r="O368" s="6"/>
      <c r="P368" s="6"/>
      <c r="Q368" s="6"/>
      <c r="R368" s="6"/>
      <c r="S368" s="4"/>
    </row>
    <row r="369" spans="3:19" x14ac:dyDescent="0.25">
      <c r="C369" s="3"/>
      <c r="D369" s="6"/>
      <c r="E369" s="6"/>
      <c r="F369" s="6"/>
      <c r="G369" s="6"/>
      <c r="H369" s="6"/>
      <c r="I369" s="6"/>
      <c r="J369" s="6"/>
      <c r="K369" s="6"/>
      <c r="L369" s="6"/>
      <c r="M369" s="6"/>
      <c r="N369" s="6"/>
      <c r="O369" s="6"/>
      <c r="P369" s="6"/>
      <c r="Q369" s="6"/>
      <c r="R369" s="6"/>
      <c r="S369" s="4"/>
    </row>
    <row r="370" spans="3:19" x14ac:dyDescent="0.25">
      <c r="C370" s="3"/>
      <c r="D370" s="6"/>
      <c r="E370" s="6"/>
      <c r="F370" s="6"/>
      <c r="G370" s="6"/>
      <c r="H370" s="6"/>
      <c r="I370" s="6"/>
      <c r="J370" s="6"/>
      <c r="K370" s="6"/>
      <c r="L370" s="6"/>
      <c r="M370" s="6"/>
      <c r="N370" s="6"/>
      <c r="O370" s="6"/>
      <c r="P370" s="6"/>
      <c r="Q370" s="6"/>
      <c r="R370" s="6"/>
      <c r="S370" s="4"/>
    </row>
    <row r="371" spans="3:19" x14ac:dyDescent="0.25">
      <c r="C371" s="3"/>
      <c r="D371" s="6"/>
      <c r="E371" s="6"/>
      <c r="F371" s="6"/>
      <c r="G371" s="6"/>
      <c r="H371" s="6"/>
      <c r="I371" s="6"/>
      <c r="J371" s="6"/>
      <c r="K371" s="6"/>
      <c r="L371" s="6"/>
      <c r="M371" s="6"/>
      <c r="N371" s="6"/>
      <c r="O371" s="6"/>
      <c r="P371" s="6"/>
      <c r="Q371" s="6"/>
      <c r="R371" s="6"/>
      <c r="S371" s="4"/>
    </row>
    <row r="372" spans="3:19" x14ac:dyDescent="0.25">
      <c r="C372" s="3"/>
      <c r="D372" s="6"/>
      <c r="E372" s="6"/>
      <c r="F372" s="6"/>
      <c r="G372" s="6"/>
      <c r="H372" s="6"/>
      <c r="I372" s="6"/>
      <c r="J372" s="6"/>
      <c r="K372" s="6"/>
      <c r="L372" s="6"/>
      <c r="M372" s="6"/>
      <c r="N372" s="6"/>
      <c r="O372" s="6"/>
      <c r="P372" s="6"/>
      <c r="Q372" s="6"/>
      <c r="R372" s="6"/>
      <c r="S372" s="4"/>
    </row>
    <row r="373" spans="3:19" x14ac:dyDescent="0.25">
      <c r="C373" s="3"/>
      <c r="D373" s="6"/>
      <c r="E373" s="6"/>
      <c r="F373" s="6"/>
      <c r="G373" s="6"/>
      <c r="H373" s="6"/>
      <c r="I373" s="6"/>
      <c r="J373" s="6"/>
      <c r="K373" s="6"/>
      <c r="L373" s="6"/>
      <c r="M373" s="6"/>
      <c r="N373" s="6"/>
      <c r="O373" s="6"/>
      <c r="P373" s="6"/>
      <c r="Q373" s="6"/>
      <c r="R373" s="6"/>
      <c r="S373" s="4"/>
    </row>
    <row r="374" spans="3:19" x14ac:dyDescent="0.25">
      <c r="C374" s="3"/>
      <c r="D374" s="6"/>
      <c r="E374" s="6"/>
      <c r="F374" s="6"/>
      <c r="G374" s="6"/>
      <c r="H374" s="6"/>
      <c r="I374" s="6"/>
      <c r="J374" s="6"/>
      <c r="K374" s="6"/>
      <c r="L374" s="6"/>
      <c r="M374" s="6"/>
      <c r="N374" s="6"/>
      <c r="O374" s="6"/>
      <c r="P374" s="6"/>
      <c r="Q374" s="6"/>
      <c r="R374" s="6"/>
      <c r="S374" s="4"/>
    </row>
    <row r="375" spans="3:19" x14ac:dyDescent="0.25">
      <c r="C375" s="3"/>
      <c r="D375" s="6"/>
      <c r="E375" s="6"/>
      <c r="F375" s="6"/>
      <c r="G375" s="6"/>
      <c r="H375" s="6"/>
      <c r="I375" s="6"/>
      <c r="J375" s="6"/>
      <c r="K375" s="6"/>
      <c r="L375" s="6"/>
      <c r="M375" s="6"/>
      <c r="N375" s="6"/>
      <c r="O375" s="6"/>
      <c r="P375" s="6"/>
      <c r="Q375" s="6"/>
      <c r="R375" s="6"/>
      <c r="S375" s="4"/>
    </row>
    <row r="376" spans="3:19" x14ac:dyDescent="0.25">
      <c r="C376" s="3"/>
      <c r="D376" s="6"/>
      <c r="E376" s="6"/>
      <c r="F376" s="6"/>
      <c r="G376" s="6"/>
      <c r="H376" s="6"/>
      <c r="I376" s="6"/>
      <c r="J376" s="6"/>
      <c r="K376" s="6"/>
      <c r="L376" s="6"/>
      <c r="M376" s="6"/>
      <c r="N376" s="6"/>
      <c r="O376" s="6"/>
      <c r="P376" s="6"/>
      <c r="Q376" s="6"/>
      <c r="R376" s="6"/>
      <c r="S376" s="4"/>
    </row>
    <row r="377" spans="3:19" x14ac:dyDescent="0.25">
      <c r="C377" s="3"/>
      <c r="D377" s="6"/>
      <c r="E377" s="6"/>
      <c r="F377" s="6"/>
      <c r="G377" s="6"/>
      <c r="H377" s="6"/>
      <c r="I377" s="6"/>
      <c r="J377" s="6"/>
      <c r="K377" s="6"/>
      <c r="L377" s="6"/>
      <c r="M377" s="6"/>
      <c r="N377" s="6"/>
      <c r="O377" s="6"/>
      <c r="P377" s="6"/>
      <c r="Q377" s="6"/>
      <c r="R377" s="6"/>
      <c r="S377" s="4"/>
    </row>
    <row r="378" spans="3:19" x14ac:dyDescent="0.25">
      <c r="C378" s="3"/>
      <c r="D378" s="6"/>
      <c r="E378" s="6"/>
      <c r="F378" s="6"/>
      <c r="G378" s="6"/>
      <c r="H378" s="6"/>
      <c r="I378" s="6"/>
      <c r="J378" s="6"/>
      <c r="K378" s="6"/>
      <c r="L378" s="6"/>
      <c r="M378" s="6"/>
      <c r="N378" s="6"/>
      <c r="O378" s="6"/>
      <c r="P378" s="6"/>
      <c r="Q378" s="6"/>
      <c r="R378" s="6"/>
      <c r="S378" s="4"/>
    </row>
    <row r="379" spans="3:19" x14ac:dyDescent="0.25">
      <c r="C379" s="3"/>
      <c r="D379" s="6"/>
      <c r="E379" s="6"/>
      <c r="F379" s="6"/>
      <c r="G379" s="6"/>
      <c r="H379" s="6"/>
      <c r="I379" s="6"/>
      <c r="J379" s="6"/>
      <c r="K379" s="6"/>
      <c r="L379" s="6"/>
      <c r="M379" s="6"/>
      <c r="N379" s="6"/>
      <c r="O379" s="6"/>
      <c r="P379" s="6"/>
      <c r="Q379" s="6"/>
      <c r="R379" s="6"/>
      <c r="S379" s="4"/>
    </row>
    <row r="380" spans="3:19" x14ac:dyDescent="0.25">
      <c r="C380" s="3"/>
      <c r="D380" s="6"/>
      <c r="E380" s="6"/>
      <c r="F380" s="6"/>
      <c r="G380" s="6"/>
      <c r="H380" s="6"/>
      <c r="I380" s="6"/>
      <c r="J380" s="6"/>
      <c r="K380" s="6"/>
      <c r="L380" s="6"/>
      <c r="M380" s="6"/>
      <c r="N380" s="6"/>
      <c r="O380" s="6"/>
      <c r="P380" s="6"/>
      <c r="Q380" s="6"/>
      <c r="R380" s="6"/>
      <c r="S380" s="4"/>
    </row>
    <row r="381" spans="3:19" x14ac:dyDescent="0.25">
      <c r="C381" s="3"/>
      <c r="D381" s="6"/>
      <c r="E381" s="6"/>
      <c r="F381" s="6"/>
      <c r="G381" s="6"/>
      <c r="H381" s="6"/>
      <c r="I381" s="6"/>
      <c r="J381" s="6"/>
      <c r="K381" s="6"/>
      <c r="L381" s="6"/>
      <c r="M381" s="6"/>
      <c r="N381" s="6"/>
      <c r="O381" s="6"/>
      <c r="P381" s="6"/>
      <c r="Q381" s="6"/>
      <c r="R381" s="6"/>
      <c r="S381" s="4"/>
    </row>
    <row r="382" spans="3:19" x14ac:dyDescent="0.25">
      <c r="C382" s="3"/>
      <c r="D382" s="6"/>
      <c r="E382" s="6"/>
      <c r="F382" s="6"/>
      <c r="G382" s="6"/>
      <c r="H382" s="6"/>
      <c r="I382" s="6"/>
      <c r="J382" s="6"/>
      <c r="K382" s="6"/>
      <c r="L382" s="6"/>
      <c r="M382" s="6"/>
      <c r="N382" s="6"/>
      <c r="O382" s="6"/>
      <c r="P382" s="6"/>
      <c r="Q382" s="6"/>
      <c r="R382" s="6"/>
      <c r="S382" s="4"/>
    </row>
    <row r="383" spans="3:19" x14ac:dyDescent="0.25">
      <c r="C383" s="3"/>
      <c r="D383" s="6"/>
      <c r="E383" s="6"/>
      <c r="F383" s="6"/>
      <c r="G383" s="6"/>
      <c r="H383" s="6"/>
      <c r="I383" s="6"/>
      <c r="J383" s="6"/>
      <c r="K383" s="6"/>
      <c r="L383" s="6"/>
      <c r="M383" s="6"/>
      <c r="N383" s="6"/>
      <c r="O383" s="6"/>
      <c r="P383" s="6"/>
      <c r="Q383" s="6"/>
      <c r="R383" s="6"/>
      <c r="S383" s="4"/>
    </row>
    <row r="384" spans="3:19" x14ac:dyDescent="0.25">
      <c r="C384" s="3"/>
      <c r="D384" s="6"/>
      <c r="E384" s="6"/>
      <c r="F384" s="6"/>
      <c r="G384" s="6"/>
      <c r="H384" s="6"/>
      <c r="I384" s="6"/>
      <c r="J384" s="6"/>
      <c r="K384" s="6"/>
      <c r="L384" s="6"/>
      <c r="M384" s="6"/>
      <c r="N384" s="6"/>
      <c r="O384" s="6"/>
      <c r="P384" s="6"/>
      <c r="Q384" s="6"/>
      <c r="R384" s="6"/>
      <c r="S384" s="4"/>
    </row>
    <row r="385" spans="3:19" x14ac:dyDescent="0.25">
      <c r="C385" s="3"/>
      <c r="D385" s="6"/>
      <c r="E385" s="6"/>
      <c r="F385" s="6"/>
      <c r="G385" s="6"/>
      <c r="H385" s="6"/>
      <c r="I385" s="6"/>
      <c r="J385" s="6"/>
      <c r="K385" s="6"/>
      <c r="L385" s="6"/>
      <c r="M385" s="6"/>
      <c r="N385" s="6"/>
      <c r="O385" s="6"/>
      <c r="P385" s="6"/>
      <c r="Q385" s="6"/>
      <c r="R385" s="6"/>
      <c r="S385" s="4"/>
    </row>
    <row r="386" spans="3:19" x14ac:dyDescent="0.25">
      <c r="C386" s="3"/>
      <c r="D386" s="6"/>
      <c r="E386" s="6"/>
      <c r="F386" s="6"/>
      <c r="G386" s="6"/>
      <c r="H386" s="6"/>
      <c r="I386" s="6"/>
      <c r="J386" s="6"/>
      <c r="K386" s="6"/>
      <c r="L386" s="6"/>
      <c r="M386" s="6"/>
      <c r="N386" s="6"/>
      <c r="O386" s="6"/>
      <c r="P386" s="6"/>
      <c r="Q386" s="6"/>
      <c r="R386" s="6"/>
      <c r="S386" s="4"/>
    </row>
    <row r="387" spans="3:19" x14ac:dyDescent="0.25">
      <c r="C387" s="3"/>
      <c r="D387" s="6"/>
      <c r="E387" s="6"/>
      <c r="F387" s="6"/>
      <c r="G387" s="6"/>
      <c r="H387" s="6"/>
      <c r="I387" s="6"/>
      <c r="J387" s="6"/>
      <c r="K387" s="6"/>
      <c r="L387" s="6"/>
      <c r="M387" s="6"/>
      <c r="N387" s="6"/>
      <c r="O387" s="6"/>
      <c r="P387" s="6"/>
      <c r="Q387" s="6"/>
      <c r="R387" s="6"/>
      <c r="S387" s="4"/>
    </row>
    <row r="388" spans="3:19" x14ac:dyDescent="0.25">
      <c r="C388" s="3"/>
      <c r="D388" s="6"/>
      <c r="E388" s="6"/>
      <c r="F388" s="6"/>
      <c r="G388" s="6"/>
      <c r="H388" s="6"/>
      <c r="I388" s="6"/>
      <c r="J388" s="6"/>
      <c r="K388" s="6"/>
      <c r="L388" s="6"/>
      <c r="M388" s="6"/>
      <c r="N388" s="6"/>
      <c r="O388" s="6"/>
      <c r="P388" s="6"/>
      <c r="Q388" s="6"/>
      <c r="R388" s="6"/>
      <c r="S388" s="4"/>
    </row>
    <row r="389" spans="3:19" x14ac:dyDescent="0.25">
      <c r="C389" s="3"/>
      <c r="D389" s="6"/>
      <c r="E389" s="6"/>
      <c r="F389" s="6"/>
      <c r="G389" s="6"/>
      <c r="H389" s="6"/>
      <c r="I389" s="6"/>
      <c r="J389" s="6"/>
      <c r="K389" s="6"/>
      <c r="L389" s="6"/>
      <c r="M389" s="6"/>
      <c r="N389" s="6"/>
      <c r="O389" s="6"/>
      <c r="P389" s="6"/>
      <c r="Q389" s="6"/>
      <c r="R389" s="6"/>
      <c r="S389" s="4"/>
    </row>
    <row r="390" spans="3:19" x14ac:dyDescent="0.25">
      <c r="C390" s="3"/>
      <c r="D390" s="6"/>
      <c r="E390" s="6"/>
      <c r="F390" s="6"/>
      <c r="G390" s="6"/>
      <c r="H390" s="6"/>
      <c r="I390" s="6"/>
      <c r="J390" s="6"/>
      <c r="K390" s="6"/>
      <c r="L390" s="6"/>
      <c r="M390" s="6"/>
      <c r="N390" s="6"/>
      <c r="O390" s="6"/>
      <c r="P390" s="6"/>
      <c r="Q390" s="6"/>
      <c r="R390" s="6"/>
      <c r="S390" s="4"/>
    </row>
    <row r="391" spans="3:19" x14ac:dyDescent="0.25">
      <c r="C391" s="3"/>
      <c r="D391" s="6"/>
      <c r="E391" s="6"/>
      <c r="F391" s="6"/>
      <c r="G391" s="6"/>
      <c r="H391" s="6"/>
      <c r="I391" s="6"/>
      <c r="J391" s="6"/>
      <c r="K391" s="6"/>
      <c r="L391" s="6"/>
      <c r="M391" s="6"/>
      <c r="N391" s="6"/>
      <c r="O391" s="6"/>
      <c r="P391" s="6"/>
      <c r="Q391" s="6"/>
      <c r="R391" s="6"/>
      <c r="S391" s="4"/>
    </row>
    <row r="392" spans="3:19" x14ac:dyDescent="0.25">
      <c r="C392" s="3"/>
      <c r="D392" s="6"/>
      <c r="E392" s="6"/>
      <c r="F392" s="6"/>
      <c r="G392" s="6"/>
      <c r="H392" s="6"/>
      <c r="I392" s="6"/>
      <c r="J392" s="6"/>
      <c r="K392" s="6"/>
      <c r="L392" s="6"/>
      <c r="M392" s="6"/>
      <c r="N392" s="6"/>
      <c r="O392" s="6"/>
      <c r="P392" s="6"/>
      <c r="Q392" s="6"/>
      <c r="R392" s="6"/>
      <c r="S392" s="4"/>
    </row>
    <row r="393" spans="3:19" x14ac:dyDescent="0.25">
      <c r="C393" s="3"/>
      <c r="D393" s="6"/>
      <c r="E393" s="6"/>
      <c r="F393" s="6"/>
      <c r="G393" s="6"/>
      <c r="H393" s="6"/>
      <c r="I393" s="6"/>
      <c r="J393" s="6"/>
      <c r="K393" s="6"/>
      <c r="L393" s="6"/>
      <c r="M393" s="6"/>
      <c r="N393" s="6"/>
      <c r="O393" s="6"/>
      <c r="P393" s="6"/>
      <c r="Q393" s="6"/>
      <c r="R393" s="6"/>
      <c r="S393" s="4"/>
    </row>
    <row r="394" spans="3:19" x14ac:dyDescent="0.25">
      <c r="C394" s="3"/>
      <c r="D394" s="6"/>
      <c r="E394" s="6"/>
      <c r="F394" s="6"/>
      <c r="G394" s="6"/>
      <c r="H394" s="6"/>
      <c r="I394" s="6"/>
      <c r="J394" s="6"/>
      <c r="K394" s="6"/>
      <c r="L394" s="6"/>
      <c r="M394" s="6"/>
      <c r="N394" s="6"/>
      <c r="O394" s="6"/>
      <c r="P394" s="6"/>
      <c r="Q394" s="6"/>
      <c r="R394" s="6"/>
      <c r="S394" s="4"/>
    </row>
    <row r="395" spans="3:19" x14ac:dyDescent="0.25">
      <c r="C395" s="3"/>
      <c r="D395" s="6"/>
      <c r="E395" s="6"/>
      <c r="F395" s="6"/>
      <c r="G395" s="6"/>
      <c r="H395" s="6"/>
      <c r="I395" s="6"/>
      <c r="J395" s="6"/>
      <c r="K395" s="6"/>
      <c r="L395" s="6"/>
      <c r="M395" s="6"/>
      <c r="N395" s="6"/>
      <c r="O395" s="6"/>
      <c r="P395" s="6"/>
      <c r="Q395" s="6"/>
      <c r="R395" s="6"/>
      <c r="S395" s="4"/>
    </row>
    <row r="396" spans="3:19" x14ac:dyDescent="0.25">
      <c r="C396" s="3"/>
      <c r="D396" s="6"/>
      <c r="E396" s="6"/>
      <c r="F396" s="6"/>
      <c r="G396" s="6"/>
      <c r="H396" s="6"/>
      <c r="I396" s="6"/>
      <c r="J396" s="6"/>
      <c r="K396" s="6"/>
      <c r="L396" s="6"/>
      <c r="M396" s="6"/>
      <c r="N396" s="6"/>
      <c r="O396" s="6"/>
      <c r="P396" s="6"/>
      <c r="Q396" s="6"/>
      <c r="R396" s="6"/>
      <c r="S396" s="4"/>
    </row>
    <row r="397" spans="3:19" x14ac:dyDescent="0.25">
      <c r="C397" s="3"/>
      <c r="D397" s="6"/>
      <c r="E397" s="6"/>
      <c r="F397" s="6"/>
      <c r="G397" s="6"/>
      <c r="H397" s="6"/>
      <c r="I397" s="6"/>
      <c r="J397" s="6"/>
      <c r="K397" s="6"/>
      <c r="L397" s="6"/>
      <c r="M397" s="6"/>
      <c r="N397" s="6"/>
      <c r="O397" s="6"/>
      <c r="P397" s="6"/>
      <c r="Q397" s="6"/>
      <c r="R397" s="6"/>
      <c r="S397" s="4"/>
    </row>
    <row r="398" spans="3:19" x14ac:dyDescent="0.25">
      <c r="C398" s="3"/>
      <c r="D398" s="6"/>
      <c r="E398" s="6"/>
      <c r="F398" s="6"/>
      <c r="G398" s="6"/>
      <c r="H398" s="6"/>
      <c r="I398" s="6"/>
      <c r="J398" s="6"/>
      <c r="K398" s="6"/>
      <c r="L398" s="6"/>
      <c r="M398" s="6"/>
      <c r="N398" s="6"/>
      <c r="O398" s="6"/>
      <c r="P398" s="6"/>
      <c r="Q398" s="6"/>
      <c r="R398" s="6"/>
      <c r="S398" s="4"/>
    </row>
    <row r="399" spans="3:19" x14ac:dyDescent="0.25">
      <c r="C399" s="3"/>
      <c r="D399" s="6"/>
      <c r="E399" s="6"/>
      <c r="F399" s="6"/>
      <c r="G399" s="6"/>
      <c r="H399" s="6"/>
      <c r="I399" s="6"/>
      <c r="J399" s="6"/>
      <c r="K399" s="6"/>
      <c r="L399" s="6"/>
      <c r="M399" s="6"/>
      <c r="N399" s="6"/>
      <c r="O399" s="6"/>
      <c r="P399" s="6"/>
      <c r="Q399" s="6"/>
      <c r="R399" s="6"/>
      <c r="S399" s="4"/>
    </row>
    <row r="400" spans="3:19" x14ac:dyDescent="0.25">
      <c r="C400" s="3"/>
      <c r="D400" s="6"/>
      <c r="E400" s="6"/>
      <c r="F400" s="6"/>
      <c r="G400" s="6"/>
      <c r="H400" s="6"/>
      <c r="I400" s="6"/>
      <c r="J400" s="6"/>
      <c r="K400" s="6"/>
      <c r="L400" s="6"/>
      <c r="M400" s="6"/>
      <c r="N400" s="6"/>
      <c r="O400" s="6"/>
      <c r="P400" s="6"/>
      <c r="Q400" s="6"/>
      <c r="R400" s="6"/>
      <c r="S400" s="4"/>
    </row>
    <row r="401" spans="3:19" x14ac:dyDescent="0.25">
      <c r="C401" s="3"/>
      <c r="D401" s="6"/>
      <c r="E401" s="6"/>
      <c r="F401" s="6"/>
      <c r="G401" s="6"/>
      <c r="H401" s="6"/>
      <c r="I401" s="6"/>
      <c r="J401" s="6"/>
      <c r="K401" s="6"/>
      <c r="L401" s="6"/>
      <c r="M401" s="6"/>
      <c r="N401" s="6"/>
      <c r="O401" s="6"/>
      <c r="P401" s="6"/>
      <c r="Q401" s="6"/>
      <c r="R401" s="6"/>
      <c r="S401" s="4"/>
    </row>
    <row r="402" spans="3:19" x14ac:dyDescent="0.25">
      <c r="C402" s="3"/>
      <c r="D402" s="6"/>
      <c r="E402" s="6"/>
      <c r="F402" s="6"/>
      <c r="G402" s="6"/>
      <c r="H402" s="6"/>
      <c r="I402" s="6"/>
      <c r="J402" s="6"/>
      <c r="K402" s="6"/>
      <c r="L402" s="6"/>
      <c r="M402" s="6"/>
      <c r="N402" s="6"/>
      <c r="O402" s="6"/>
      <c r="P402" s="6"/>
      <c r="Q402" s="6"/>
      <c r="R402" s="6"/>
      <c r="S402" s="4"/>
    </row>
    <row r="403" spans="3:19" x14ac:dyDescent="0.25">
      <c r="C403" s="3"/>
      <c r="D403" s="6"/>
      <c r="E403" s="6"/>
      <c r="F403" s="6"/>
      <c r="G403" s="6"/>
      <c r="H403" s="6"/>
      <c r="I403" s="6"/>
      <c r="J403" s="6"/>
      <c r="K403" s="6"/>
      <c r="L403" s="6"/>
      <c r="M403" s="6"/>
      <c r="N403" s="6"/>
      <c r="O403" s="6"/>
      <c r="P403" s="6"/>
      <c r="Q403" s="6"/>
      <c r="R403" s="6"/>
      <c r="S403" s="4"/>
    </row>
    <row r="404" spans="3:19" x14ac:dyDescent="0.25">
      <c r="C404" s="3"/>
      <c r="D404" s="6"/>
      <c r="E404" s="6"/>
      <c r="F404" s="6"/>
      <c r="G404" s="6"/>
      <c r="H404" s="6"/>
      <c r="I404" s="6"/>
      <c r="J404" s="6"/>
      <c r="K404" s="6"/>
      <c r="L404" s="6"/>
      <c r="M404" s="6"/>
      <c r="N404" s="6"/>
      <c r="O404" s="6"/>
      <c r="P404" s="6"/>
      <c r="Q404" s="6"/>
      <c r="R404" s="6"/>
      <c r="S404" s="4"/>
    </row>
    <row r="405" spans="3:19" x14ac:dyDescent="0.25">
      <c r="C405" s="3"/>
      <c r="D405" s="6"/>
      <c r="E405" s="6"/>
      <c r="F405" s="6"/>
      <c r="G405" s="6"/>
      <c r="H405" s="6"/>
      <c r="I405" s="6"/>
      <c r="J405" s="6"/>
      <c r="K405" s="6"/>
      <c r="L405" s="6"/>
      <c r="M405" s="6"/>
      <c r="N405" s="6"/>
      <c r="O405" s="6"/>
      <c r="P405" s="6"/>
      <c r="Q405" s="6"/>
      <c r="R405" s="6"/>
      <c r="S405" s="4"/>
    </row>
    <row r="406" spans="3:19" x14ac:dyDescent="0.25">
      <c r="C406" s="3"/>
      <c r="D406" s="6"/>
      <c r="E406" s="6"/>
      <c r="F406" s="6"/>
      <c r="G406" s="6"/>
      <c r="H406" s="6"/>
      <c r="I406" s="6"/>
      <c r="J406" s="6"/>
      <c r="K406" s="6"/>
      <c r="L406" s="6"/>
      <c r="M406" s="6"/>
      <c r="N406" s="6"/>
      <c r="O406" s="6"/>
      <c r="P406" s="6"/>
      <c r="Q406" s="6"/>
      <c r="R406" s="6"/>
      <c r="S406" s="4"/>
    </row>
    <row r="407" spans="3:19" x14ac:dyDescent="0.25">
      <c r="C407" s="3"/>
      <c r="D407" s="6"/>
      <c r="E407" s="6"/>
      <c r="F407" s="6"/>
      <c r="G407" s="6"/>
      <c r="H407" s="6"/>
      <c r="I407" s="6"/>
      <c r="J407" s="6"/>
      <c r="K407" s="6"/>
      <c r="L407" s="6"/>
      <c r="M407" s="6"/>
      <c r="N407" s="6"/>
      <c r="O407" s="6"/>
      <c r="P407" s="6"/>
      <c r="Q407" s="6"/>
      <c r="R407" s="6"/>
      <c r="S407" s="4"/>
    </row>
    <row r="408" spans="3:19" x14ac:dyDescent="0.25">
      <c r="C408" s="3"/>
      <c r="D408" s="6"/>
      <c r="E408" s="6"/>
      <c r="F408" s="6"/>
      <c r="G408" s="6"/>
      <c r="H408" s="6"/>
      <c r="I408" s="6"/>
      <c r="J408" s="6"/>
      <c r="K408" s="6"/>
      <c r="L408" s="6"/>
      <c r="M408" s="6"/>
      <c r="N408" s="6"/>
      <c r="O408" s="6"/>
      <c r="P408" s="6"/>
      <c r="Q408" s="6"/>
      <c r="R408" s="6"/>
      <c r="S408" s="4"/>
    </row>
    <row r="409" spans="3:19" x14ac:dyDescent="0.25">
      <c r="C409" s="3"/>
      <c r="D409" s="6"/>
      <c r="E409" s="6"/>
      <c r="F409" s="6"/>
      <c r="G409" s="6"/>
      <c r="H409" s="6"/>
      <c r="I409" s="6"/>
      <c r="J409" s="6"/>
      <c r="K409" s="6"/>
      <c r="L409" s="6"/>
      <c r="M409" s="6"/>
      <c r="N409" s="6"/>
      <c r="O409" s="6"/>
      <c r="P409" s="6"/>
      <c r="Q409" s="6"/>
      <c r="R409" s="6"/>
      <c r="S409" s="4"/>
    </row>
    <row r="410" spans="3:19" x14ac:dyDescent="0.25">
      <c r="C410" s="3"/>
      <c r="D410" s="6"/>
      <c r="E410" s="6"/>
      <c r="F410" s="6"/>
      <c r="G410" s="6"/>
      <c r="H410" s="6"/>
      <c r="I410" s="6"/>
      <c r="J410" s="6"/>
      <c r="K410" s="6"/>
      <c r="L410" s="6"/>
      <c r="M410" s="6"/>
      <c r="N410" s="6"/>
      <c r="O410" s="6"/>
      <c r="P410" s="6"/>
      <c r="Q410" s="6"/>
      <c r="R410" s="6"/>
      <c r="S410" s="4"/>
    </row>
    <row r="411" spans="3:19" x14ac:dyDescent="0.25">
      <c r="C411" s="3"/>
      <c r="D411" s="6"/>
      <c r="E411" s="6"/>
      <c r="F411" s="6"/>
      <c r="G411" s="6"/>
      <c r="H411" s="6"/>
      <c r="I411" s="6"/>
      <c r="J411" s="6"/>
      <c r="K411" s="6"/>
      <c r="L411" s="6"/>
      <c r="M411" s="6"/>
      <c r="N411" s="6"/>
      <c r="O411" s="6"/>
      <c r="P411" s="6"/>
      <c r="Q411" s="6"/>
      <c r="R411" s="6"/>
      <c r="S411" s="4"/>
    </row>
    <row r="412" spans="3:19" x14ac:dyDescent="0.25">
      <c r="C412" s="3"/>
      <c r="D412" s="6"/>
      <c r="E412" s="6"/>
      <c r="F412" s="6"/>
      <c r="G412" s="6"/>
      <c r="H412" s="6"/>
      <c r="I412" s="6"/>
      <c r="J412" s="6"/>
      <c r="K412" s="6"/>
      <c r="L412" s="6"/>
      <c r="M412" s="6"/>
      <c r="N412" s="6"/>
      <c r="O412" s="6"/>
      <c r="P412" s="6"/>
      <c r="Q412" s="6"/>
      <c r="R412" s="6"/>
      <c r="S412" s="4"/>
    </row>
    <row r="413" spans="3:19" x14ac:dyDescent="0.25">
      <c r="C413" s="3"/>
      <c r="D413" s="6"/>
      <c r="E413" s="6"/>
      <c r="F413" s="6"/>
      <c r="G413" s="6"/>
      <c r="H413" s="6"/>
      <c r="I413" s="6"/>
      <c r="J413" s="6"/>
      <c r="K413" s="6"/>
      <c r="L413" s="6"/>
      <c r="M413" s="6"/>
      <c r="N413" s="6"/>
      <c r="O413" s="6"/>
      <c r="P413" s="6"/>
      <c r="Q413" s="6"/>
      <c r="R413" s="6"/>
      <c r="S413" s="4"/>
    </row>
    <row r="414" spans="3:19" x14ac:dyDescent="0.25">
      <c r="C414" s="3"/>
      <c r="D414" s="6"/>
      <c r="E414" s="6"/>
      <c r="F414" s="6"/>
      <c r="G414" s="6"/>
      <c r="H414" s="6"/>
      <c r="I414" s="6"/>
      <c r="J414" s="6"/>
      <c r="K414" s="6"/>
      <c r="L414" s="6"/>
      <c r="M414" s="6"/>
      <c r="N414" s="6"/>
      <c r="O414" s="6"/>
      <c r="P414" s="6"/>
      <c r="Q414" s="6"/>
      <c r="R414" s="6"/>
      <c r="S414" s="4"/>
    </row>
    <row r="415" spans="3:19" x14ac:dyDescent="0.25">
      <c r="C415" s="3"/>
      <c r="D415" s="6"/>
      <c r="E415" s="6"/>
      <c r="F415" s="6"/>
      <c r="G415" s="6"/>
      <c r="H415" s="6"/>
      <c r="I415" s="6"/>
      <c r="J415" s="6"/>
      <c r="K415" s="6"/>
      <c r="L415" s="6"/>
      <c r="M415" s="6"/>
      <c r="N415" s="6"/>
      <c r="O415" s="6"/>
      <c r="P415" s="6"/>
      <c r="Q415" s="6"/>
      <c r="R415" s="6"/>
      <c r="S415" s="4"/>
    </row>
    <row r="416" spans="3:19" x14ac:dyDescent="0.25">
      <c r="C416" s="3"/>
      <c r="D416" s="6"/>
      <c r="E416" s="6"/>
      <c r="F416" s="6"/>
      <c r="G416" s="6"/>
      <c r="H416" s="6"/>
      <c r="I416" s="6"/>
      <c r="J416" s="6"/>
      <c r="K416" s="6"/>
      <c r="L416" s="6"/>
      <c r="M416" s="6"/>
      <c r="N416" s="6"/>
      <c r="O416" s="6"/>
      <c r="P416" s="6"/>
      <c r="Q416" s="6"/>
      <c r="R416" s="6"/>
      <c r="S416" s="4"/>
    </row>
    <row r="417" spans="3:19" x14ac:dyDescent="0.25">
      <c r="C417" s="3"/>
      <c r="D417" s="6"/>
      <c r="E417" s="6"/>
      <c r="F417" s="6"/>
      <c r="G417" s="6"/>
      <c r="H417" s="6"/>
      <c r="I417" s="6"/>
      <c r="J417" s="6"/>
      <c r="K417" s="6"/>
      <c r="L417" s="6"/>
      <c r="M417" s="6"/>
      <c r="N417" s="6"/>
      <c r="O417" s="6"/>
      <c r="P417" s="6"/>
      <c r="Q417" s="6"/>
      <c r="R417" s="6"/>
      <c r="S417" s="4"/>
    </row>
    <row r="418" spans="3:19" x14ac:dyDescent="0.25">
      <c r="C418" s="3"/>
      <c r="D418" s="6"/>
      <c r="E418" s="6"/>
      <c r="F418" s="6"/>
      <c r="G418" s="6"/>
      <c r="H418" s="6"/>
      <c r="I418" s="6"/>
      <c r="J418" s="6"/>
      <c r="K418" s="6"/>
      <c r="L418" s="6"/>
      <c r="M418" s="6"/>
      <c r="N418" s="6"/>
      <c r="O418" s="6"/>
      <c r="P418" s="6"/>
      <c r="Q418" s="6"/>
      <c r="R418" s="6"/>
      <c r="S418" s="4"/>
    </row>
    <row r="419" spans="3:19" x14ac:dyDescent="0.25">
      <c r="C419" s="3"/>
      <c r="D419" s="6"/>
      <c r="E419" s="6"/>
      <c r="F419" s="6"/>
      <c r="G419" s="6"/>
      <c r="H419" s="6"/>
      <c r="I419" s="6"/>
      <c r="J419" s="6"/>
      <c r="K419" s="6"/>
      <c r="L419" s="6"/>
      <c r="M419" s="6"/>
      <c r="N419" s="6"/>
      <c r="O419" s="6"/>
      <c r="P419" s="6"/>
      <c r="Q419" s="6"/>
      <c r="R419" s="6"/>
      <c r="S419" s="4"/>
    </row>
    <row r="420" spans="3:19" x14ac:dyDescent="0.25">
      <c r="C420" s="3"/>
      <c r="D420" s="6"/>
      <c r="E420" s="6"/>
      <c r="F420" s="6"/>
      <c r="G420" s="6"/>
      <c r="H420" s="6"/>
      <c r="I420" s="6"/>
      <c r="J420" s="6"/>
      <c r="K420" s="6"/>
      <c r="L420" s="6"/>
      <c r="M420" s="6"/>
      <c r="N420" s="6"/>
      <c r="O420" s="6"/>
      <c r="P420" s="6"/>
      <c r="Q420" s="6"/>
      <c r="R420" s="6"/>
      <c r="S420" s="4"/>
    </row>
    <row r="421" spans="3:19" x14ac:dyDescent="0.25">
      <c r="C421" s="3"/>
      <c r="D421" s="6"/>
      <c r="E421" s="6"/>
      <c r="F421" s="6"/>
      <c r="G421" s="6"/>
      <c r="H421" s="6"/>
      <c r="I421" s="6"/>
      <c r="J421" s="6"/>
      <c r="K421" s="6"/>
      <c r="L421" s="6"/>
      <c r="M421" s="6"/>
      <c r="N421" s="6"/>
      <c r="O421" s="6"/>
      <c r="P421" s="6"/>
      <c r="Q421" s="6"/>
      <c r="R421" s="6"/>
      <c r="S421" s="4"/>
    </row>
    <row r="422" spans="3:19" x14ac:dyDescent="0.25">
      <c r="C422" s="3"/>
      <c r="D422" s="6"/>
      <c r="E422" s="6"/>
      <c r="F422" s="6"/>
      <c r="G422" s="6"/>
      <c r="H422" s="6"/>
      <c r="I422" s="6"/>
      <c r="J422" s="6"/>
      <c r="K422" s="6"/>
      <c r="L422" s="6"/>
      <c r="M422" s="6"/>
      <c r="N422" s="6"/>
      <c r="O422" s="6"/>
      <c r="P422" s="6"/>
      <c r="Q422" s="6"/>
      <c r="R422" s="6"/>
      <c r="S422" s="4"/>
    </row>
    <row r="423" spans="3:19" x14ac:dyDescent="0.25">
      <c r="C423" s="3"/>
      <c r="D423" s="6"/>
      <c r="E423" s="6"/>
      <c r="F423" s="6"/>
      <c r="G423" s="6"/>
      <c r="H423" s="6"/>
      <c r="I423" s="6"/>
      <c r="J423" s="6"/>
      <c r="K423" s="6"/>
      <c r="L423" s="6"/>
      <c r="M423" s="6"/>
      <c r="N423" s="6"/>
      <c r="O423" s="6"/>
      <c r="P423" s="6"/>
      <c r="Q423" s="6"/>
      <c r="R423" s="6"/>
      <c r="S423" s="4"/>
    </row>
    <row r="424" spans="3:19" x14ac:dyDescent="0.25">
      <c r="C424" s="3"/>
      <c r="D424" s="6"/>
      <c r="E424" s="6"/>
      <c r="F424" s="6"/>
      <c r="G424" s="6"/>
      <c r="H424" s="6"/>
      <c r="I424" s="6"/>
      <c r="J424" s="6"/>
      <c r="K424" s="6"/>
      <c r="L424" s="6"/>
      <c r="M424" s="6"/>
      <c r="N424" s="6"/>
      <c r="O424" s="6"/>
      <c r="P424" s="6"/>
      <c r="Q424" s="6"/>
      <c r="R424" s="6"/>
      <c r="S424" s="4"/>
    </row>
    <row r="425" spans="3:19" x14ac:dyDescent="0.25">
      <c r="C425" s="3"/>
      <c r="D425" s="3"/>
      <c r="E425" s="3"/>
      <c r="F425" s="3"/>
      <c r="G425" s="3"/>
      <c r="H425" s="3"/>
      <c r="I425" s="3"/>
      <c r="J425" s="3"/>
      <c r="K425" s="3"/>
      <c r="L425" s="3"/>
      <c r="M425" s="3"/>
      <c r="N425" s="3"/>
      <c r="O425" s="3"/>
      <c r="P425" s="3"/>
      <c r="Q425" s="3"/>
      <c r="R425" s="3"/>
    </row>
  </sheetData>
  <mergeCells count="21">
    <mergeCell ref="U6:U7"/>
    <mergeCell ref="V6:V7"/>
    <mergeCell ref="T4:V4"/>
    <mergeCell ref="C41:C42"/>
    <mergeCell ref="C79:C82"/>
    <mergeCell ref="C10:D10"/>
    <mergeCell ref="C12:D12"/>
    <mergeCell ref="C11:D11"/>
    <mergeCell ref="C9:D9"/>
    <mergeCell ref="T6:T7"/>
    <mergeCell ref="N13:R13"/>
    <mergeCell ref="H13:L13"/>
    <mergeCell ref="H6:L6"/>
    <mergeCell ref="H7:I7"/>
    <mergeCell ref="K7:L7"/>
    <mergeCell ref="B6:F6"/>
    <mergeCell ref="B2:F2"/>
    <mergeCell ref="B3:F3"/>
    <mergeCell ref="B4:F4"/>
    <mergeCell ref="H2:L4"/>
    <mergeCell ref="C13:D13"/>
  </mergeCells>
  <dataValidations count="1">
    <dataValidation type="list" allowBlank="1" showInputMessage="1" showErrorMessage="1" sqref="C8" xr:uid="{00000000-0002-0000-0300-000000000000}">
      <formula1>$T$8:$T$9</formula1>
    </dataValidation>
  </dataValidations>
  <hyperlinks>
    <hyperlink ref="B4" r:id="rId1" xr:uid="{00000000-0004-0000-0300-000000000000}"/>
    <hyperlink ref="U14" r:id="rId2" location="how-much" xr:uid="{00000000-0004-0000-0300-000001000000}"/>
    <hyperlink ref="C11" r:id="rId3" xr:uid="{00000000-0004-0000-0300-000002000000}"/>
    <hyperlink ref="X3" r:id="rId4" xr:uid="{00000000-0004-0000-0300-000003000000}"/>
  </hyperlinks>
  <pageMargins left="0.7" right="0.7" top="0.75" bottom="0.75" header="0.3" footer="0.3"/>
  <pageSetup orientation="portrait" r:id="rId5"/>
  <drawing r:id="rId6"/>
  <legacyDrawing r:id="rId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B735"/>
  <sheetViews>
    <sheetView workbookViewId="0">
      <pane ySplit="14" topLeftCell="A15" activePane="bottomLeft" state="frozen"/>
      <selection pane="bottomLeft" activeCell="B2" sqref="B2:F2"/>
    </sheetView>
  </sheetViews>
  <sheetFormatPr defaultRowHeight="15" x14ac:dyDescent="0.25"/>
  <cols>
    <col min="1" max="1" width="1.5703125" customWidth="1"/>
    <col min="2" max="16" width="12.5703125" style="2" customWidth="1"/>
    <col min="17" max="17" width="1.5703125" style="2" customWidth="1"/>
    <col min="18" max="18" width="15.5703125" style="2" customWidth="1"/>
    <col min="19" max="19" width="9.140625" style="2"/>
    <col min="20" max="20" width="13.5703125" style="2" customWidth="1"/>
    <col min="21" max="30" width="9.140625" style="2"/>
  </cols>
  <sheetData>
    <row r="1" spans="1:158" s="5" customFormat="1" ht="3" customHeight="1" x14ac:dyDescent="0.4">
      <c r="A1" s="21"/>
      <c r="B1" s="21"/>
      <c r="C1" s="21"/>
      <c r="D1" s="21"/>
      <c r="E1" s="22"/>
      <c r="F1" s="21"/>
      <c r="G1" s="22"/>
      <c r="H1" s="22"/>
      <c r="I1" s="22"/>
      <c r="J1" s="22"/>
      <c r="K1" s="22" t="s">
        <v>94</v>
      </c>
      <c r="L1" s="22"/>
      <c r="M1" s="22"/>
      <c r="N1" s="22"/>
      <c r="O1" s="22"/>
      <c r="P1" s="22"/>
      <c r="Q1" s="22"/>
      <c r="R1" s="24"/>
      <c r="S1" s="24"/>
      <c r="T1" s="19"/>
      <c r="U1" s="19"/>
      <c r="V1" s="19"/>
      <c r="W1" s="19"/>
      <c r="X1" s="20"/>
      <c r="Y1" s="20"/>
      <c r="Z1" s="20"/>
      <c r="AA1" s="20"/>
      <c r="AB1" s="20"/>
      <c r="AC1" s="20"/>
      <c r="AD1" s="20"/>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row>
    <row r="2" spans="1:158" s="5" customFormat="1" ht="24" customHeight="1" x14ac:dyDescent="0.4">
      <c r="A2" s="129"/>
      <c r="B2" s="359" t="s">
        <v>134</v>
      </c>
      <c r="C2" s="359"/>
      <c r="D2" s="359"/>
      <c r="E2" s="359"/>
      <c r="F2" s="359"/>
      <c r="G2" s="141"/>
      <c r="H2" s="362" t="s">
        <v>113</v>
      </c>
      <c r="I2" s="362"/>
      <c r="J2" s="362"/>
      <c r="K2" s="362"/>
      <c r="L2" s="362"/>
      <c r="M2" s="57"/>
      <c r="N2" s="57"/>
      <c r="O2" s="57"/>
      <c r="P2" s="57"/>
      <c r="Q2" s="57"/>
      <c r="R2" s="24"/>
      <c r="S2" s="18"/>
      <c r="T2" s="18"/>
      <c r="U2" s="18"/>
      <c r="V2" s="18"/>
      <c r="W2" s="18"/>
      <c r="X2" s="18"/>
      <c r="Y2" s="18"/>
      <c r="Z2" s="18"/>
      <c r="AA2" s="18"/>
      <c r="AB2" s="18"/>
      <c r="AC2" s="18"/>
      <c r="AD2" s="18"/>
      <c r="AE2" s="18"/>
      <c r="AF2" s="20"/>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row>
    <row r="3" spans="1:158" s="199" customFormat="1" ht="15.95" customHeight="1" x14ac:dyDescent="0.2">
      <c r="A3" s="192"/>
      <c r="B3" s="360" t="s">
        <v>114</v>
      </c>
      <c r="C3" s="360"/>
      <c r="D3" s="360"/>
      <c r="E3" s="360"/>
      <c r="F3" s="360"/>
      <c r="G3" s="194"/>
      <c r="H3" s="362"/>
      <c r="I3" s="362"/>
      <c r="J3" s="362"/>
      <c r="K3" s="362"/>
      <c r="L3" s="362"/>
      <c r="M3" s="195"/>
      <c r="N3" s="195"/>
      <c r="O3" s="195"/>
      <c r="P3" s="195"/>
      <c r="Q3" s="195"/>
      <c r="R3" s="196"/>
      <c r="S3" s="197"/>
      <c r="T3" s="197"/>
      <c r="U3" s="197"/>
      <c r="V3" s="197"/>
      <c r="W3" s="197"/>
      <c r="X3" s="197"/>
      <c r="Y3" s="197"/>
      <c r="Z3" s="197"/>
      <c r="AA3" s="197"/>
      <c r="AB3" s="197"/>
      <c r="AC3" s="197"/>
      <c r="AD3" s="197"/>
      <c r="AE3" s="197"/>
      <c r="AF3" s="198"/>
      <c r="AG3" s="196"/>
      <c r="AH3" s="196"/>
      <c r="AI3" s="196"/>
      <c r="AJ3" s="196"/>
      <c r="AK3" s="196"/>
      <c r="AL3" s="196"/>
      <c r="AM3" s="196"/>
      <c r="AN3" s="196"/>
      <c r="AO3" s="196"/>
      <c r="AP3" s="196"/>
      <c r="AQ3" s="196"/>
      <c r="AR3" s="196"/>
      <c r="AS3" s="196"/>
      <c r="AT3" s="196"/>
      <c r="AU3" s="196"/>
      <c r="AV3" s="196"/>
      <c r="AW3" s="196"/>
      <c r="AX3" s="196"/>
      <c r="AY3" s="196"/>
      <c r="AZ3" s="196"/>
      <c r="BA3" s="196"/>
      <c r="BB3" s="196"/>
      <c r="BC3" s="196"/>
      <c r="BD3" s="196"/>
      <c r="BE3" s="196"/>
      <c r="BF3" s="196"/>
      <c r="BG3" s="196"/>
      <c r="BH3" s="196"/>
      <c r="BI3" s="196"/>
      <c r="BJ3" s="196"/>
      <c r="BK3" s="196"/>
      <c r="BL3" s="196"/>
      <c r="BM3" s="196"/>
      <c r="BN3" s="196"/>
      <c r="BO3" s="196"/>
      <c r="BP3" s="196"/>
      <c r="BQ3" s="196"/>
      <c r="BR3" s="196"/>
      <c r="BS3" s="196"/>
      <c r="BT3" s="196"/>
      <c r="BU3" s="196"/>
      <c r="BV3" s="196"/>
      <c r="BW3" s="196"/>
      <c r="BX3" s="196"/>
      <c r="BY3" s="196"/>
      <c r="BZ3" s="196"/>
      <c r="CA3" s="196"/>
      <c r="CB3" s="196"/>
      <c r="CC3" s="196"/>
      <c r="CD3" s="196"/>
      <c r="CE3" s="196"/>
      <c r="CF3" s="196"/>
      <c r="CG3" s="196"/>
      <c r="CH3" s="196"/>
      <c r="CI3" s="196"/>
      <c r="CJ3" s="196"/>
      <c r="CK3" s="196"/>
      <c r="CL3" s="196"/>
      <c r="CM3" s="196"/>
      <c r="CN3" s="196"/>
      <c r="CO3" s="196"/>
      <c r="CP3" s="196"/>
      <c r="CQ3" s="196"/>
      <c r="CR3" s="196"/>
      <c r="CS3" s="196"/>
      <c r="CT3" s="196"/>
      <c r="CU3" s="196"/>
      <c r="CV3" s="196"/>
      <c r="CW3" s="196"/>
      <c r="CX3" s="196"/>
      <c r="CY3" s="196"/>
      <c r="CZ3" s="196"/>
      <c r="DA3" s="196"/>
      <c r="DB3" s="196"/>
      <c r="DC3" s="196"/>
      <c r="DD3" s="196"/>
      <c r="DE3" s="196"/>
      <c r="DF3" s="196"/>
      <c r="DG3" s="196"/>
      <c r="DH3" s="196"/>
      <c r="DI3" s="196"/>
      <c r="DJ3" s="196"/>
      <c r="DK3" s="196"/>
      <c r="DL3" s="196"/>
      <c r="DM3" s="196"/>
      <c r="DN3" s="196"/>
      <c r="DO3" s="196"/>
      <c r="DP3" s="196"/>
      <c r="DQ3" s="196"/>
      <c r="DR3" s="196"/>
      <c r="DS3" s="196"/>
      <c r="DT3" s="196"/>
      <c r="DU3" s="196"/>
      <c r="DV3" s="196"/>
      <c r="DW3" s="196"/>
      <c r="DX3" s="196"/>
      <c r="DY3" s="196"/>
      <c r="DZ3" s="196"/>
      <c r="EA3" s="196"/>
      <c r="EB3" s="196"/>
      <c r="EC3" s="196"/>
      <c r="ED3" s="196"/>
      <c r="EE3" s="196"/>
      <c r="EF3" s="196"/>
      <c r="EG3" s="196"/>
      <c r="EH3" s="196"/>
      <c r="EI3" s="196"/>
      <c r="EJ3" s="196"/>
      <c r="EK3" s="196"/>
      <c r="EL3" s="196"/>
      <c r="EM3" s="196"/>
      <c r="EN3" s="196"/>
      <c r="EO3" s="196"/>
      <c r="EP3" s="196"/>
      <c r="EQ3" s="196"/>
      <c r="ER3" s="196"/>
      <c r="ES3" s="196"/>
      <c r="ET3" s="196"/>
      <c r="EU3" s="196"/>
      <c r="EV3" s="196"/>
      <c r="EW3" s="196"/>
      <c r="EX3" s="196"/>
      <c r="EY3" s="196"/>
      <c r="EZ3" s="196"/>
      <c r="FA3" s="196"/>
      <c r="FB3" s="196"/>
    </row>
    <row r="4" spans="1:158" s="199" customFormat="1" ht="15.95" customHeight="1" x14ac:dyDescent="0.2">
      <c r="A4" s="192"/>
      <c r="B4" s="361" t="s">
        <v>0</v>
      </c>
      <c r="C4" s="361"/>
      <c r="D4" s="361"/>
      <c r="E4" s="361"/>
      <c r="F4" s="361"/>
      <c r="G4" s="201"/>
      <c r="H4" s="362"/>
      <c r="I4" s="362"/>
      <c r="J4" s="362"/>
      <c r="K4" s="362"/>
      <c r="L4" s="362"/>
      <c r="M4" s="202"/>
      <c r="N4" s="202"/>
      <c r="O4" s="202"/>
      <c r="P4" s="202"/>
      <c r="Q4" s="202"/>
      <c r="R4" s="196"/>
      <c r="S4" s="197"/>
      <c r="T4" s="197"/>
      <c r="U4" s="197"/>
      <c r="V4" s="197"/>
      <c r="W4" s="197"/>
      <c r="X4" s="197"/>
      <c r="Y4" s="197"/>
      <c r="Z4" s="197"/>
      <c r="AA4" s="197"/>
      <c r="AB4" s="197"/>
      <c r="AC4" s="197"/>
      <c r="AD4" s="197"/>
      <c r="AE4" s="197"/>
      <c r="AF4" s="198"/>
      <c r="AG4" s="196"/>
      <c r="AH4" s="196"/>
      <c r="AI4" s="196"/>
      <c r="AJ4" s="196"/>
      <c r="AK4" s="196"/>
      <c r="AL4" s="196"/>
      <c r="AM4" s="196"/>
      <c r="AN4" s="196"/>
      <c r="AO4" s="196"/>
      <c r="AP4" s="196"/>
      <c r="AQ4" s="196"/>
      <c r="AR4" s="196"/>
      <c r="AS4" s="196"/>
      <c r="AT4" s="196"/>
      <c r="AU4" s="196"/>
      <c r="AV4" s="196"/>
      <c r="AW4" s="196"/>
      <c r="AX4" s="196"/>
      <c r="AY4" s="196"/>
      <c r="AZ4" s="196"/>
      <c r="BA4" s="196"/>
      <c r="BB4" s="196"/>
      <c r="BC4" s="196"/>
      <c r="BD4" s="196"/>
      <c r="BE4" s="196"/>
      <c r="BF4" s="196"/>
      <c r="BG4" s="196"/>
      <c r="BH4" s="196"/>
      <c r="BI4" s="196"/>
      <c r="BJ4" s="196"/>
      <c r="BK4" s="196"/>
      <c r="BL4" s="196"/>
      <c r="BM4" s="196"/>
      <c r="BN4" s="196"/>
      <c r="BO4" s="196"/>
      <c r="BP4" s="196"/>
      <c r="BQ4" s="196"/>
      <c r="BR4" s="196"/>
      <c r="BS4" s="196"/>
      <c r="BT4" s="196"/>
      <c r="BU4" s="196"/>
      <c r="BV4" s="196"/>
      <c r="BW4" s="196"/>
      <c r="BX4" s="196"/>
      <c r="BY4" s="196"/>
      <c r="BZ4" s="196"/>
      <c r="CA4" s="196"/>
      <c r="CB4" s="196"/>
      <c r="CC4" s="196"/>
      <c r="CD4" s="196"/>
      <c r="CE4" s="196"/>
      <c r="CF4" s="196"/>
      <c r="CG4" s="196"/>
      <c r="CH4" s="196"/>
      <c r="CI4" s="196"/>
      <c r="CJ4" s="196"/>
      <c r="CK4" s="196"/>
      <c r="CL4" s="196"/>
      <c r="CM4" s="196"/>
      <c r="CN4" s="196"/>
      <c r="CO4" s="196"/>
      <c r="CP4" s="196"/>
      <c r="CQ4" s="196"/>
      <c r="CR4" s="196"/>
      <c r="CS4" s="196"/>
      <c r="CT4" s="196"/>
      <c r="CU4" s="196"/>
      <c r="CV4" s="196"/>
      <c r="CW4" s="196"/>
      <c r="CX4" s="196"/>
      <c r="CY4" s="196"/>
      <c r="CZ4" s="196"/>
      <c r="DA4" s="196"/>
      <c r="DB4" s="196"/>
      <c r="DC4" s="196"/>
      <c r="DD4" s="196"/>
      <c r="DE4" s="196"/>
      <c r="DF4" s="196"/>
      <c r="DG4" s="196"/>
      <c r="DH4" s="196"/>
      <c r="DI4" s="196"/>
      <c r="DJ4" s="196"/>
      <c r="DK4" s="196"/>
      <c r="DL4" s="196"/>
      <c r="DM4" s="196"/>
      <c r="DN4" s="196"/>
      <c r="DO4" s="196"/>
      <c r="DP4" s="196"/>
      <c r="DQ4" s="196"/>
      <c r="DR4" s="196"/>
      <c r="DS4" s="196"/>
      <c r="DT4" s="196"/>
      <c r="DU4" s="196"/>
      <c r="DV4" s="196"/>
      <c r="DW4" s="196"/>
      <c r="DX4" s="196"/>
      <c r="DY4" s="196"/>
      <c r="DZ4" s="196"/>
      <c r="EA4" s="196"/>
      <c r="EB4" s="196"/>
      <c r="EC4" s="196"/>
      <c r="ED4" s="196"/>
      <c r="EE4" s="196"/>
      <c r="EF4" s="196"/>
      <c r="EG4" s="196"/>
      <c r="EH4" s="196"/>
      <c r="EI4" s="196"/>
      <c r="EJ4" s="196"/>
      <c r="EK4" s="196"/>
      <c r="EL4" s="196"/>
      <c r="EM4" s="196"/>
      <c r="EN4" s="196"/>
      <c r="EO4" s="196"/>
      <c r="EP4" s="196"/>
      <c r="EQ4" s="196"/>
      <c r="ER4" s="196"/>
      <c r="ES4" s="196"/>
      <c r="ET4" s="196"/>
      <c r="EU4" s="196"/>
      <c r="EV4" s="196"/>
      <c r="EW4" s="196"/>
      <c r="EX4" s="196"/>
      <c r="EY4" s="196"/>
      <c r="EZ4" s="196"/>
      <c r="FA4" s="196"/>
      <c r="FB4" s="196"/>
    </row>
    <row r="5" spans="1:158" s="5" customFormat="1" ht="3" customHeight="1" x14ac:dyDescent="0.25">
      <c r="A5" s="129"/>
      <c r="B5" s="129"/>
      <c r="C5" s="129"/>
      <c r="D5" s="82"/>
      <c r="E5" s="78"/>
      <c r="F5" s="129"/>
      <c r="G5" s="78"/>
      <c r="H5" s="78"/>
      <c r="I5" s="78"/>
      <c r="J5" s="78"/>
      <c r="K5" s="78"/>
      <c r="L5" s="78"/>
      <c r="M5" s="78"/>
      <c r="N5" s="78"/>
      <c r="O5" s="78"/>
      <c r="P5" s="78"/>
      <c r="Q5" s="130"/>
      <c r="R5" s="18"/>
      <c r="S5" s="18"/>
      <c r="T5" s="18"/>
      <c r="U5" s="18"/>
      <c r="V5" s="18"/>
      <c r="W5" s="18"/>
      <c r="X5" s="18"/>
      <c r="Y5" s="18"/>
      <c r="Z5" s="18"/>
      <c r="AA5" s="18"/>
      <c r="AB5" s="18"/>
      <c r="AC5" s="18"/>
      <c r="AD5" s="20"/>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row>
    <row r="6" spans="1:158" s="2" customFormat="1" x14ac:dyDescent="0.25">
      <c r="A6" s="130"/>
      <c r="B6" s="241" t="s">
        <v>55</v>
      </c>
      <c r="C6" s="241"/>
      <c r="D6" s="241"/>
      <c r="E6" s="241"/>
      <c r="F6" s="241"/>
      <c r="G6" s="241"/>
      <c r="H6" s="131"/>
      <c r="I6" s="131"/>
      <c r="J6" s="131"/>
      <c r="K6" s="131"/>
      <c r="L6" s="118"/>
      <c r="M6" s="118"/>
      <c r="N6" s="118"/>
      <c r="O6" s="118"/>
      <c r="P6" s="118"/>
      <c r="Q6" s="118"/>
      <c r="R6" s="7"/>
    </row>
    <row r="7" spans="1:158" s="2" customFormat="1" ht="14.1" customHeight="1" x14ac:dyDescent="0.25">
      <c r="A7" s="130"/>
      <c r="B7" s="153" t="s">
        <v>95</v>
      </c>
      <c r="C7" s="118" t="s">
        <v>263</v>
      </c>
      <c r="D7" s="153">
        <v>0</v>
      </c>
      <c r="E7" s="374" t="s">
        <v>265</v>
      </c>
      <c r="F7" s="374"/>
      <c r="G7" s="328">
        <f ca="1">SUM('College Schedule'!AA6:AA11)</f>
        <v>360</v>
      </c>
      <c r="H7" s="153"/>
      <c r="I7" s="154"/>
      <c r="J7" s="143"/>
      <c r="K7" s="118"/>
      <c r="L7" s="118"/>
      <c r="M7" s="118"/>
      <c r="N7" s="118"/>
      <c r="O7" s="118"/>
      <c r="P7" s="118"/>
      <c r="Q7" s="153"/>
      <c r="R7" s="7"/>
    </row>
    <row r="8" spans="1:158" s="7" customFormat="1" ht="14.1" customHeight="1" x14ac:dyDescent="0.25">
      <c r="A8" s="130"/>
      <c r="B8" s="153" t="s">
        <v>97</v>
      </c>
      <c r="C8" s="118" t="s">
        <v>263</v>
      </c>
      <c r="D8" s="163">
        <f>G8+'College Schedule'!E10</f>
        <v>532</v>
      </c>
      <c r="E8" s="374" t="s">
        <v>96</v>
      </c>
      <c r="F8" s="374"/>
      <c r="G8" s="286">
        <v>480</v>
      </c>
      <c r="H8" s="145"/>
      <c r="I8" s="145"/>
      <c r="J8" s="118"/>
      <c r="K8" s="118"/>
      <c r="L8" s="118"/>
      <c r="M8" s="118"/>
      <c r="N8" s="118"/>
      <c r="O8" s="118"/>
      <c r="P8" s="153"/>
      <c r="Q8" s="153"/>
    </row>
    <row r="9" spans="1:158" s="7" customFormat="1" ht="14.1" customHeight="1" x14ac:dyDescent="0.25">
      <c r="A9" s="130"/>
      <c r="B9" s="170"/>
      <c r="C9" s="118"/>
      <c r="D9" s="170"/>
      <c r="E9" s="131" t="s">
        <v>136</v>
      </c>
      <c r="F9" s="131"/>
      <c r="G9" s="331">
        <f>2*'Government Figures'!B8</f>
        <v>0.04</v>
      </c>
      <c r="H9" s="145"/>
      <c r="I9" s="145"/>
      <c r="J9" s="118"/>
      <c r="K9" s="118"/>
      <c r="L9" s="118"/>
      <c r="M9" s="118"/>
      <c r="N9" s="118"/>
      <c r="O9" s="118"/>
      <c r="P9" s="170"/>
      <c r="Q9" s="170"/>
    </row>
    <row r="10" spans="1:158" s="7" customFormat="1" ht="14.1" customHeight="1" x14ac:dyDescent="0.25">
      <c r="A10" s="130"/>
      <c r="B10" s="118" t="s">
        <v>98</v>
      </c>
      <c r="C10" s="301">
        <f ca="1">INDIRECT("C"&amp;(15+$G$7))</f>
        <v>-456.65852301352425</v>
      </c>
      <c r="D10" s="301">
        <f ca="1">INDIRECT("D"&amp;(15+$G$7))</f>
        <v>704.45357066079168</v>
      </c>
      <c r="E10" s="301">
        <f ca="1">INDIRECT("E"&amp;(15+$G$7))</f>
        <v>190421.6663416512</v>
      </c>
      <c r="F10" s="301">
        <f ca="1">INDIRECT("F"&amp;(15+$G$7))</f>
        <v>3712.8299545194677</v>
      </c>
      <c r="G10" s="317"/>
      <c r="H10" s="317"/>
      <c r="I10" s="301">
        <f ca="1">INDIRECT("I"&amp;(15+$G$8))</f>
        <v>10097.236915934933</v>
      </c>
      <c r="J10" s="301">
        <f ca="1">INDIRECT("J"&amp;(15+$G$8))</f>
        <v>3814.2784384022098</v>
      </c>
      <c r="K10" s="301">
        <f ca="1">INDIRECT("K"&amp;(15+$G$8))</f>
        <v>772.14128374458016</v>
      </c>
      <c r="L10" s="317"/>
      <c r="M10" s="317"/>
      <c r="N10" s="301">
        <f ca="1">INDIRECT("N"&amp;(15+$G$8))</f>
        <v>6058.3421495609609</v>
      </c>
      <c r="O10" s="301">
        <f ca="1">INDIRECT("O"&amp;(15+$G$8))</f>
        <v>692.07550042277126</v>
      </c>
      <c r="P10" s="301">
        <f ca="1">INDIRECT("P"&amp;(15+$G$8))</f>
        <v>140.09990984519254</v>
      </c>
      <c r="Q10" s="153"/>
    </row>
    <row r="11" spans="1:158" s="7" customFormat="1" ht="14.1" customHeight="1" x14ac:dyDescent="0.25">
      <c r="A11" s="130"/>
      <c r="B11" s="118" t="s">
        <v>99</v>
      </c>
      <c r="C11" s="301">
        <f ca="1">SUM(C15:INDIRECT("C"&amp;(15+$G$7)))</f>
        <v>-90993.625993121619</v>
      </c>
      <c r="D11" s="301">
        <f ca="1">SUM(D15:INDIRECT("D"&amp;(15+$G$7)))</f>
        <v>180199.84314613687</v>
      </c>
      <c r="E11" s="301"/>
      <c r="F11" s="301">
        <f ca="1">SUM(F15:INDIRECT("F"&amp;(15+$G$7)))</f>
        <v>1006174.8038839486</v>
      </c>
      <c r="G11" s="317"/>
      <c r="H11" s="317"/>
      <c r="I11" s="301">
        <f ca="1">SUM(I15:INDIRECT("I"&amp;(15+$G$8)))</f>
        <v>3339897.3986336836</v>
      </c>
      <c r="J11" s="318">
        <f ca="1">SUM(J15:INDIRECT("J"&amp;(15+$G$8)))</f>
        <v>1072779.8001086949</v>
      </c>
      <c r="K11" s="318">
        <f ca="1">SUM(K15:INDIRECT("K"&amp;(15+$G$8)))</f>
        <v>415256.5438136069</v>
      </c>
      <c r="L11" s="317"/>
      <c r="M11" s="317"/>
      <c r="N11" s="301">
        <f ca="1">SUM(N15:INDIRECT("N"&amp;(15+$G$8)))</f>
        <v>2003938.4391802091</v>
      </c>
      <c r="O11" s="318">
        <f ca="1">SUM(O15:INDIRECT("O"&amp;(15+$G$8)))</f>
        <v>280171.85325638467</v>
      </c>
      <c r="P11" s="318">
        <f ca="1">SUM(P15:INDIRECT("P"&amp;(15+$G$8)))</f>
        <v>154068.84870114081</v>
      </c>
      <c r="Q11" s="153"/>
    </row>
    <row r="12" spans="1:158" ht="15" customHeight="1" thickBot="1" x14ac:dyDescent="0.3">
      <c r="A12" s="144"/>
      <c r="B12" s="119"/>
      <c r="C12" s="119"/>
      <c r="D12" s="119"/>
      <c r="E12" s="119"/>
      <c r="F12" s="146"/>
      <c r="G12" s="383"/>
      <c r="H12" s="383"/>
      <c r="I12" s="383"/>
      <c r="J12" s="383"/>
      <c r="K12" s="383"/>
      <c r="L12" s="383"/>
      <c r="M12" s="383"/>
      <c r="N12" s="383"/>
      <c r="O12" s="383"/>
      <c r="P12" s="383"/>
      <c r="Q12" s="118"/>
      <c r="R12" s="7"/>
    </row>
    <row r="13" spans="1:158" ht="18" customHeight="1" x14ac:dyDescent="0.25">
      <c r="A13" s="144"/>
      <c r="B13" s="381" t="s">
        <v>138</v>
      </c>
      <c r="C13" s="384" t="s">
        <v>100</v>
      </c>
      <c r="D13" s="384" t="s">
        <v>101</v>
      </c>
      <c r="E13" s="386" t="s">
        <v>102</v>
      </c>
      <c r="F13" s="381" t="s">
        <v>137</v>
      </c>
      <c r="G13" s="376" t="str">
        <f>'Career Comparison'!C13</f>
        <v>WMU</v>
      </c>
      <c r="H13" s="377"/>
      <c r="I13" s="377"/>
      <c r="J13" s="377"/>
      <c r="K13" s="378"/>
      <c r="L13" s="379" t="str">
        <f>'Career Comparison'!F13</f>
        <v>High School Diploma</v>
      </c>
      <c r="M13" s="379"/>
      <c r="N13" s="379"/>
      <c r="O13" s="379"/>
      <c r="P13" s="380"/>
      <c r="Q13" s="127"/>
      <c r="R13" s="7"/>
      <c r="S13" s="13"/>
      <c r="T13" s="13"/>
    </row>
    <row r="14" spans="1:158" ht="18" customHeight="1" thickBot="1" x14ac:dyDescent="0.3">
      <c r="A14" s="144"/>
      <c r="B14" s="382"/>
      <c r="C14" s="385"/>
      <c r="D14" s="385"/>
      <c r="E14" s="387"/>
      <c r="F14" s="382"/>
      <c r="G14" s="150" t="s">
        <v>103</v>
      </c>
      <c r="H14" s="151" t="s">
        <v>104</v>
      </c>
      <c r="I14" s="151" t="s">
        <v>105</v>
      </c>
      <c r="J14" s="151" t="s">
        <v>106</v>
      </c>
      <c r="K14" s="149" t="s">
        <v>107</v>
      </c>
      <c r="L14" s="151" t="s">
        <v>103</v>
      </c>
      <c r="M14" s="151" t="s">
        <v>104</v>
      </c>
      <c r="N14" s="151" t="s">
        <v>105</v>
      </c>
      <c r="O14" s="151" t="s">
        <v>106</v>
      </c>
      <c r="P14" s="149" t="s">
        <v>107</v>
      </c>
      <c r="Q14" s="128"/>
      <c r="R14" s="7"/>
      <c r="V14"/>
      <c r="W14"/>
      <c r="X14"/>
      <c r="Y14"/>
      <c r="Z14"/>
      <c r="AA14"/>
      <c r="AB14"/>
      <c r="AC14"/>
      <c r="AD14"/>
    </row>
    <row r="15" spans="1:158" s="288" customFormat="1" x14ac:dyDescent="0.25">
      <c r="A15" s="287"/>
      <c r="B15" s="282">
        <v>0</v>
      </c>
      <c r="C15" s="375" t="str">
        <f ca="1">IF(E15&gt;=0, "Payments are due", "Savings yield income")</f>
        <v>Payments are due</v>
      </c>
      <c r="D15" s="375"/>
      <c r="E15" s="315">
        <f ca="1">-('College Schedule'!I8)</f>
        <v>99428.040348529583</v>
      </c>
      <c r="F15" s="312"/>
      <c r="G15" s="277"/>
      <c r="H15" s="277"/>
      <c r="I15" s="304"/>
      <c r="J15" s="304">
        <f ca="1">-E15</f>
        <v>-99428.040348529583</v>
      </c>
      <c r="K15" s="304">
        <f t="shared" ref="K15:K78" ca="1" si="0">J15/(1+($G$9/12))^B15</f>
        <v>-99428.040348529583</v>
      </c>
      <c r="L15" s="277"/>
      <c r="M15" s="277"/>
      <c r="N15" s="304"/>
      <c r="O15" s="316">
        <f ca="1">'College Schedule'!I9</f>
        <v>51251.686010205674</v>
      </c>
      <c r="P15" s="304">
        <f t="shared" ref="P15:P78" ca="1" si="1">O15/(1+($G$9/12))^B15</f>
        <v>51251.686010205674</v>
      </c>
      <c r="Q15" s="282"/>
      <c r="R15" s="281"/>
      <c r="S15" s="281"/>
      <c r="T15" s="281"/>
      <c r="U15" s="281"/>
    </row>
    <row r="16" spans="1:158" s="292" customFormat="1" x14ac:dyDescent="0.25">
      <c r="A16" s="287"/>
      <c r="B16" s="282">
        <f t="shared" ref="B16:B79" si="2">B15+1</f>
        <v>1</v>
      </c>
      <c r="C16" s="304">
        <f ca="1">E15-E16</f>
        <v>-120.91726864520751</v>
      </c>
      <c r="D16" s="304">
        <f ca="1">IF(ROUND(E15,0)&lt;&gt;0, 'Career Comparison'!$F$28-C16, 0)</f>
        <v>368.71231629247495</v>
      </c>
      <c r="E16" s="304">
        <f ca="1">IF(G$7&gt;=B16, E15*(1+'Government Figures'!$D$8/12)-'Career Comparison'!$F$28, 0)</f>
        <v>99548.95761717479</v>
      </c>
      <c r="F16" s="312">
        <f>'College Schedule'!$L$8*(1+'Government Figures'!$B$8/12)^B16</f>
        <v>2042.0599979703497</v>
      </c>
      <c r="G16" s="278">
        <v>1</v>
      </c>
      <c r="H16" s="289">
        <f ca="1">'Government Figures'!$H$37</f>
        <v>0.17320110972991043</v>
      </c>
      <c r="I16" s="316">
        <f>G16*('College Schedule'!$L$9)*(1+'Government Figures'!$B$8/12)^B16</f>
        <v>4547.5699797384568</v>
      </c>
      <c r="J16" s="316">
        <f t="shared" ref="J16:J79" ca="1" si="3">I16*(1-H16)-F16-C16-D16</f>
        <v>1470.0707670557126</v>
      </c>
      <c r="K16" s="304">
        <f t="shared" ca="1" si="0"/>
        <v>1465.1868110189826</v>
      </c>
      <c r="L16" s="278">
        <v>1</v>
      </c>
      <c r="M16" s="289">
        <f>'Government Figures'!$I$37</f>
        <v>0.13735784313725496</v>
      </c>
      <c r="N16" s="316">
        <f>L16*('College Schedule'!$L$10)*(1+'Government Figures'!$B$8/12)^B16</f>
        <v>2728.5419878430744</v>
      </c>
      <c r="O16" s="316">
        <f t="shared" ref="O16:O79" si="4">N16*(1-M16)-F16</f>
        <v>311.69534751316178</v>
      </c>
      <c r="P16" s="304">
        <f t="shared" si="1"/>
        <v>310.65981479717118</v>
      </c>
      <c r="Q16" s="277"/>
      <c r="R16" s="290"/>
      <c r="S16" s="291"/>
      <c r="T16" s="291"/>
      <c r="U16" s="291"/>
    </row>
    <row r="17" spans="1:30" s="292" customFormat="1" x14ac:dyDescent="0.25">
      <c r="A17" s="287"/>
      <c r="B17" s="282">
        <f t="shared" si="2"/>
        <v>2</v>
      </c>
      <c r="C17" s="304">
        <f t="shared" ref="C17:C79" ca="1" si="5">E16-E17</f>
        <v>-121.36567018310598</v>
      </c>
      <c r="D17" s="304">
        <f ca="1">IF(ROUND(E16,0)&lt;&gt;0, IF(ROUND(D16,0)&lt;&gt;0, 'Career Comparison'!$F$28-C17, 0), 0)</f>
        <v>369.16071783037341</v>
      </c>
      <c r="E17" s="304">
        <f ca="1">IF(G$7&gt;=B17, E16*(1+'Government Figures'!$D$8/12)-'Career Comparison'!$F$28, 0)</f>
        <v>99670.323287357896</v>
      </c>
      <c r="F17" s="312">
        <f>'College Schedule'!$L$8*(1+'Government Figures'!$B$8/12)^B17</f>
        <v>2045.4634313003005</v>
      </c>
      <c r="G17" s="278">
        <v>1</v>
      </c>
      <c r="H17" s="279">
        <f ca="1">H16</f>
        <v>0.17320110972991043</v>
      </c>
      <c r="I17" s="304">
        <f>G17*('College Schedule'!$L$9)*(1+'Government Figures'!$B$8/12)^B17</f>
        <v>4555.1492630380208</v>
      </c>
      <c r="J17" s="304">
        <f t="shared" ca="1" si="3"/>
        <v>1472.9338767468842</v>
      </c>
      <c r="K17" s="304">
        <f t="shared" ca="1" si="0"/>
        <v>1463.1631980576324</v>
      </c>
      <c r="L17" s="278">
        <v>1</v>
      </c>
      <c r="M17" s="279">
        <f>M16</f>
        <v>0.13735784313725496</v>
      </c>
      <c r="N17" s="304">
        <f>L17*('College Schedule'!$L$10)*(1+'Government Figures'!$B$8/12)^B17</f>
        <v>2733.0895578228128</v>
      </c>
      <c r="O17" s="304">
        <f t="shared" si="4"/>
        <v>312.21483975901697</v>
      </c>
      <c r="P17" s="304">
        <f t="shared" si="1"/>
        <v>310.14376859318907</v>
      </c>
      <c r="Q17" s="277"/>
      <c r="R17" s="291"/>
      <c r="S17" s="291"/>
      <c r="T17" s="291"/>
      <c r="U17" s="291"/>
    </row>
    <row r="18" spans="1:30" s="292" customFormat="1" x14ac:dyDescent="0.25">
      <c r="A18" s="287"/>
      <c r="B18" s="282">
        <f t="shared" si="2"/>
        <v>3</v>
      </c>
      <c r="C18" s="304">
        <f t="shared" ca="1" si="5"/>
        <v>-121.81573454337195</v>
      </c>
      <c r="D18" s="304">
        <f ca="1">IF(ROUND(E17,0)&lt;&gt;0, IF(ROUND(D17,0)&lt;&gt;0, 'Career Comparison'!$F$28-C18, 0), 0)</f>
        <v>369.61078219063938</v>
      </c>
      <c r="E18" s="304">
        <f ca="1">IF(G$7&gt;=B18, E17*(1+'Government Figures'!$D$8/12)-'Career Comparison'!$F$28, 0)</f>
        <v>99792.139021901268</v>
      </c>
      <c r="F18" s="312">
        <f>'College Schedule'!$L$8*(1+'Government Figures'!$B$8/12)^B18</f>
        <v>2048.8725370191341</v>
      </c>
      <c r="G18" s="278">
        <v>1</v>
      </c>
      <c r="H18" s="279">
        <f t="shared" ref="H18:H81" ca="1" si="6">H17</f>
        <v>0.17320110972991043</v>
      </c>
      <c r="I18" s="304">
        <f>G18*('College Schedule'!$L$9)*(1+'Government Figures'!$B$8/12)^B18</f>
        <v>4562.7411784764172</v>
      </c>
      <c r="J18" s="304">
        <f t="shared" ca="1" si="3"/>
        <v>1475.8017582875409</v>
      </c>
      <c r="K18" s="304">
        <f t="shared" ca="1" si="0"/>
        <v>1461.1415836155757</v>
      </c>
      <c r="L18" s="278">
        <v>1</v>
      </c>
      <c r="M18" s="279">
        <f t="shared" ref="M18:M81" si="7">M17</f>
        <v>0.13735784313725496</v>
      </c>
      <c r="N18" s="304">
        <f>L18*('College Schedule'!$L$10)*(1+'Government Figures'!$B$8/12)^B18</f>
        <v>2737.6447070858508</v>
      </c>
      <c r="O18" s="304">
        <f t="shared" si="4"/>
        <v>312.73519782528183</v>
      </c>
      <c r="P18" s="304">
        <f t="shared" si="1"/>
        <v>309.62857960881473</v>
      </c>
      <c r="Q18" s="277"/>
      <c r="R18" s="291"/>
      <c r="S18" s="291"/>
      <c r="T18" s="291"/>
      <c r="U18" s="291"/>
    </row>
    <row r="19" spans="1:30" s="292" customFormat="1" x14ac:dyDescent="0.25">
      <c r="A19" s="287"/>
      <c r="B19" s="282">
        <f t="shared" si="2"/>
        <v>4</v>
      </c>
      <c r="C19" s="304">
        <f t="shared" ca="1" si="5"/>
        <v>-122.26746789229219</v>
      </c>
      <c r="D19" s="304">
        <f ca="1">IF(ROUND(E18,0)&lt;&gt;0, IF(ROUND(D18,0)&lt;&gt;0, 'Career Comparison'!$F$28-C19, 0), 0)</f>
        <v>370.06251553955963</v>
      </c>
      <c r="E19" s="304">
        <f ca="1">IF(G$7&gt;=B19, E18*(1+'Government Figures'!$D$8/12)-'Career Comparison'!$F$28, 0)</f>
        <v>99914.40648979356</v>
      </c>
      <c r="F19" s="312">
        <f>'College Schedule'!$L$8*(1+'Government Figures'!$B$8/12)^B19</f>
        <v>2052.2873245808332</v>
      </c>
      <c r="G19" s="278">
        <v>1</v>
      </c>
      <c r="H19" s="279">
        <f t="shared" ca="1" si="6"/>
        <v>0.17320110972991043</v>
      </c>
      <c r="I19" s="304">
        <f>G19*('College Schedule'!$L$9)*(1+'Government Figures'!$B$8/12)^B19</f>
        <v>4570.3457471072124</v>
      </c>
      <c r="J19" s="304">
        <f t="shared" ca="1" si="3"/>
        <v>1478.6744196307659</v>
      </c>
      <c r="K19" s="304">
        <f t="shared" ca="1" si="0"/>
        <v>1459.1219689011341</v>
      </c>
      <c r="L19" s="278">
        <v>1</v>
      </c>
      <c r="M19" s="279">
        <f t="shared" si="7"/>
        <v>0.13735784313725496</v>
      </c>
      <c r="N19" s="304">
        <f>L19*('College Schedule'!$L$10)*(1+'Government Figures'!$B$8/12)^B19</f>
        <v>2742.2074482643279</v>
      </c>
      <c r="O19" s="304">
        <f t="shared" si="4"/>
        <v>313.2564231549909</v>
      </c>
      <c r="P19" s="304">
        <f t="shared" si="1"/>
        <v>309.11424642009609</v>
      </c>
      <c r="Q19" s="277"/>
      <c r="R19" s="291"/>
      <c r="S19" s="291"/>
      <c r="T19" s="291"/>
      <c r="U19" s="291"/>
    </row>
    <row r="20" spans="1:30" s="288" customFormat="1" x14ac:dyDescent="0.25">
      <c r="A20" s="287"/>
      <c r="B20" s="282">
        <f t="shared" si="2"/>
        <v>5</v>
      </c>
      <c r="C20" s="304">
        <f t="shared" ca="1" si="5"/>
        <v>-122.72087641905819</v>
      </c>
      <c r="D20" s="304">
        <f ca="1">IF(ROUND(E19,0)&lt;&gt;0, IF(ROUND(D19,0)&lt;&gt;0, 'Career Comparison'!$F$28-C20, 0), 0)</f>
        <v>370.51592406632562</v>
      </c>
      <c r="E20" s="304">
        <f ca="1">IF(G$7&gt;=B20, E19*(1+'Government Figures'!$D$8/12)-'Career Comparison'!$F$28, 0)</f>
        <v>100037.12736621262</v>
      </c>
      <c r="F20" s="312">
        <f>'College Schedule'!$L$8*(1+'Government Figures'!$B$8/12)^B20</f>
        <v>2055.7078034551346</v>
      </c>
      <c r="G20" s="278">
        <v>1</v>
      </c>
      <c r="H20" s="279">
        <f t="shared" ca="1" si="6"/>
        <v>0.17320110972991043</v>
      </c>
      <c r="I20" s="304">
        <f>G20*('College Schedule'!$L$9)*(1+'Government Figures'!$B$8/12)^B20</f>
        <v>4577.9629900190575</v>
      </c>
      <c r="J20" s="304">
        <f t="shared" ca="1" si="3"/>
        <v>1481.5518687428957</v>
      </c>
      <c r="K20" s="304">
        <f t="shared" ca="1" si="0"/>
        <v>1457.1043551055752</v>
      </c>
      <c r="L20" s="278">
        <v>1</v>
      </c>
      <c r="M20" s="279">
        <f t="shared" si="7"/>
        <v>0.13735784313725496</v>
      </c>
      <c r="N20" s="304">
        <f>L20*('College Schedule'!$L$10)*(1+'Government Figures'!$B$8/12)^B20</f>
        <v>2746.7777940114352</v>
      </c>
      <c r="O20" s="304">
        <f t="shared" si="4"/>
        <v>313.7785171935825</v>
      </c>
      <c r="P20" s="304">
        <f t="shared" si="1"/>
        <v>308.60076760544467</v>
      </c>
      <c r="Q20" s="277"/>
      <c r="R20" s="281"/>
      <c r="S20" s="281"/>
      <c r="T20" s="281"/>
      <c r="U20" s="281"/>
    </row>
    <row r="21" spans="1:30" s="288" customFormat="1" x14ac:dyDescent="0.25">
      <c r="A21" s="287"/>
      <c r="B21" s="282">
        <f t="shared" si="2"/>
        <v>6</v>
      </c>
      <c r="C21" s="304">
        <f t="shared" ca="1" si="5"/>
        <v>-123.17596633578069</v>
      </c>
      <c r="D21" s="304">
        <f ca="1">IF(ROUND(E20,0)&lt;&gt;0, IF(ROUND(D20,0)&lt;&gt;0, 'Career Comparison'!$F$28-C21, 0), 0)</f>
        <v>370.97101398304812</v>
      </c>
      <c r="E21" s="304">
        <f ca="1">IF(G$7&gt;=B21, E20*(1+'Government Figures'!$D$8/12)-'Career Comparison'!$F$28, 0)</f>
        <v>100160.3033325484</v>
      </c>
      <c r="F21" s="312">
        <f>'College Schedule'!$L$8*(1+'Government Figures'!$B$8/12)^B21</f>
        <v>2059.13398312756</v>
      </c>
      <c r="G21" s="278">
        <v>1</v>
      </c>
      <c r="H21" s="279">
        <f t="shared" ca="1" si="6"/>
        <v>0.17320110972991043</v>
      </c>
      <c r="I21" s="304">
        <f>G21*('College Schedule'!$L$9)*(1+'Government Figures'!$B$8/12)^B21</f>
        <v>4585.5929283357564</v>
      </c>
      <c r="J21" s="304">
        <f t="shared" ca="1" si="3"/>
        <v>1484.4341136035464</v>
      </c>
      <c r="K21" s="304">
        <f t="shared" ca="1" si="0"/>
        <v>1455.0887434031972</v>
      </c>
      <c r="L21" s="278">
        <v>1</v>
      </c>
      <c r="M21" s="279">
        <f t="shared" si="7"/>
        <v>0.13735784313725496</v>
      </c>
      <c r="N21" s="304">
        <f>L21*('College Schedule'!$L$10)*(1+'Government Figures'!$B$8/12)^B21</f>
        <v>2751.3557570014541</v>
      </c>
      <c r="O21" s="304">
        <f t="shared" si="4"/>
        <v>314.3014813889049</v>
      </c>
      <c r="P21" s="304">
        <f t="shared" si="1"/>
        <v>308.08814174563469</v>
      </c>
      <c r="Q21" s="277"/>
      <c r="R21" s="281"/>
      <c r="S21" s="281"/>
      <c r="T21" s="281"/>
      <c r="U21" s="281"/>
    </row>
    <row r="22" spans="1:30" s="288" customFormat="1" x14ac:dyDescent="0.25">
      <c r="A22" s="287"/>
      <c r="B22" s="282">
        <f t="shared" si="2"/>
        <v>7</v>
      </c>
      <c r="C22" s="304">
        <f t="shared" ca="1" si="5"/>
        <v>-123.63274387762067</v>
      </c>
      <c r="D22" s="304">
        <f ca="1">IF(ROUND(E21,0)&lt;&gt;0, IF(ROUND(D21,0)&lt;&gt;0, 'Career Comparison'!$F$28-C22, 0), 0)</f>
        <v>371.42779152488811</v>
      </c>
      <c r="E22" s="304">
        <f ca="1">IF(G$7&gt;=B22, E21*(1+'Government Figures'!$D$8/12)-'Career Comparison'!$F$28, 0)</f>
        <v>100283.93607642602</v>
      </c>
      <c r="F22" s="312">
        <f>'College Schedule'!$L$8*(1+'Government Figures'!$B$8/12)^B22</f>
        <v>2062.5658730994392</v>
      </c>
      <c r="G22" s="278">
        <v>1</v>
      </c>
      <c r="H22" s="279">
        <f t="shared" ca="1" si="6"/>
        <v>0.17320110972991043</v>
      </c>
      <c r="I22" s="304">
        <f>G22*('College Schedule'!$L$9)*(1+'Government Figures'!$B$8/12)^B22</f>
        <v>4593.2355832163157</v>
      </c>
      <c r="J22" s="304">
        <f t="shared" ca="1" si="3"/>
        <v>1487.321162205631</v>
      </c>
      <c r="K22" s="304">
        <f t="shared" ca="1" si="0"/>
        <v>1453.0751349514017</v>
      </c>
      <c r="L22" s="278">
        <v>1</v>
      </c>
      <c r="M22" s="279">
        <f t="shared" si="7"/>
        <v>0.13735784313725496</v>
      </c>
      <c r="N22" s="304">
        <f>L22*('College Schedule'!$L$10)*(1+'Government Figures'!$B$8/12)^B22</f>
        <v>2755.9413499297902</v>
      </c>
      <c r="O22" s="304">
        <f t="shared" si="4"/>
        <v>314.82531719122017</v>
      </c>
      <c r="P22" s="304">
        <f t="shared" si="1"/>
        <v>307.57636742379844</v>
      </c>
      <c r="Q22" s="277"/>
      <c r="R22" s="281"/>
      <c r="S22" s="281"/>
      <c r="T22" s="281"/>
      <c r="U22" s="281"/>
    </row>
    <row r="23" spans="1:30" s="288" customFormat="1" x14ac:dyDescent="0.25">
      <c r="A23" s="287"/>
      <c r="B23" s="282">
        <f t="shared" si="2"/>
        <v>8</v>
      </c>
      <c r="C23" s="304">
        <f t="shared" ca="1" si="5"/>
        <v>-124.09121530283301</v>
      </c>
      <c r="D23" s="304">
        <f ca="1">IF(ROUND(E22,0)&lt;&gt;0, IF(ROUND(D22,0)&lt;&gt;0, 'Career Comparison'!$F$28-C23, 0), 0)</f>
        <v>371.88626295010044</v>
      </c>
      <c r="E23" s="304">
        <f ca="1">IF(G$7&gt;=B23, E22*(1+'Government Figures'!$D$8/12)-'Career Comparison'!$F$28, 0)</f>
        <v>100408.02729172885</v>
      </c>
      <c r="F23" s="312">
        <f>'College Schedule'!$L$8*(1+'Government Figures'!$B$8/12)^B23</f>
        <v>2066.0034828879388</v>
      </c>
      <c r="G23" s="278">
        <v>1</v>
      </c>
      <c r="H23" s="279">
        <f t="shared" ca="1" si="6"/>
        <v>0.17320110972991043</v>
      </c>
      <c r="I23" s="304">
        <f>G23*('College Schedule'!$L$9)*(1+'Government Figures'!$B$8/12)^B23</f>
        <v>4600.8909758550108</v>
      </c>
      <c r="J23" s="304">
        <f t="shared" ca="1" si="3"/>
        <v>1490.213022555386</v>
      </c>
      <c r="K23" s="304">
        <f t="shared" ca="1" si="0"/>
        <v>1451.0635308907756</v>
      </c>
      <c r="L23" s="278">
        <v>1</v>
      </c>
      <c r="M23" s="279">
        <f t="shared" si="7"/>
        <v>0.13735784313725496</v>
      </c>
      <c r="N23" s="304">
        <f>L23*('College Schedule'!$L$10)*(1+'Government Figures'!$B$8/12)^B23</f>
        <v>2760.5345855130067</v>
      </c>
      <c r="O23" s="304">
        <f t="shared" si="4"/>
        <v>315.35002605320506</v>
      </c>
      <c r="P23" s="304">
        <f t="shared" si="1"/>
        <v>307.06544322541959</v>
      </c>
      <c r="Q23" s="277"/>
      <c r="R23" s="281"/>
      <c r="S23" s="281"/>
      <c r="T23" s="281"/>
      <c r="U23" s="281"/>
    </row>
    <row r="24" spans="1:30" s="288" customFormat="1" x14ac:dyDescent="0.25">
      <c r="A24" s="287"/>
      <c r="B24" s="282">
        <f t="shared" si="2"/>
        <v>9</v>
      </c>
      <c r="C24" s="304">
        <f t="shared" ca="1" si="5"/>
        <v>-124.55138689291198</v>
      </c>
      <c r="D24" s="304">
        <f ca="1">IF(ROUND(E23,0)&lt;&gt;0, IF(ROUND(D23,0)&lt;&gt;0, 'Career Comparison'!$F$28-C24, 0), 0)</f>
        <v>372.34643454017942</v>
      </c>
      <c r="E24" s="304">
        <f ca="1">IF(G$7&gt;=B24, E23*(1+'Government Figures'!$D$8/12)-'Career Comparison'!$F$28, 0)</f>
        <v>100532.57867862176</v>
      </c>
      <c r="F24" s="312">
        <f>'College Schedule'!$L$8*(1+'Government Figures'!$B$8/12)^B24</f>
        <v>2069.4468220260851</v>
      </c>
      <c r="G24" s="278">
        <v>1</v>
      </c>
      <c r="H24" s="279">
        <f t="shared" ca="1" si="6"/>
        <v>0.17320110972991043</v>
      </c>
      <c r="I24" s="304">
        <f>G24*('College Schedule'!$L$9)*(1+'Government Figures'!$B$8/12)^B24</f>
        <v>4608.5591274814351</v>
      </c>
      <c r="J24" s="304">
        <f t="shared" ca="1" si="3"/>
        <v>1493.1097026723901</v>
      </c>
      <c r="K24" s="304">
        <f t="shared" ca="1" si="0"/>
        <v>1449.0539323451642</v>
      </c>
      <c r="L24" s="278">
        <v>1</v>
      </c>
      <c r="M24" s="279">
        <f t="shared" si="7"/>
        <v>0.13735784313725496</v>
      </c>
      <c r="N24" s="304">
        <f>L24*('College Schedule'!$L$10)*(1+'Government Figures'!$B$8/12)^B24</f>
        <v>2765.135476488862</v>
      </c>
      <c r="O24" s="304">
        <f t="shared" si="4"/>
        <v>315.87560942996106</v>
      </c>
      <c r="P24" s="304">
        <f t="shared" si="1"/>
        <v>306.55536773833484</v>
      </c>
      <c r="Q24" s="277"/>
      <c r="R24" s="281"/>
      <c r="S24" s="281"/>
      <c r="T24" s="281"/>
      <c r="U24" s="281"/>
    </row>
    <row r="25" spans="1:30" s="288" customFormat="1" x14ac:dyDescent="0.25">
      <c r="A25" s="287"/>
      <c r="B25" s="282">
        <f t="shared" si="2"/>
        <v>10</v>
      </c>
      <c r="C25" s="304">
        <f t="shared" ca="1" si="5"/>
        <v>-125.01326495263493</v>
      </c>
      <c r="D25" s="304">
        <f ca="1">IF(ROUND(E24,0)&lt;&gt;0, IF(ROUND(D24,0)&lt;&gt;0, 'Career Comparison'!$F$28-C25, 0), 0)</f>
        <v>372.80831259990237</v>
      </c>
      <c r="E25" s="304">
        <f ca="1">IF(G$7&gt;=B25, E24*(1+'Government Figures'!$D$8/12)-'Career Comparison'!$F$28, 0)</f>
        <v>100657.5919435744</v>
      </c>
      <c r="F25" s="312">
        <f>'College Schedule'!$L$8*(1+'Government Figures'!$B$8/12)^B25</f>
        <v>2072.8959000627956</v>
      </c>
      <c r="G25" s="278">
        <v>1</v>
      </c>
      <c r="H25" s="279">
        <f t="shared" ca="1" si="6"/>
        <v>0.17320110972991043</v>
      </c>
      <c r="I25" s="304">
        <f>G25*('College Schedule'!$L$9)*(1+'Government Figures'!$B$8/12)^B25</f>
        <v>4616.2400593605716</v>
      </c>
      <c r="J25" s="304">
        <f t="shared" ca="1" si="3"/>
        <v>1496.0112105895901</v>
      </c>
      <c r="K25" s="304">
        <f t="shared" ca="1" si="0"/>
        <v>1447.0463404217528</v>
      </c>
      <c r="L25" s="278">
        <v>1</v>
      </c>
      <c r="M25" s="279">
        <f t="shared" si="7"/>
        <v>0.13735784313725496</v>
      </c>
      <c r="N25" s="304">
        <f>L25*('College Schedule'!$L$10)*(1+'Government Figures'!$B$8/12)^B25</f>
        <v>2769.7440356163434</v>
      </c>
      <c r="O25" s="304">
        <f t="shared" si="4"/>
        <v>316.40206877901073</v>
      </c>
      <c r="P25" s="304">
        <f t="shared" si="1"/>
        <v>306.04613955272265</v>
      </c>
      <c r="Q25" s="277"/>
      <c r="R25" s="281"/>
      <c r="S25" s="281"/>
      <c r="T25" s="281"/>
      <c r="U25" s="281"/>
    </row>
    <row r="26" spans="1:30" s="288" customFormat="1" x14ac:dyDescent="0.25">
      <c r="A26" s="287"/>
      <c r="B26" s="282">
        <f t="shared" si="2"/>
        <v>11</v>
      </c>
      <c r="C26" s="304">
        <f t="shared" ca="1" si="5"/>
        <v>-125.47685581016412</v>
      </c>
      <c r="D26" s="304">
        <f ca="1">IF(ROUND(E25,0)&lt;&gt;0, IF(ROUND(D25,0)&lt;&gt;0, 'Career Comparison'!$F$28-C26, 0), 0)</f>
        <v>373.27190345743156</v>
      </c>
      <c r="E26" s="304">
        <f ca="1">IF(G$7&gt;=B26, E25*(1+'Government Figures'!$D$8/12)-'Career Comparison'!$F$28, 0)</f>
        <v>100783.06879938456</v>
      </c>
      <c r="F26" s="312">
        <f>'College Schedule'!$L$8*(1+'Government Figures'!$B$8/12)^B26</f>
        <v>2076.3507265629</v>
      </c>
      <c r="G26" s="278">
        <v>1</v>
      </c>
      <c r="H26" s="279">
        <f t="shared" ca="1" si="6"/>
        <v>0.17320110972991043</v>
      </c>
      <c r="I26" s="304">
        <f>G26*('College Schedule'!$L$9)*(1+'Government Figures'!$B$8/12)^B26</f>
        <v>4623.93379279284</v>
      </c>
      <c r="J26" s="304">
        <f t="shared" ca="1" si="3"/>
        <v>1498.9175543533188</v>
      </c>
      <c r="K26" s="304">
        <f t="shared" ca="1" si="0"/>
        <v>1445.04075621114</v>
      </c>
      <c r="L26" s="278">
        <v>1</v>
      </c>
      <c r="M26" s="279">
        <f t="shared" si="7"/>
        <v>0.13735784313725496</v>
      </c>
      <c r="N26" s="304">
        <f>L26*('College Schedule'!$L$10)*(1+'Government Figures'!$B$8/12)^B26</f>
        <v>2774.3602756757041</v>
      </c>
      <c r="O26" s="304">
        <f t="shared" si="4"/>
        <v>316.92940556030908</v>
      </c>
      <c r="P26" s="304">
        <f t="shared" si="1"/>
        <v>305.53775726110678</v>
      </c>
      <c r="Q26" s="277"/>
      <c r="R26" s="281"/>
      <c r="S26" s="281"/>
      <c r="T26" s="281"/>
      <c r="U26" s="281"/>
      <c r="V26" s="281"/>
      <c r="W26" s="281"/>
      <c r="X26" s="281"/>
      <c r="Y26" s="281"/>
      <c r="Z26" s="281"/>
      <c r="AA26" s="281"/>
      <c r="AB26" s="281"/>
      <c r="AC26" s="281"/>
      <c r="AD26" s="281"/>
    </row>
    <row r="27" spans="1:30" s="288" customFormat="1" x14ac:dyDescent="0.25">
      <c r="A27" s="287"/>
      <c r="B27" s="282">
        <f t="shared" si="2"/>
        <v>12</v>
      </c>
      <c r="C27" s="304">
        <f t="shared" ca="1" si="5"/>
        <v>-125.94216581713408</v>
      </c>
      <c r="D27" s="304">
        <f ca="1">IF(ROUND(E26,0)&lt;&gt;0, IF(ROUND(D26,0)&lt;&gt;0, 'Career Comparison'!$F$28-C27, 0), 0)</f>
        <v>373.73721346440152</v>
      </c>
      <c r="E27" s="304">
        <f ca="1">IF(G$7&gt;=B27, E26*(1+'Government Figures'!$D$8/12)-'Career Comparison'!$F$28, 0)</f>
        <v>100909.0109652017</v>
      </c>
      <c r="F27" s="312">
        <f>'College Schedule'!$L$8*(1+'Government Figures'!$B$8/12)^B27</f>
        <v>2079.8113111071721</v>
      </c>
      <c r="G27" s="278">
        <v>1</v>
      </c>
      <c r="H27" s="279">
        <f t="shared" ca="1" si="6"/>
        <v>0.17320110972991043</v>
      </c>
      <c r="I27" s="304">
        <f>G27*('College Schedule'!$L$9)*(1+'Government Figures'!$B$8/12)^B27</f>
        <v>4631.6403491141609</v>
      </c>
      <c r="J27" s="304">
        <f t="shared" ca="1" si="3"/>
        <v>1501.8287420233191</v>
      </c>
      <c r="K27" s="304">
        <f t="shared" ca="1" si="0"/>
        <v>1443.0371807874146</v>
      </c>
      <c r="L27" s="278">
        <v>1</v>
      </c>
      <c r="M27" s="279">
        <f t="shared" si="7"/>
        <v>0.13735784313725496</v>
      </c>
      <c r="N27" s="304">
        <f>L27*('College Schedule'!$L$10)*(1+'Government Figures'!$B$8/12)^B27</f>
        <v>2778.9842094684973</v>
      </c>
      <c r="O27" s="304">
        <f t="shared" si="4"/>
        <v>317.45762123624309</v>
      </c>
      <c r="P27" s="304">
        <f t="shared" si="1"/>
        <v>305.03021945834763</v>
      </c>
      <c r="Q27" s="277"/>
      <c r="R27" s="281"/>
      <c r="S27" s="281"/>
      <c r="T27" s="281"/>
      <c r="U27" s="281"/>
      <c r="V27" s="281"/>
      <c r="W27" s="281"/>
      <c r="X27" s="281"/>
      <c r="Y27" s="281"/>
      <c r="Z27" s="281"/>
      <c r="AA27" s="281"/>
      <c r="AB27" s="281"/>
      <c r="AC27" s="281"/>
      <c r="AD27" s="281"/>
    </row>
    <row r="28" spans="1:30" s="288" customFormat="1" x14ac:dyDescent="0.25">
      <c r="A28" s="287"/>
      <c r="B28" s="274">
        <f t="shared" si="2"/>
        <v>13</v>
      </c>
      <c r="C28" s="304">
        <f t="shared" ca="1" si="5"/>
        <v>-126.40920134870976</v>
      </c>
      <c r="D28" s="304">
        <f ca="1">IF(ROUND(E27,0)&lt;&gt;0, IF(ROUND(D27,0)&lt;&gt;0, 'Career Comparison'!$F$28-C28, 0), 0)</f>
        <v>374.2042489959772</v>
      </c>
      <c r="E28" s="304">
        <f ca="1">IF(G$7&gt;=B28, E27*(1+'Government Figures'!$D$8/12)-'Career Comparison'!$F$28, 0)</f>
        <v>101035.42016655041</v>
      </c>
      <c r="F28" s="312">
        <f>'College Schedule'!$L$8*(1+'Government Figures'!$B$8/12)^B28</f>
        <v>2083.2776632923506</v>
      </c>
      <c r="G28" s="278">
        <v>1</v>
      </c>
      <c r="H28" s="279">
        <f t="shared" ca="1" si="6"/>
        <v>0.17320110972991043</v>
      </c>
      <c r="I28" s="304">
        <f>G28*('College Schedule'!$L$9)*(1+'Government Figures'!$B$8/12)^B28</f>
        <v>4639.3597496960183</v>
      </c>
      <c r="J28" s="304">
        <f t="shared" ca="1" si="3"/>
        <v>1504.7447816727704</v>
      </c>
      <c r="K28" s="304">
        <f t="shared" ca="1" si="0"/>
        <v>1441.0356152082363</v>
      </c>
      <c r="L28" s="278">
        <v>1</v>
      </c>
      <c r="M28" s="279">
        <f t="shared" si="7"/>
        <v>0.13735784313725496</v>
      </c>
      <c r="N28" s="304">
        <f>L28*('College Schedule'!$L$10)*(1+'Government Figures'!$B$8/12)^B28</f>
        <v>2783.6158498176114</v>
      </c>
      <c r="O28" s="304">
        <f t="shared" si="4"/>
        <v>317.98671727163673</v>
      </c>
      <c r="P28" s="304">
        <f t="shared" si="1"/>
        <v>304.52352474163933</v>
      </c>
      <c r="Q28" s="277"/>
      <c r="R28" s="281"/>
      <c r="S28" s="281"/>
      <c r="T28" s="281"/>
      <c r="U28" s="281"/>
      <c r="V28" s="281"/>
      <c r="W28" s="281"/>
      <c r="X28" s="281"/>
      <c r="Y28" s="281"/>
      <c r="Z28" s="281"/>
      <c r="AA28" s="281"/>
      <c r="AB28" s="281"/>
      <c r="AC28" s="281"/>
      <c r="AD28" s="281"/>
    </row>
    <row r="29" spans="1:30" s="288" customFormat="1" x14ac:dyDescent="0.25">
      <c r="A29" s="287"/>
      <c r="B29" s="274">
        <f t="shared" si="2"/>
        <v>14</v>
      </c>
      <c r="C29" s="304">
        <f t="shared" ca="1" si="5"/>
        <v>-126.87796880370297</v>
      </c>
      <c r="D29" s="304">
        <f ca="1">IF(ROUND(E28,0)&lt;&gt;0, IF(ROUND(D28,0)&lt;&gt;0, 'Career Comparison'!$F$28-C29, 0), 0)</f>
        <v>374.67301645097041</v>
      </c>
      <c r="E29" s="304">
        <f ca="1">IF(G$7&gt;=B29, E28*(1+'Government Figures'!$D$8/12)-'Career Comparison'!$F$28, 0)</f>
        <v>101162.29813535411</v>
      </c>
      <c r="F29" s="312">
        <f>'College Schedule'!$L$8*(1+'Government Figures'!$B$8/12)^B29</f>
        <v>2086.7497927311715</v>
      </c>
      <c r="G29" s="278">
        <v>1</v>
      </c>
      <c r="H29" s="279">
        <f t="shared" ca="1" si="6"/>
        <v>0.17320110972991043</v>
      </c>
      <c r="I29" s="304">
        <f>G29*('College Schedule'!$L$9)*(1+'Government Figures'!$B$8/12)^B29</f>
        <v>4647.0920159455127</v>
      </c>
      <c r="J29" s="304">
        <f t="shared" ca="1" si="3"/>
        <v>1507.6656813883042</v>
      </c>
      <c r="K29" s="304">
        <f t="shared" ca="1" si="0"/>
        <v>1439.0360605149046</v>
      </c>
      <c r="L29" s="278">
        <v>1</v>
      </c>
      <c r="M29" s="279">
        <f t="shared" si="7"/>
        <v>0.13735784313725496</v>
      </c>
      <c r="N29" s="304">
        <f>L29*('College Schedule'!$L$10)*(1+'Government Figures'!$B$8/12)^B29</f>
        <v>2788.2552095673082</v>
      </c>
      <c r="O29" s="304">
        <f t="shared" si="4"/>
        <v>318.51669513375646</v>
      </c>
      <c r="P29" s="304">
        <f t="shared" si="1"/>
        <v>304.01767171050733</v>
      </c>
      <c r="Q29" s="277"/>
      <c r="R29" s="281"/>
      <c r="S29" s="281"/>
      <c r="T29" s="281"/>
      <c r="U29" s="281"/>
      <c r="V29" s="281"/>
      <c r="W29" s="281"/>
      <c r="X29" s="281"/>
      <c r="Y29" s="281"/>
      <c r="Z29" s="281"/>
      <c r="AA29" s="281"/>
      <c r="AB29" s="281"/>
      <c r="AC29" s="281"/>
      <c r="AD29" s="281"/>
    </row>
    <row r="30" spans="1:30" s="288" customFormat="1" x14ac:dyDescent="0.25">
      <c r="A30" s="287"/>
      <c r="B30" s="274">
        <f t="shared" si="2"/>
        <v>15</v>
      </c>
      <c r="C30" s="304">
        <f t="shared" ca="1" si="5"/>
        <v>-127.34847460468882</v>
      </c>
      <c r="D30" s="304">
        <f ca="1">IF(ROUND(E29,0)&lt;&gt;0, IF(ROUND(D29,0)&lt;&gt;0, 'Career Comparison'!$F$28-C30, 0), 0)</f>
        <v>375.14352225195626</v>
      </c>
      <c r="E30" s="304">
        <f ca="1">IF(G$7&gt;=B30, E29*(1+'Government Figures'!$D$8/12)-'Career Comparison'!$F$28, 0)</f>
        <v>101289.6466099588</v>
      </c>
      <c r="F30" s="312">
        <f>'College Schedule'!$L$8*(1+'Government Figures'!$B$8/12)^B30</f>
        <v>2090.2277090523903</v>
      </c>
      <c r="G30" s="278">
        <v>1</v>
      </c>
      <c r="H30" s="279">
        <f t="shared" ca="1" si="6"/>
        <v>0.17320110972991043</v>
      </c>
      <c r="I30" s="304">
        <f>G30*('College Schedule'!$L$9)*(1+'Government Figures'!$B$8/12)^B30</f>
        <v>4654.8371693054214</v>
      </c>
      <c r="J30" s="304">
        <f t="shared" ca="1" si="3"/>
        <v>1510.5914492700299</v>
      </c>
      <c r="K30" s="304">
        <f t="shared" ca="1" si="0"/>
        <v>1437.0385177324388</v>
      </c>
      <c r="L30" s="278">
        <v>1</v>
      </c>
      <c r="M30" s="279">
        <f t="shared" si="7"/>
        <v>0.13735784313725496</v>
      </c>
      <c r="N30" s="304">
        <f>L30*('College Schedule'!$L$10)*(1+'Government Figures'!$B$8/12)^B30</f>
        <v>2792.9023015832536</v>
      </c>
      <c r="O30" s="304">
        <f t="shared" si="4"/>
        <v>319.04755629231249</v>
      </c>
      <c r="P30" s="304">
        <f t="shared" si="1"/>
        <v>303.51265896680184</v>
      </c>
      <c r="Q30" s="277"/>
      <c r="R30" s="281"/>
      <c r="S30" s="281"/>
      <c r="T30" s="281"/>
      <c r="U30" s="281"/>
      <c r="V30" s="281"/>
      <c r="W30" s="281"/>
      <c r="X30" s="281"/>
      <c r="Y30" s="281"/>
      <c r="Z30" s="281"/>
      <c r="AA30" s="281"/>
      <c r="AB30" s="281"/>
      <c r="AC30" s="281"/>
      <c r="AD30" s="281"/>
    </row>
    <row r="31" spans="1:30" s="288" customFormat="1" x14ac:dyDescent="0.25">
      <c r="A31" s="287"/>
      <c r="B31" s="274">
        <f t="shared" si="2"/>
        <v>16</v>
      </c>
      <c r="C31" s="304">
        <f t="shared" ca="1" si="5"/>
        <v>-127.82072519800568</v>
      </c>
      <c r="D31" s="304">
        <f ca="1">IF(ROUND(E30,0)&lt;&gt;0, IF(ROUND(D30,0)&lt;&gt;0, 'Career Comparison'!$F$28-C31, 0), 0)</f>
        <v>375.61577284527311</v>
      </c>
      <c r="E31" s="304">
        <f ca="1">IF(G$7&gt;=B31, E30*(1+'Government Figures'!$D$8/12)-'Career Comparison'!$F$28, 0)</f>
        <v>101417.46733515681</v>
      </c>
      <c r="F31" s="312">
        <f>'College Schedule'!$L$8*(1+'Government Figures'!$B$8/12)^B31</f>
        <v>2093.7114219008113</v>
      </c>
      <c r="G31" s="278">
        <v>1</v>
      </c>
      <c r="H31" s="279">
        <f t="shared" ca="1" si="6"/>
        <v>0.17320110972991043</v>
      </c>
      <c r="I31" s="304">
        <f>G31*('College Schedule'!$L$9)*(1+'Government Figures'!$B$8/12)^B31</f>
        <v>4662.5952312542649</v>
      </c>
      <c r="J31" s="304">
        <f t="shared" ca="1" si="3"/>
        <v>1513.5220934315594</v>
      </c>
      <c r="K31" s="304">
        <f t="shared" ca="1" si="0"/>
        <v>1435.0429878696552</v>
      </c>
      <c r="L31" s="278">
        <v>1</v>
      </c>
      <c r="M31" s="279">
        <f t="shared" si="7"/>
        <v>0.13735784313725496</v>
      </c>
      <c r="N31" s="304">
        <f>L31*('College Schedule'!$L$10)*(1+'Government Figures'!$B$8/12)^B31</f>
        <v>2797.5571387525597</v>
      </c>
      <c r="O31" s="304">
        <f t="shared" si="4"/>
        <v>319.57930221946663</v>
      </c>
      <c r="P31" s="304">
        <f t="shared" si="1"/>
        <v>303.00848511469781</v>
      </c>
      <c r="Q31" s="277"/>
      <c r="R31" s="281"/>
      <c r="S31" s="281"/>
      <c r="T31" s="281"/>
      <c r="U31" s="281"/>
      <c r="V31" s="281"/>
      <c r="W31" s="281"/>
      <c r="X31" s="281"/>
      <c r="Y31" s="281"/>
      <c r="Z31" s="281"/>
      <c r="AA31" s="281"/>
      <c r="AB31" s="281"/>
      <c r="AC31" s="281"/>
      <c r="AD31" s="281"/>
    </row>
    <row r="32" spans="1:30" s="288" customFormat="1" x14ac:dyDescent="0.25">
      <c r="A32" s="287"/>
      <c r="B32" s="274">
        <f t="shared" si="2"/>
        <v>17</v>
      </c>
      <c r="C32" s="304">
        <f t="shared" ca="1" si="5"/>
        <v>-128.29472705395892</v>
      </c>
      <c r="D32" s="304">
        <f ca="1">IF(ROUND(E31,0)&lt;&gt;0, IF(ROUND(D31,0)&lt;&gt;0, 'Career Comparison'!$F$28-C32, 0), 0)</f>
        <v>376.08977470122636</v>
      </c>
      <c r="E32" s="304">
        <f ca="1">IF(G$7&gt;=B32, E31*(1+'Government Figures'!$D$8/12)-'Career Comparison'!$F$28, 0)</f>
        <v>101545.76206221076</v>
      </c>
      <c r="F32" s="312">
        <f>'College Schedule'!$L$8*(1+'Government Figures'!$B$8/12)^B32</f>
        <v>2097.2009409373127</v>
      </c>
      <c r="G32" s="278">
        <v>1</v>
      </c>
      <c r="H32" s="279">
        <f t="shared" ca="1" si="6"/>
        <v>0.17320110972991043</v>
      </c>
      <c r="I32" s="304">
        <f>G32*('College Schedule'!$L$9)*(1+'Government Figures'!$B$8/12)^B32</f>
        <v>4670.3662233063551</v>
      </c>
      <c r="J32" s="304">
        <f t="shared" ca="1" si="3"/>
        <v>1516.4576220000235</v>
      </c>
      <c r="K32" s="304">
        <f t="shared" ca="1" si="0"/>
        <v>1433.0494719192352</v>
      </c>
      <c r="L32" s="278">
        <v>1</v>
      </c>
      <c r="M32" s="279">
        <f t="shared" si="7"/>
        <v>0.13735784313725496</v>
      </c>
      <c r="N32" s="304">
        <f>L32*('College Schedule'!$L$10)*(1+'Government Figures'!$B$8/12)^B32</f>
        <v>2802.2197339838135</v>
      </c>
      <c r="O32" s="304">
        <f t="shared" si="4"/>
        <v>320.11193438983173</v>
      </c>
      <c r="P32" s="304">
        <f t="shared" si="1"/>
        <v>302.50514876068598</v>
      </c>
      <c r="Q32" s="277"/>
      <c r="R32" s="281"/>
      <c r="S32" s="281"/>
      <c r="T32" s="281"/>
      <c r="U32" s="281"/>
      <c r="V32" s="281"/>
      <c r="W32" s="281"/>
      <c r="X32" s="281"/>
      <c r="Y32" s="281"/>
      <c r="Z32" s="281"/>
      <c r="AA32" s="281"/>
      <c r="AB32" s="281"/>
      <c r="AC32" s="281"/>
      <c r="AD32" s="281"/>
    </row>
    <row r="33" spans="1:30" s="288" customFormat="1" x14ac:dyDescent="0.25">
      <c r="A33" s="287"/>
      <c r="B33" s="274">
        <f t="shared" si="2"/>
        <v>18</v>
      </c>
      <c r="C33" s="304">
        <f t="shared" ca="1" si="5"/>
        <v>-128.77048666677729</v>
      </c>
      <c r="D33" s="304">
        <f ca="1">IF(ROUND(E32,0)&lt;&gt;0, IF(ROUND(D32,0)&lt;&gt;0, 'Career Comparison'!$F$28-C33, 0), 0)</f>
        <v>376.56553431404473</v>
      </c>
      <c r="E33" s="304">
        <f ca="1">IF(G$7&gt;=B33, E32*(1+'Government Figures'!$D$8/12)-'Career Comparison'!$F$28, 0)</f>
        <v>101674.53254887754</v>
      </c>
      <c r="F33" s="312">
        <f>'College Schedule'!$L$8*(1+'Government Figures'!$B$8/12)^B33</f>
        <v>2100.696275838875</v>
      </c>
      <c r="G33" s="278">
        <v>1</v>
      </c>
      <c r="H33" s="279">
        <f t="shared" ca="1" si="6"/>
        <v>0.17320110972991043</v>
      </c>
      <c r="I33" s="304">
        <f>G33*('College Schedule'!$L$9)*(1+'Government Figures'!$B$8/12)^B33</f>
        <v>4678.150167011866</v>
      </c>
      <c r="J33" s="304">
        <f t="shared" ca="1" si="3"/>
        <v>1519.3980431161026</v>
      </c>
      <c r="K33" s="304">
        <f t="shared" ca="1" si="0"/>
        <v>1431.0579708578096</v>
      </c>
      <c r="L33" s="278">
        <v>1</v>
      </c>
      <c r="M33" s="279">
        <f t="shared" si="7"/>
        <v>0.13735784313725496</v>
      </c>
      <c r="N33" s="304">
        <f>L33*('College Schedule'!$L$10)*(1+'Government Figures'!$B$8/12)^B33</f>
        <v>2806.8901002071202</v>
      </c>
      <c r="O33" s="304">
        <f t="shared" si="4"/>
        <v>320.64545428048177</v>
      </c>
      <c r="P33" s="304">
        <f t="shared" si="1"/>
        <v>302.00264851357554</v>
      </c>
      <c r="Q33" s="277"/>
      <c r="R33" s="281"/>
      <c r="S33" s="281"/>
      <c r="T33" s="281"/>
      <c r="U33" s="281"/>
      <c r="V33" s="281"/>
      <c r="W33" s="281"/>
      <c r="X33" s="281"/>
      <c r="Y33" s="281"/>
      <c r="Z33" s="281"/>
      <c r="AA33" s="281"/>
      <c r="AB33" s="281"/>
      <c r="AC33" s="281"/>
      <c r="AD33" s="281"/>
    </row>
    <row r="34" spans="1:30" s="288" customFormat="1" x14ac:dyDescent="0.25">
      <c r="A34" s="287"/>
      <c r="B34" s="274">
        <f t="shared" si="2"/>
        <v>19</v>
      </c>
      <c r="C34" s="304">
        <f t="shared" ca="1" si="5"/>
        <v>-129.24801055483113</v>
      </c>
      <c r="D34" s="304">
        <f ca="1">IF(ROUND(E33,0)&lt;&gt;0, IF(ROUND(D33,0)&lt;&gt;0, 'Career Comparison'!$F$28-C34, 0), 0)</f>
        <v>377.04305820209856</v>
      </c>
      <c r="E34" s="304">
        <f ca="1">IF(G$7&gt;=B34, E33*(1+'Government Figures'!$D$8/12)-'Career Comparison'!$F$28, 0)</f>
        <v>101803.78055943237</v>
      </c>
      <c r="F34" s="312">
        <f>'College Schedule'!$L$8*(1+'Government Figures'!$B$8/12)^B34</f>
        <v>2104.1974362986066</v>
      </c>
      <c r="G34" s="278">
        <v>1</v>
      </c>
      <c r="H34" s="279">
        <f t="shared" ca="1" si="6"/>
        <v>0.17320110972991043</v>
      </c>
      <c r="I34" s="304">
        <f>G34*('College Schedule'!$L$9)*(1+'Government Figures'!$B$8/12)^B34</f>
        <v>4685.9470839568867</v>
      </c>
      <c r="J34" s="304">
        <f t="shared" ca="1" si="3"/>
        <v>1522.3433649340423</v>
      </c>
      <c r="K34" s="304">
        <f t="shared" ca="1" si="0"/>
        <v>1429.0684856460246</v>
      </c>
      <c r="L34" s="278">
        <v>1</v>
      </c>
      <c r="M34" s="279">
        <f t="shared" si="7"/>
        <v>0.13735784313725496</v>
      </c>
      <c r="N34" s="304">
        <f>L34*('College Schedule'!$L$10)*(1+'Government Figures'!$B$8/12)^B34</f>
        <v>2811.5682503741327</v>
      </c>
      <c r="O34" s="304">
        <f t="shared" si="4"/>
        <v>321.17986337094953</v>
      </c>
      <c r="P34" s="304">
        <f t="shared" si="1"/>
        <v>301.50098298448341</v>
      </c>
      <c r="Q34" s="277"/>
      <c r="R34" s="281"/>
      <c r="S34" s="281"/>
      <c r="T34" s="281"/>
      <c r="U34" s="281"/>
      <c r="V34" s="281"/>
      <c r="W34" s="281"/>
      <c r="X34" s="281"/>
      <c r="Y34" s="281"/>
      <c r="Z34" s="281"/>
      <c r="AA34" s="281"/>
      <c r="AB34" s="281"/>
      <c r="AC34" s="281"/>
      <c r="AD34" s="281"/>
    </row>
    <row r="35" spans="1:30" s="288" customFormat="1" x14ac:dyDescent="0.25">
      <c r="A35" s="287"/>
      <c r="B35" s="274">
        <f t="shared" si="2"/>
        <v>20</v>
      </c>
      <c r="C35" s="304">
        <f t="shared" ca="1" si="5"/>
        <v>-129.72730526064697</v>
      </c>
      <c r="D35" s="304">
        <f ca="1">IF(ROUND(E34,0)&lt;&gt;0, IF(ROUND(D34,0)&lt;&gt;0, 'Career Comparison'!$F$28-C35, 0), 0)</f>
        <v>377.52235290791441</v>
      </c>
      <c r="E35" s="304">
        <f ca="1">IF(G$7&gt;=B35, E34*(1+'Government Figures'!$D$8/12)-'Career Comparison'!$F$28, 0)</f>
        <v>101933.50786469302</v>
      </c>
      <c r="F35" s="312">
        <f>'College Schedule'!$L$8*(1+'Government Figures'!$B$8/12)^B35</f>
        <v>2107.704432025771</v>
      </c>
      <c r="G35" s="278">
        <v>1</v>
      </c>
      <c r="H35" s="279">
        <f t="shared" ca="1" si="6"/>
        <v>0.17320110972991043</v>
      </c>
      <c r="I35" s="304">
        <f>G35*('College Schedule'!$L$9)*(1+'Government Figures'!$B$8/12)^B35</f>
        <v>4693.7569957634814</v>
      </c>
      <c r="J35" s="304">
        <f t="shared" ca="1" si="3"/>
        <v>1525.2935956216775</v>
      </c>
      <c r="K35" s="304">
        <f t="shared" ca="1" si="0"/>
        <v>1427.0810172286194</v>
      </c>
      <c r="L35" s="278">
        <v>1</v>
      </c>
      <c r="M35" s="279">
        <f t="shared" si="7"/>
        <v>0.13735784313725496</v>
      </c>
      <c r="N35" s="304">
        <f>L35*('College Schedule'!$L$10)*(1+'Government Figures'!$B$8/12)^B35</f>
        <v>2816.254197458089</v>
      </c>
      <c r="O35" s="304">
        <f t="shared" si="4"/>
        <v>321.71516314323389</v>
      </c>
      <c r="P35" s="304">
        <f t="shared" si="1"/>
        <v>301.00015078683424</v>
      </c>
      <c r="Q35" s="277"/>
      <c r="R35" s="281"/>
      <c r="S35" s="281"/>
      <c r="T35" s="281"/>
      <c r="U35" s="281"/>
      <c r="V35" s="281"/>
      <c r="W35" s="281"/>
      <c r="X35" s="281"/>
      <c r="Y35" s="281"/>
      <c r="Z35" s="281"/>
      <c r="AA35" s="281"/>
      <c r="AB35" s="281"/>
      <c r="AC35" s="281"/>
      <c r="AD35" s="281"/>
    </row>
    <row r="36" spans="1:30" s="288" customFormat="1" x14ac:dyDescent="0.25">
      <c r="A36" s="287"/>
      <c r="B36" s="274">
        <f t="shared" si="2"/>
        <v>21</v>
      </c>
      <c r="C36" s="304">
        <f t="shared" ca="1" si="5"/>
        <v>-130.2083773509803</v>
      </c>
      <c r="D36" s="304">
        <f ca="1">IF(ROUND(E35,0)&lt;&gt;0, IF(ROUND(D35,0)&lt;&gt;0, 'Career Comparison'!$F$28-C36, 0), 0)</f>
        <v>378.00342499824774</v>
      </c>
      <c r="E36" s="304">
        <f ca="1">IF(G$7&gt;=B36, E35*(1+'Government Figures'!$D$8/12)-'Career Comparison'!$F$28, 0)</f>
        <v>102063.716242044</v>
      </c>
      <c r="F36" s="312">
        <f>'College Schedule'!$L$8*(1+'Government Figures'!$B$8/12)^B36</f>
        <v>2111.2172727458142</v>
      </c>
      <c r="G36" s="278">
        <v>1</v>
      </c>
      <c r="H36" s="279">
        <f t="shared" ca="1" si="6"/>
        <v>0.17320110972991043</v>
      </c>
      <c r="I36" s="304">
        <f>G36*('College Schedule'!$L$9)*(1+'Government Figures'!$B$8/12)^B36</f>
        <v>4701.579924089755</v>
      </c>
      <c r="J36" s="304">
        <f t="shared" ca="1" si="3"/>
        <v>1528.2487433604597</v>
      </c>
      <c r="K36" s="304">
        <f t="shared" ca="1" si="0"/>
        <v>1425.0955665345036</v>
      </c>
      <c r="L36" s="278">
        <v>1</v>
      </c>
      <c r="M36" s="279">
        <f t="shared" si="7"/>
        <v>0.13735784313725496</v>
      </c>
      <c r="N36" s="304">
        <f>L36*('College Schedule'!$L$10)*(1+'Government Figures'!$B$8/12)^B36</f>
        <v>2820.9479544538531</v>
      </c>
      <c r="O36" s="304">
        <f t="shared" si="4"/>
        <v>322.2513550818062</v>
      </c>
      <c r="P36" s="304">
        <f t="shared" si="1"/>
        <v>300.50015053635803</v>
      </c>
      <c r="Q36" s="277"/>
      <c r="R36" s="281"/>
      <c r="S36" s="281"/>
      <c r="T36" s="281"/>
      <c r="U36" s="281"/>
      <c r="V36" s="281"/>
      <c r="W36" s="281"/>
      <c r="X36" s="281"/>
      <c r="Y36" s="281"/>
      <c r="Z36" s="281"/>
      <c r="AA36" s="281"/>
      <c r="AB36" s="281"/>
      <c r="AC36" s="281"/>
      <c r="AD36" s="281"/>
    </row>
    <row r="37" spans="1:30" s="288" customFormat="1" x14ac:dyDescent="0.25">
      <c r="A37" s="287"/>
      <c r="B37" s="274">
        <f t="shared" si="2"/>
        <v>22</v>
      </c>
      <c r="C37" s="304">
        <f t="shared" ca="1" si="5"/>
        <v>-130.69123341699014</v>
      </c>
      <c r="D37" s="304">
        <f ca="1">IF(ROUND(E36,0)&lt;&gt;0, IF(ROUND(D36,0)&lt;&gt;0, 'Career Comparison'!$F$28-C37, 0), 0)</f>
        <v>378.48628106425758</v>
      </c>
      <c r="E37" s="304">
        <f ca="1">IF(G$7&gt;=B37, E36*(1+'Government Figures'!$D$8/12)-'Career Comparison'!$F$28, 0)</f>
        <v>102194.40747546099</v>
      </c>
      <c r="F37" s="312">
        <f>'College Schedule'!$L$8*(1+'Government Figures'!$B$8/12)^B37</f>
        <v>2114.7359682003903</v>
      </c>
      <c r="G37" s="278">
        <v>1</v>
      </c>
      <c r="H37" s="279">
        <f t="shared" ca="1" si="6"/>
        <v>0.17320110972991043</v>
      </c>
      <c r="I37" s="304">
        <f>G37*('College Schedule'!$L$9)*(1+'Government Figures'!$B$8/12)^B37</f>
        <v>4709.4158906299035</v>
      </c>
      <c r="J37" s="304">
        <f t="shared" ca="1" si="3"/>
        <v>1531.2088163454719</v>
      </c>
      <c r="K37" s="304">
        <f t="shared" ca="1" si="0"/>
        <v>1423.1121344768226</v>
      </c>
      <c r="L37" s="278">
        <v>1</v>
      </c>
      <c r="M37" s="279">
        <f t="shared" si="7"/>
        <v>0.13735784313725496</v>
      </c>
      <c r="N37" s="304">
        <f>L37*('College Schedule'!$L$10)*(1+'Government Figures'!$B$8/12)^B37</f>
        <v>2825.6495343779429</v>
      </c>
      <c r="O37" s="304">
        <f t="shared" si="4"/>
        <v>322.78844067360978</v>
      </c>
      <c r="P37" s="304">
        <f t="shared" si="1"/>
        <v>300.00098085108209</v>
      </c>
      <c r="Q37" s="277"/>
      <c r="R37" s="281"/>
      <c r="S37" s="281"/>
      <c r="T37" s="281"/>
      <c r="U37" s="281"/>
      <c r="V37" s="281"/>
      <c r="W37" s="281"/>
      <c r="X37" s="281"/>
      <c r="Y37" s="281"/>
      <c r="Z37" s="281"/>
      <c r="AA37" s="281"/>
      <c r="AB37" s="281"/>
      <c r="AC37" s="281"/>
      <c r="AD37" s="281"/>
    </row>
    <row r="38" spans="1:30" s="288" customFormat="1" x14ac:dyDescent="0.25">
      <c r="A38" s="287"/>
      <c r="B38" s="274">
        <f t="shared" si="2"/>
        <v>23</v>
      </c>
      <c r="C38" s="304">
        <f t="shared" ca="1" si="5"/>
        <v>-131.17588007425366</v>
      </c>
      <c r="D38" s="304">
        <f ca="1">IF(ROUND(E37,0)&lt;&gt;0, IF(ROUND(D37,0)&lt;&gt;0, 'Career Comparison'!$F$28-C38, 0), 0)</f>
        <v>378.97092772152109</v>
      </c>
      <c r="E38" s="304">
        <f ca="1">IF(G$7&gt;=B38, E37*(1+'Government Figures'!$D$8/12)-'Career Comparison'!$F$28, 0)</f>
        <v>102325.58335553524</v>
      </c>
      <c r="F38" s="312">
        <f>'College Schedule'!$L$8*(1+'Government Figures'!$B$8/12)^B38</f>
        <v>2118.2605281473911</v>
      </c>
      <c r="G38" s="278">
        <v>1</v>
      </c>
      <c r="H38" s="279">
        <f t="shared" ca="1" si="6"/>
        <v>0.17320110972991043</v>
      </c>
      <c r="I38" s="304">
        <f>G38*('College Schedule'!$L$9)*(1+'Government Figures'!$B$8/12)^B38</f>
        <v>4717.2649171142875</v>
      </c>
      <c r="J38" s="304">
        <f t="shared" ca="1" si="3"/>
        <v>1534.1738227854603</v>
      </c>
      <c r="K38" s="304">
        <f t="shared" ca="1" si="0"/>
        <v>1421.1307219530418</v>
      </c>
      <c r="L38" s="278">
        <v>1</v>
      </c>
      <c r="M38" s="279">
        <f t="shared" si="7"/>
        <v>0.13735784313725496</v>
      </c>
      <c r="N38" s="304">
        <f>L38*('College Schedule'!$L$10)*(1+'Government Figures'!$B$8/12)^B38</f>
        <v>2830.3589502685732</v>
      </c>
      <c r="O38" s="304">
        <f t="shared" si="4"/>
        <v>323.32642140806593</v>
      </c>
      <c r="P38" s="304">
        <f t="shared" si="1"/>
        <v>299.5026403513296</v>
      </c>
      <c r="Q38" s="277"/>
      <c r="R38" s="281"/>
      <c r="S38" s="281"/>
      <c r="T38" s="281"/>
      <c r="U38" s="281"/>
      <c r="V38" s="281"/>
      <c r="W38" s="281"/>
      <c r="X38" s="281"/>
      <c r="Y38" s="281"/>
      <c r="Z38" s="281"/>
      <c r="AA38" s="281"/>
      <c r="AB38" s="281"/>
      <c r="AC38" s="281"/>
      <c r="AD38" s="281"/>
    </row>
    <row r="39" spans="1:30" s="288" customFormat="1" x14ac:dyDescent="0.25">
      <c r="A39" s="287"/>
      <c r="B39" s="274">
        <f t="shared" si="2"/>
        <v>24</v>
      </c>
      <c r="C39" s="304">
        <f t="shared" ca="1" si="5"/>
        <v>-131.66232396285341</v>
      </c>
      <c r="D39" s="304">
        <f ca="1">IF(ROUND(E38,0)&lt;&gt;0, IF(ROUND(D38,0)&lt;&gt;0, 'Career Comparison'!$F$28-C39, 0), 0)</f>
        <v>379.45737161012084</v>
      </c>
      <c r="E39" s="304">
        <f ca="1">IF(G$7&gt;=B39, E38*(1+'Government Figures'!$D$8/12)-'Career Comparison'!$F$28, 0)</f>
        <v>102457.2456794981</v>
      </c>
      <c r="F39" s="312">
        <f>'College Schedule'!$L$8*(1+'Government Figures'!$B$8/12)^B39</f>
        <v>2121.7909623609708</v>
      </c>
      <c r="G39" s="278">
        <v>1</v>
      </c>
      <c r="H39" s="279">
        <f t="shared" ca="1" si="6"/>
        <v>0.17320110972991043</v>
      </c>
      <c r="I39" s="304">
        <f>G39*('College Schedule'!$L$9)*(1+'Government Figures'!$B$8/12)^B39</f>
        <v>4725.127025309479</v>
      </c>
      <c r="J39" s="304">
        <f t="shared" ca="1" si="3"/>
        <v>1537.1437709028487</v>
      </c>
      <c r="K39" s="304">
        <f t="shared" ca="1" si="0"/>
        <v>1419.15132984501</v>
      </c>
      <c r="L39" s="278">
        <v>1</v>
      </c>
      <c r="M39" s="279">
        <f t="shared" si="7"/>
        <v>0.13735784313725496</v>
      </c>
      <c r="N39" s="304">
        <f>L39*('College Schedule'!$L$10)*(1+'Government Figures'!$B$8/12)^B39</f>
        <v>2835.0762151856879</v>
      </c>
      <c r="O39" s="304">
        <f t="shared" si="4"/>
        <v>323.86529877707881</v>
      </c>
      <c r="P39" s="304">
        <f t="shared" si="1"/>
        <v>299.00512765971558</v>
      </c>
      <c r="Q39" s="277"/>
      <c r="R39" s="281"/>
      <c r="S39" s="281"/>
      <c r="T39" s="281"/>
      <c r="U39" s="281"/>
      <c r="V39" s="281"/>
      <c r="W39" s="281"/>
      <c r="X39" s="281"/>
      <c r="Y39" s="281"/>
      <c r="Z39" s="281"/>
      <c r="AA39" s="281"/>
      <c r="AB39" s="281"/>
      <c r="AC39" s="281"/>
      <c r="AD39" s="281"/>
    </row>
    <row r="40" spans="1:30" s="288" customFormat="1" x14ac:dyDescent="0.25">
      <c r="A40" s="287"/>
      <c r="B40" s="274">
        <f t="shared" si="2"/>
        <v>25</v>
      </c>
      <c r="C40" s="304">
        <f t="shared" ca="1" si="5"/>
        <v>-132.15057174755202</v>
      </c>
      <c r="D40" s="304">
        <f ca="1">IF(ROUND(E39,0)&lt;&gt;0, IF(ROUND(D39,0)&lt;&gt;0, 'Career Comparison'!$F$28-C40, 0), 0)</f>
        <v>379.94561939481946</v>
      </c>
      <c r="E40" s="304">
        <f ca="1">IF(G$7&gt;=B40, E39*(1+'Government Figures'!$D$8/12)-'Career Comparison'!$F$28, 0)</f>
        <v>102589.39625124565</v>
      </c>
      <c r="F40" s="312">
        <f>'College Schedule'!$L$8*(1+'Government Figures'!$B$8/12)^B40</f>
        <v>2125.3272806315722</v>
      </c>
      <c r="G40" s="278">
        <v>1</v>
      </c>
      <c r="H40" s="279">
        <f t="shared" ca="1" si="6"/>
        <v>0.17320110972991043</v>
      </c>
      <c r="I40" s="304">
        <f>G40*('College Schedule'!$L$9)*(1+'Government Figures'!$B$8/12)^B40</f>
        <v>4733.0022370183278</v>
      </c>
      <c r="J40" s="304">
        <f t="shared" ca="1" si="3"/>
        <v>1540.1186689337651</v>
      </c>
      <c r="K40" s="304">
        <f t="shared" ca="1" si="0"/>
        <v>1417.1739590190357</v>
      </c>
      <c r="L40" s="278">
        <v>1</v>
      </c>
      <c r="M40" s="279">
        <f t="shared" si="7"/>
        <v>0.13735784313725496</v>
      </c>
      <c r="N40" s="304">
        <f>L40*('College Schedule'!$L$10)*(1+'Government Figures'!$B$8/12)^B40</f>
        <v>2839.8013422109971</v>
      </c>
      <c r="O40" s="304">
        <f t="shared" si="4"/>
        <v>324.40507427504053</v>
      </c>
      <c r="P40" s="304">
        <f t="shared" si="1"/>
        <v>298.50844140114452</v>
      </c>
      <c r="Q40" s="277"/>
      <c r="R40" s="281"/>
      <c r="S40" s="281"/>
      <c r="T40" s="281"/>
      <c r="U40" s="281"/>
      <c r="V40" s="281"/>
      <c r="W40" s="281"/>
      <c r="X40" s="281"/>
      <c r="Y40" s="281"/>
      <c r="Z40" s="281"/>
      <c r="AA40" s="281"/>
      <c r="AB40" s="281"/>
      <c r="AC40" s="281"/>
      <c r="AD40" s="281"/>
    </row>
    <row r="41" spans="1:30" s="288" customFormat="1" x14ac:dyDescent="0.25">
      <c r="A41" s="287"/>
      <c r="B41" s="274">
        <f t="shared" si="2"/>
        <v>26</v>
      </c>
      <c r="C41" s="304">
        <f t="shared" ca="1" si="5"/>
        <v>-132.64063011777762</v>
      </c>
      <c r="D41" s="304">
        <f ca="1">IF(ROUND(E40,0)&lt;&gt;0, IF(ROUND(D40,0)&lt;&gt;0, 'Career Comparison'!$F$28-C41, 0), 0)</f>
        <v>380.43567776504506</v>
      </c>
      <c r="E41" s="304">
        <f ca="1">IF(G$7&gt;=B41, E40*(1+'Government Figures'!$D$8/12)-'Career Comparison'!$F$28, 0)</f>
        <v>102722.03688136343</v>
      </c>
      <c r="F41" s="312">
        <f>'College Schedule'!$L$8*(1+'Government Figures'!$B$8/12)^B41</f>
        <v>2128.8694927659581</v>
      </c>
      <c r="G41" s="278">
        <v>1</v>
      </c>
      <c r="H41" s="279">
        <f t="shared" ca="1" si="6"/>
        <v>0.17320110972991043</v>
      </c>
      <c r="I41" s="304">
        <f>G41*('College Schedule'!$L$9)*(1+'Government Figures'!$B$8/12)^B41</f>
        <v>4740.8905740800255</v>
      </c>
      <c r="J41" s="304">
        <f t="shared" ca="1" si="3"/>
        <v>1543.0985251280676</v>
      </c>
      <c r="K41" s="304">
        <f t="shared" ca="1" si="0"/>
        <v>1415.1986103259642</v>
      </c>
      <c r="L41" s="278">
        <v>1</v>
      </c>
      <c r="M41" s="279">
        <f t="shared" si="7"/>
        <v>0.13735784313725496</v>
      </c>
      <c r="N41" s="304">
        <f>L41*('College Schedule'!$L$10)*(1+'Government Figures'!$B$8/12)^B41</f>
        <v>2844.5343444480154</v>
      </c>
      <c r="O41" s="304">
        <f t="shared" si="4"/>
        <v>324.9457493988325</v>
      </c>
      <c r="P41" s="304">
        <f t="shared" si="1"/>
        <v>298.01258020280397</v>
      </c>
      <c r="Q41" s="277"/>
      <c r="R41" s="281"/>
      <c r="S41" s="281"/>
      <c r="T41" s="281"/>
      <c r="U41" s="281"/>
      <c r="V41" s="281"/>
      <c r="W41" s="281"/>
      <c r="X41" s="281"/>
      <c r="Y41" s="281"/>
      <c r="Z41" s="281"/>
      <c r="AA41" s="281"/>
      <c r="AB41" s="281"/>
      <c r="AC41" s="281"/>
      <c r="AD41" s="281"/>
    </row>
    <row r="42" spans="1:30" s="288" customFormat="1" x14ac:dyDescent="0.25">
      <c r="A42" s="287"/>
      <c r="B42" s="274">
        <f t="shared" si="2"/>
        <v>27</v>
      </c>
      <c r="C42" s="304">
        <f t="shared" ca="1" si="5"/>
        <v>-133.13250578779844</v>
      </c>
      <c r="D42" s="304">
        <f ca="1">IF(ROUND(E41,0)&lt;&gt;0, IF(ROUND(D41,0)&lt;&gt;0, 'Career Comparison'!$F$28-C42, 0), 0)</f>
        <v>380.92755343506587</v>
      </c>
      <c r="E42" s="304">
        <f ca="1">IF(G$7&gt;=B42, E41*(1+'Government Figures'!$D$8/12)-'Career Comparison'!$F$28, 0)</f>
        <v>102855.16938715123</v>
      </c>
      <c r="F42" s="312">
        <f>'College Schedule'!$L$8*(1+'Government Figures'!$B$8/12)^B42</f>
        <v>2132.417608587235</v>
      </c>
      <c r="G42" s="278">
        <v>1</v>
      </c>
      <c r="H42" s="279">
        <f t="shared" ca="1" si="6"/>
        <v>0.17320110972991043</v>
      </c>
      <c r="I42" s="304">
        <f>G42*('College Schedule'!$L$9)*(1+'Government Figures'!$B$8/12)^B42</f>
        <v>4748.7920583701589</v>
      </c>
      <c r="J42" s="304">
        <f t="shared" ca="1" si="3"/>
        <v>1546.0833477493593</v>
      </c>
      <c r="K42" s="304">
        <f t="shared" ca="1" si="0"/>
        <v>1413.2252846012402</v>
      </c>
      <c r="L42" s="278">
        <v>1</v>
      </c>
      <c r="M42" s="279">
        <f t="shared" si="7"/>
        <v>0.13735784313725496</v>
      </c>
      <c r="N42" s="304">
        <f>L42*('College Schedule'!$L$10)*(1+'Government Figures'!$B$8/12)^B42</f>
        <v>2849.2752350220958</v>
      </c>
      <c r="O42" s="304">
        <f t="shared" si="4"/>
        <v>325.4873256478304</v>
      </c>
      <c r="P42" s="304">
        <f t="shared" si="1"/>
        <v>297.51754269416119</v>
      </c>
      <c r="Q42" s="277"/>
      <c r="R42" s="281"/>
      <c r="S42" s="281"/>
      <c r="T42" s="281"/>
      <c r="U42" s="281"/>
      <c r="V42" s="281"/>
      <c r="W42" s="281"/>
      <c r="X42" s="281"/>
      <c r="Y42" s="281"/>
      <c r="Z42" s="281"/>
      <c r="AA42" s="281"/>
      <c r="AB42" s="281"/>
      <c r="AC42" s="281"/>
      <c r="AD42" s="281"/>
    </row>
    <row r="43" spans="1:30" s="288" customFormat="1" x14ac:dyDescent="0.25">
      <c r="A43" s="287"/>
      <c r="B43" s="274">
        <f t="shared" si="2"/>
        <v>28</v>
      </c>
      <c r="C43" s="304">
        <f t="shared" ca="1" si="5"/>
        <v>-133.62620549676649</v>
      </c>
      <c r="D43" s="304">
        <f ca="1">IF(ROUND(E42,0)&lt;&gt;0, IF(ROUND(D42,0)&lt;&gt;0, 'Career Comparison'!$F$28-C43, 0), 0)</f>
        <v>381.42125314403393</v>
      </c>
      <c r="E43" s="304">
        <f ca="1">IF(G$7&gt;=B43, E42*(1+'Government Figures'!$D$8/12)-'Career Comparison'!$F$28, 0)</f>
        <v>102988.79559264799</v>
      </c>
      <c r="F43" s="312">
        <f>'College Schedule'!$L$8*(1+'Government Figures'!$B$8/12)^B43</f>
        <v>2135.9716379348806</v>
      </c>
      <c r="G43" s="278">
        <v>1</v>
      </c>
      <c r="H43" s="279">
        <f t="shared" ca="1" si="6"/>
        <v>0.17320110972991043</v>
      </c>
      <c r="I43" s="304">
        <f>G43*('College Schedule'!$L$9)*(1+'Government Figures'!$B$8/12)^B43</f>
        <v>4756.7067118007762</v>
      </c>
      <c r="J43" s="304">
        <f t="shared" ca="1" si="3"/>
        <v>1549.0731450750204</v>
      </c>
      <c r="K43" s="304">
        <f t="shared" ca="1" si="0"/>
        <v>1411.2539826649913</v>
      </c>
      <c r="L43" s="278">
        <v>1</v>
      </c>
      <c r="M43" s="279">
        <f t="shared" si="7"/>
        <v>0.13735784313725496</v>
      </c>
      <c r="N43" s="304">
        <f>L43*('College Schedule'!$L$10)*(1+'Government Figures'!$B$8/12)^B43</f>
        <v>2854.0240270804661</v>
      </c>
      <c r="O43" s="304">
        <f t="shared" si="4"/>
        <v>326.02980452391012</v>
      </c>
      <c r="P43" s="304">
        <f t="shared" si="1"/>
        <v>297.02332750696155</v>
      </c>
      <c r="Q43" s="277"/>
      <c r="R43" s="281"/>
      <c r="S43" s="281"/>
      <c r="T43" s="281"/>
      <c r="U43" s="281"/>
      <c r="V43" s="281"/>
      <c r="W43" s="281"/>
      <c r="X43" s="281"/>
      <c r="Y43" s="281"/>
      <c r="Z43" s="281"/>
      <c r="AA43" s="281"/>
      <c r="AB43" s="281"/>
      <c r="AC43" s="281"/>
      <c r="AD43" s="281"/>
    </row>
    <row r="44" spans="1:30" s="288" customFormat="1" x14ac:dyDescent="0.25">
      <c r="A44" s="287"/>
      <c r="B44" s="274">
        <f t="shared" si="2"/>
        <v>29</v>
      </c>
      <c r="C44" s="304">
        <f t="shared" ca="1" si="5"/>
        <v>-134.12173600881943</v>
      </c>
      <c r="D44" s="304">
        <f ca="1">IF(ROUND(E43,0)&lt;&gt;0, IF(ROUND(D43,0)&lt;&gt;0, 'Career Comparison'!$F$28-C44, 0), 0)</f>
        <v>381.91678365608686</v>
      </c>
      <c r="E44" s="304">
        <f ca="1">IF(G$7&gt;=B44, E43*(1+'Government Figures'!$D$8/12)-'Career Comparison'!$F$28, 0)</f>
        <v>103122.91732865681</v>
      </c>
      <c r="F44" s="312">
        <f>'College Schedule'!$L$8*(1+'Government Figures'!$B$8/12)^B44</f>
        <v>2139.5315906647725</v>
      </c>
      <c r="G44" s="278">
        <v>1</v>
      </c>
      <c r="H44" s="279">
        <f t="shared" ca="1" si="6"/>
        <v>0.17320110972991043</v>
      </c>
      <c r="I44" s="304">
        <f>G44*('College Schedule'!$L$9)*(1+'Government Figures'!$B$8/12)^B44</f>
        <v>4764.634556320445</v>
      </c>
      <c r="J44" s="304">
        <f t="shared" ca="1" si="3"/>
        <v>1552.0679253962244</v>
      </c>
      <c r="K44" s="304">
        <f t="shared" ca="1" si="0"/>
        <v>1409.284705322091</v>
      </c>
      <c r="L44" s="278">
        <v>1</v>
      </c>
      <c r="M44" s="279">
        <f t="shared" si="7"/>
        <v>0.13735784313725496</v>
      </c>
      <c r="N44" s="304">
        <f>L44*('College Schedule'!$L$10)*(1+'Government Figures'!$B$8/12)^B44</f>
        <v>2858.7807337922673</v>
      </c>
      <c r="O44" s="304">
        <f t="shared" si="4"/>
        <v>326.57318753145</v>
      </c>
      <c r="P44" s="304">
        <f t="shared" si="1"/>
        <v>296.5299332752225</v>
      </c>
      <c r="Q44" s="277"/>
      <c r="R44" s="281"/>
      <c r="S44" s="281"/>
      <c r="T44" s="281"/>
      <c r="U44" s="281"/>
      <c r="V44" s="281"/>
      <c r="W44" s="281"/>
      <c r="X44" s="281"/>
      <c r="Y44" s="281"/>
      <c r="Z44" s="281"/>
      <c r="AA44" s="281"/>
      <c r="AB44" s="281"/>
      <c r="AC44" s="281"/>
      <c r="AD44" s="281"/>
    </row>
    <row r="45" spans="1:30" s="288" customFormat="1" x14ac:dyDescent="0.25">
      <c r="A45" s="287"/>
      <c r="B45" s="274">
        <f t="shared" si="2"/>
        <v>30</v>
      </c>
      <c r="C45" s="304">
        <f t="shared" ca="1" si="5"/>
        <v>-134.6191041131824</v>
      </c>
      <c r="D45" s="304">
        <f ca="1">IF(ROUND(E44,0)&lt;&gt;0, IF(ROUND(D44,0)&lt;&gt;0, 'Career Comparison'!$F$28-C45, 0), 0)</f>
        <v>382.41415176044984</v>
      </c>
      <c r="E45" s="304">
        <f ca="1">IF(G$7&gt;=B45, E44*(1+'Government Figures'!$D$8/12)-'Career Comparison'!$F$28, 0)</f>
        <v>103257.53643276999</v>
      </c>
      <c r="F45" s="312">
        <f>'College Schedule'!$L$8*(1+'Government Figures'!$B$8/12)^B45</f>
        <v>2143.0974766492136</v>
      </c>
      <c r="G45" s="278">
        <v>1</v>
      </c>
      <c r="H45" s="279">
        <f t="shared" ca="1" si="6"/>
        <v>0.17320110972991043</v>
      </c>
      <c r="I45" s="304">
        <f>G45*('College Schedule'!$L$9)*(1+'Government Figures'!$B$8/12)^B45</f>
        <v>4772.5756139143123</v>
      </c>
      <c r="J45" s="304">
        <f t="shared" ca="1" si="3"/>
        <v>1555.0676970179638</v>
      </c>
      <c r="K45" s="304">
        <f t="shared" ca="1" si="0"/>
        <v>1407.3174533622321</v>
      </c>
      <c r="L45" s="278">
        <v>1</v>
      </c>
      <c r="M45" s="279">
        <f t="shared" si="7"/>
        <v>0.13735784313725496</v>
      </c>
      <c r="N45" s="304">
        <f>L45*('College Schedule'!$L$10)*(1+'Government Figures'!$B$8/12)^B45</f>
        <v>2863.545368348588</v>
      </c>
      <c r="O45" s="304">
        <f t="shared" si="4"/>
        <v>327.1174761773359</v>
      </c>
      <c r="P45" s="304">
        <f t="shared" si="1"/>
        <v>296.03735863523053</v>
      </c>
      <c r="Q45" s="277"/>
      <c r="R45" s="281"/>
      <c r="S45" s="281"/>
      <c r="T45" s="281"/>
      <c r="U45" s="281"/>
      <c r="V45" s="281"/>
      <c r="W45" s="281"/>
      <c r="X45" s="281"/>
      <c r="Y45" s="281"/>
      <c r="Z45" s="281"/>
      <c r="AA45" s="281"/>
      <c r="AB45" s="281"/>
      <c r="AC45" s="281"/>
      <c r="AD45" s="281"/>
    </row>
    <row r="46" spans="1:30" s="288" customFormat="1" x14ac:dyDescent="0.25">
      <c r="A46" s="287"/>
      <c r="B46" s="274">
        <f t="shared" si="2"/>
        <v>31</v>
      </c>
      <c r="C46" s="304">
        <f t="shared" ca="1" si="5"/>
        <v>-135.11831662426994</v>
      </c>
      <c r="D46" s="304">
        <f ca="1">IF(ROUND(E45,0)&lt;&gt;0, IF(ROUND(D45,0)&lt;&gt;0, 'Career Comparison'!$F$28-C46, 0), 0)</f>
        <v>382.91336427153738</v>
      </c>
      <c r="E46" s="304">
        <f ca="1">IF(G$7&gt;=B46, E45*(1+'Government Figures'!$D$8/12)-'Career Comparison'!$F$28, 0)</f>
        <v>103392.65474939426</v>
      </c>
      <c r="F46" s="312">
        <f>'College Schedule'!$L$8*(1+'Government Figures'!$B$8/12)^B46</f>
        <v>2146.6693057769626</v>
      </c>
      <c r="G46" s="278">
        <v>1</v>
      </c>
      <c r="H46" s="279">
        <f t="shared" ca="1" si="6"/>
        <v>0.17320110972991043</v>
      </c>
      <c r="I46" s="304">
        <f>G46*('College Schedule'!$L$9)*(1+'Government Figures'!$B$8/12)^B46</f>
        <v>4780.5299066041698</v>
      </c>
      <c r="J46" s="304">
        <f t="shared" ca="1" si="3"/>
        <v>1558.0724682590726</v>
      </c>
      <c r="K46" s="304">
        <f t="shared" ca="1" si="0"/>
        <v>1405.3522275600005</v>
      </c>
      <c r="L46" s="278">
        <v>1</v>
      </c>
      <c r="M46" s="279">
        <f t="shared" si="7"/>
        <v>0.13735784313725496</v>
      </c>
      <c r="N46" s="304">
        <f>L46*('College Schedule'!$L$10)*(1+'Government Figures'!$B$8/12)^B46</f>
        <v>2868.3179439625023</v>
      </c>
      <c r="O46" s="304">
        <f t="shared" si="4"/>
        <v>327.66267197096477</v>
      </c>
      <c r="P46" s="304">
        <f t="shared" si="1"/>
        <v>295.54560222553738</v>
      </c>
      <c r="Q46" s="277"/>
      <c r="R46" s="281"/>
      <c r="S46" s="281"/>
      <c r="T46" s="281"/>
      <c r="U46" s="281"/>
      <c r="V46" s="281"/>
      <c r="W46" s="281"/>
      <c r="X46" s="281"/>
      <c r="Y46" s="281"/>
      <c r="Z46" s="281"/>
      <c r="AA46" s="281"/>
      <c r="AB46" s="281"/>
      <c r="AC46" s="281"/>
      <c r="AD46" s="281"/>
    </row>
    <row r="47" spans="1:30" s="288" customFormat="1" x14ac:dyDescent="0.25">
      <c r="A47" s="287"/>
      <c r="B47" s="274">
        <f t="shared" si="2"/>
        <v>32</v>
      </c>
      <c r="C47" s="304">
        <f t="shared" ca="1" si="5"/>
        <v>-135.61938038175867</v>
      </c>
      <c r="D47" s="304">
        <f ca="1">IF(ROUND(E46,0)&lt;&gt;0, IF(ROUND(D46,0)&lt;&gt;0, 'Career Comparison'!$F$28-C47, 0), 0)</f>
        <v>383.41442802902611</v>
      </c>
      <c r="E47" s="304">
        <f ca="1">IF(G$7&gt;=B47, E46*(1+'Government Figures'!$D$8/12)-'Career Comparison'!$F$28, 0)</f>
        <v>103528.27412977602</v>
      </c>
      <c r="F47" s="312">
        <f>'College Schedule'!$L$8*(1+'Government Figures'!$B$8/12)^B47</f>
        <v>2150.247087953258</v>
      </c>
      <c r="G47" s="278">
        <v>1</v>
      </c>
      <c r="H47" s="279">
        <f t="shared" ca="1" si="6"/>
        <v>0.17320110972991043</v>
      </c>
      <c r="I47" s="304">
        <f>G47*('College Schedule'!$L$9)*(1+'Government Figures'!$B$8/12)^B47</f>
        <v>4788.497456448511</v>
      </c>
      <c r="J47" s="304">
        <f t="shared" ca="1" si="3"/>
        <v>1561.0822474522502</v>
      </c>
      <c r="K47" s="304">
        <f t="shared" ca="1" si="0"/>
        <v>1403.3890286749449</v>
      </c>
      <c r="L47" s="278">
        <v>1</v>
      </c>
      <c r="M47" s="279">
        <f t="shared" si="7"/>
        <v>0.13735784313725496</v>
      </c>
      <c r="N47" s="304">
        <f>L47*('College Schedule'!$L$10)*(1+'Government Figures'!$B$8/12)^B47</f>
        <v>2873.0984738691072</v>
      </c>
      <c r="O47" s="304">
        <f t="shared" si="4"/>
        <v>328.20877642424966</v>
      </c>
      <c r="P47" s="304">
        <f t="shared" si="1"/>
        <v>295.0546626869567</v>
      </c>
      <c r="Q47" s="277"/>
      <c r="R47" s="281"/>
      <c r="S47" s="281"/>
      <c r="T47" s="281"/>
      <c r="U47" s="281"/>
      <c r="V47" s="281"/>
      <c r="W47" s="281"/>
      <c r="X47" s="281"/>
      <c r="Y47" s="281"/>
      <c r="Z47" s="281"/>
      <c r="AA47" s="281"/>
      <c r="AB47" s="281"/>
      <c r="AC47" s="281"/>
      <c r="AD47" s="281"/>
    </row>
    <row r="48" spans="1:30" s="288" customFormat="1" x14ac:dyDescent="0.25">
      <c r="A48" s="287"/>
      <c r="B48" s="274">
        <f t="shared" si="2"/>
        <v>33</v>
      </c>
      <c r="C48" s="304">
        <f t="shared" ca="1" si="5"/>
        <v>-136.12230225066014</v>
      </c>
      <c r="D48" s="304">
        <f ca="1">IF(ROUND(E47,0)&lt;&gt;0, IF(ROUND(D47,0)&lt;&gt;0, 'Career Comparison'!$F$28-C48, 0), 0)</f>
        <v>383.91734989792758</v>
      </c>
      <c r="E48" s="304">
        <f ca="1">IF(G$7&gt;=B48, E47*(1+'Government Figures'!$D$8/12)-'Career Comparison'!$F$28, 0)</f>
        <v>103664.39643202668</v>
      </c>
      <c r="F48" s="312">
        <f>'College Schedule'!$L$8*(1+'Government Figures'!$B$8/12)^B48</f>
        <v>2153.8308330998466</v>
      </c>
      <c r="G48" s="278">
        <v>1</v>
      </c>
      <c r="H48" s="279">
        <f t="shared" ca="1" si="6"/>
        <v>0.17320110972991043</v>
      </c>
      <c r="I48" s="304">
        <f>G48*('College Schedule'!$L$9)*(1+'Government Figures'!$B$8/12)^B48</f>
        <v>4796.4782855425929</v>
      </c>
      <c r="J48" s="304">
        <f t="shared" ca="1" si="3"/>
        <v>1564.0970429440836</v>
      </c>
      <c r="K48" s="304">
        <f t="shared" ca="1" si="0"/>
        <v>1401.4278574516466</v>
      </c>
      <c r="L48" s="278">
        <v>1</v>
      </c>
      <c r="M48" s="279">
        <f t="shared" si="7"/>
        <v>0.13735784313725496</v>
      </c>
      <c r="N48" s="304">
        <f>L48*('College Schedule'!$L$10)*(1+'Government Figures'!$B$8/12)^B48</f>
        <v>2877.8869713255558</v>
      </c>
      <c r="O48" s="304">
        <f t="shared" si="4"/>
        <v>328.75579105162387</v>
      </c>
      <c r="P48" s="304">
        <f t="shared" si="1"/>
        <v>294.5645386625601</v>
      </c>
      <c r="Q48" s="277"/>
      <c r="R48" s="281"/>
      <c r="S48" s="281"/>
      <c r="T48" s="281"/>
      <c r="U48" s="281"/>
      <c r="V48" s="281"/>
      <c r="W48" s="281"/>
      <c r="X48" s="281"/>
      <c r="Y48" s="281"/>
      <c r="Z48" s="281"/>
      <c r="AA48" s="281"/>
      <c r="AB48" s="281"/>
      <c r="AC48" s="281"/>
      <c r="AD48" s="281"/>
    </row>
    <row r="49" spans="1:30" s="288" customFormat="1" x14ac:dyDescent="0.25">
      <c r="A49" s="287"/>
      <c r="B49" s="274">
        <f t="shared" si="2"/>
        <v>34</v>
      </c>
      <c r="C49" s="304">
        <f t="shared" ca="1" si="5"/>
        <v>-136.62708912150993</v>
      </c>
      <c r="D49" s="304">
        <f ca="1">IF(ROUND(E48,0)&lt;&gt;0, IF(ROUND(D48,0)&lt;&gt;0, 'Career Comparison'!$F$28-C49, 0), 0)</f>
        <v>384.42213676877736</v>
      </c>
      <c r="E49" s="304">
        <f ca="1">IF(G$7&gt;=B49, E48*(1+'Government Figures'!$D$8/12)-'Career Comparison'!$F$28, 0)</f>
        <v>103801.02352114819</v>
      </c>
      <c r="F49" s="312">
        <f>'College Schedule'!$L$8*(1+'Government Figures'!$B$8/12)^B49</f>
        <v>2157.4205511550131</v>
      </c>
      <c r="G49" s="278">
        <v>1</v>
      </c>
      <c r="H49" s="279">
        <f t="shared" ca="1" si="6"/>
        <v>0.17320110972991043</v>
      </c>
      <c r="I49" s="304">
        <f>G49*('College Schedule'!$L$9)*(1+'Government Figures'!$B$8/12)^B49</f>
        <v>4804.4724160184969</v>
      </c>
      <c r="J49" s="304">
        <f t="shared" ca="1" si="3"/>
        <v>1567.1168630950688</v>
      </c>
      <c r="K49" s="304">
        <f t="shared" ca="1" si="0"/>
        <v>1399.4687146197887</v>
      </c>
      <c r="L49" s="278">
        <v>1</v>
      </c>
      <c r="M49" s="279">
        <f t="shared" si="7"/>
        <v>0.13735784313725496</v>
      </c>
      <c r="N49" s="304">
        <f>L49*('College Schedule'!$L$10)*(1+'Government Figures'!$B$8/12)^B49</f>
        <v>2882.6834496110982</v>
      </c>
      <c r="O49" s="304">
        <f t="shared" si="4"/>
        <v>329.3037173700427</v>
      </c>
      <c r="P49" s="304">
        <f t="shared" si="1"/>
        <v>294.07522879767163</v>
      </c>
      <c r="Q49" s="277"/>
      <c r="R49" s="281"/>
      <c r="S49" s="281"/>
      <c r="T49" s="281"/>
      <c r="U49" s="281"/>
      <c r="V49" s="281"/>
      <c r="W49" s="281"/>
      <c r="X49" s="281"/>
      <c r="Y49" s="281"/>
      <c r="Z49" s="281"/>
      <c r="AA49" s="281"/>
      <c r="AB49" s="281"/>
      <c r="AC49" s="281"/>
      <c r="AD49" s="281"/>
    </row>
    <row r="50" spans="1:30" s="288" customFormat="1" x14ac:dyDescent="0.25">
      <c r="A50" s="287"/>
      <c r="B50" s="274">
        <f t="shared" si="2"/>
        <v>35</v>
      </c>
      <c r="C50" s="304">
        <f t="shared" ca="1" si="5"/>
        <v>-137.13374791033857</v>
      </c>
      <c r="D50" s="304">
        <f ca="1">IF(ROUND(E49,0)&lt;&gt;0, IF(ROUND(D49,0)&lt;&gt;0, 'Career Comparison'!$F$28-C50, 0), 0)</f>
        <v>384.92879555760601</v>
      </c>
      <c r="E50" s="304">
        <f ca="1">IF(G$7&gt;=B50, E49*(1+'Government Figures'!$D$8/12)-'Career Comparison'!$F$28, 0)</f>
        <v>103938.15726905853</v>
      </c>
      <c r="F50" s="312">
        <f>'College Schedule'!$L$8*(1+'Government Figures'!$B$8/12)^B50</f>
        <v>2161.0162520736048</v>
      </c>
      <c r="G50" s="278">
        <v>1</v>
      </c>
      <c r="H50" s="279">
        <f t="shared" ca="1" si="6"/>
        <v>0.17320110972991043</v>
      </c>
      <c r="I50" s="304">
        <f>G50*('College Schedule'!$L$9)*(1+'Government Figures'!$B$8/12)^B50</f>
        <v>4812.4798700451947</v>
      </c>
      <c r="J50" s="304">
        <f t="shared" ca="1" si="3"/>
        <v>1570.1417162796397</v>
      </c>
      <c r="K50" s="304">
        <f t="shared" ca="1" si="0"/>
        <v>1397.5116008942307</v>
      </c>
      <c r="L50" s="278">
        <v>1</v>
      </c>
      <c r="M50" s="279">
        <f t="shared" si="7"/>
        <v>0.13735784313725496</v>
      </c>
      <c r="N50" s="304">
        <f>L50*('College Schedule'!$L$10)*(1+'Government Figures'!$B$8/12)^B50</f>
        <v>2887.4879220271173</v>
      </c>
      <c r="O50" s="304">
        <f t="shared" si="4"/>
        <v>329.8525568989935</v>
      </c>
      <c r="P50" s="304">
        <f t="shared" si="1"/>
        <v>293.58673173986875</v>
      </c>
      <c r="Q50" s="277"/>
      <c r="R50" s="281"/>
      <c r="S50" s="281"/>
      <c r="T50" s="281"/>
      <c r="U50" s="281"/>
      <c r="V50" s="281"/>
      <c r="W50" s="281"/>
      <c r="X50" s="281"/>
      <c r="Y50" s="281"/>
      <c r="Z50" s="281"/>
      <c r="AA50" s="281"/>
      <c r="AB50" s="281"/>
      <c r="AC50" s="281"/>
      <c r="AD50" s="281"/>
    </row>
    <row r="51" spans="1:30" s="288" customFormat="1" x14ac:dyDescent="0.25">
      <c r="A51" s="287"/>
      <c r="B51" s="274">
        <f t="shared" si="2"/>
        <v>36</v>
      </c>
      <c r="C51" s="304">
        <f t="shared" ca="1" si="5"/>
        <v>-137.6422855588462</v>
      </c>
      <c r="D51" s="304">
        <f ca="1">IF(ROUND(E50,0)&lt;&gt;0, IF(ROUND(D50,0)&lt;&gt;0, 'Career Comparison'!$F$28-C51, 0), 0)</f>
        <v>385.43733320611364</v>
      </c>
      <c r="E51" s="304">
        <f ca="1">IF(G$7&gt;=B51, E50*(1+'Government Figures'!$D$8/12)-'Career Comparison'!$F$28, 0)</f>
        <v>104075.79955461738</v>
      </c>
      <c r="F51" s="312">
        <f>'College Schedule'!$L$8*(1+'Government Figures'!$B$8/12)^B51</f>
        <v>2164.6179458270612</v>
      </c>
      <c r="G51" s="278">
        <v>1</v>
      </c>
      <c r="H51" s="279">
        <f t="shared" ca="1" si="6"/>
        <v>0.17320110972991043</v>
      </c>
      <c r="I51" s="304">
        <f>G51*('College Schedule'!$L$9)*(1+'Government Figures'!$B$8/12)^B51</f>
        <v>4820.5006698286033</v>
      </c>
      <c r="J51" s="304">
        <f t="shared" ca="1" si="3"/>
        <v>1573.1716108861842</v>
      </c>
      <c r="K51" s="304">
        <f t="shared" ca="1" si="0"/>
        <v>1395.5565169750741</v>
      </c>
      <c r="L51" s="278">
        <v>1</v>
      </c>
      <c r="M51" s="279">
        <f t="shared" si="7"/>
        <v>0.13735784313725496</v>
      </c>
      <c r="N51" s="304">
        <f>L51*('College Schedule'!$L$10)*(1+'Government Figures'!$B$8/12)^B51</f>
        <v>2892.3004018971624</v>
      </c>
      <c r="O51" s="304">
        <f t="shared" si="4"/>
        <v>330.40231116049108</v>
      </c>
      <c r="P51" s="304">
        <f t="shared" si="1"/>
        <v>293.09904613897135</v>
      </c>
      <c r="Q51" s="277"/>
      <c r="R51" s="281"/>
      <c r="S51" s="281"/>
      <c r="T51" s="281"/>
      <c r="U51" s="281"/>
      <c r="V51" s="281"/>
      <c r="W51" s="281"/>
      <c r="X51" s="281"/>
      <c r="Y51" s="281"/>
      <c r="Z51" s="281"/>
      <c r="AA51" s="281"/>
      <c r="AB51" s="281"/>
      <c r="AC51" s="281"/>
      <c r="AD51" s="281"/>
    </row>
    <row r="52" spans="1:30" s="288" customFormat="1" x14ac:dyDescent="0.25">
      <c r="A52" s="287"/>
      <c r="B52" s="274">
        <f t="shared" si="2"/>
        <v>37</v>
      </c>
      <c r="C52" s="304">
        <f t="shared" ca="1" si="5"/>
        <v>-138.15270903446071</v>
      </c>
      <c r="D52" s="304">
        <f ca="1">IF(ROUND(E51,0)&lt;&gt;0, IF(ROUND(D51,0)&lt;&gt;0, 'Career Comparison'!$F$28-C52, 0), 0)</f>
        <v>385.94775668172815</v>
      </c>
      <c r="E52" s="304">
        <f ca="1">IF(G$7&gt;=B52, E51*(1+'Government Figures'!$D$8/12)-'Career Comparison'!$F$28, 0)</f>
        <v>104213.95226365184</v>
      </c>
      <c r="F52" s="312">
        <f>'College Schedule'!$L$8*(1+'Government Figures'!$B$8/12)^B52</f>
        <v>2168.2256424034399</v>
      </c>
      <c r="G52" s="278">
        <v>1</v>
      </c>
      <c r="H52" s="279">
        <f t="shared" ca="1" si="6"/>
        <v>0.17320110972991043</v>
      </c>
      <c r="I52" s="304">
        <f>G52*('College Schedule'!$L$9)*(1+'Government Figures'!$B$8/12)^B52</f>
        <v>4828.5348376116517</v>
      </c>
      <c r="J52" s="304">
        <f t="shared" ca="1" si="3"/>
        <v>1576.2065553170733</v>
      </c>
      <c r="K52" s="304">
        <f t="shared" ca="1" si="0"/>
        <v>1393.603463547734</v>
      </c>
      <c r="L52" s="278">
        <v>1</v>
      </c>
      <c r="M52" s="279">
        <f t="shared" si="7"/>
        <v>0.13735784313725496</v>
      </c>
      <c r="N52" s="304">
        <f>L52*('College Schedule'!$L$10)*(1+'Government Figures'!$B$8/12)^B52</f>
        <v>2897.1209025669914</v>
      </c>
      <c r="O52" s="304">
        <f t="shared" si="4"/>
        <v>330.95298167909232</v>
      </c>
      <c r="P52" s="304">
        <f t="shared" si="1"/>
        <v>292.61217064704653</v>
      </c>
      <c r="Q52" s="277"/>
      <c r="R52" s="281"/>
      <c r="S52" s="281"/>
      <c r="T52" s="281"/>
      <c r="U52" s="281"/>
      <c r="V52" s="281"/>
      <c r="W52" s="281"/>
      <c r="X52" s="281"/>
      <c r="Y52" s="281"/>
      <c r="Z52" s="281"/>
      <c r="AA52" s="281"/>
      <c r="AB52" s="281"/>
      <c r="AC52" s="281"/>
      <c r="AD52" s="281"/>
    </row>
    <row r="53" spans="1:30" s="288" customFormat="1" x14ac:dyDescent="0.25">
      <c r="A53" s="287"/>
      <c r="B53" s="274">
        <f t="shared" si="2"/>
        <v>38</v>
      </c>
      <c r="C53" s="304">
        <f t="shared" ca="1" si="5"/>
        <v>-138.66502533045423</v>
      </c>
      <c r="D53" s="304">
        <f ca="1">IF(ROUND(E52,0)&lt;&gt;0, IF(ROUND(D52,0)&lt;&gt;0, 'Career Comparison'!$F$28-C53, 0), 0)</f>
        <v>386.46007297772167</v>
      </c>
      <c r="E53" s="304">
        <f ca="1">IF(G$7&gt;=B53, E52*(1+'Government Figures'!$D$8/12)-'Career Comparison'!$F$28, 0)</f>
        <v>104352.61728898229</v>
      </c>
      <c r="F53" s="312">
        <f>'College Schedule'!$L$8*(1+'Government Figures'!$B$8/12)^B53</f>
        <v>2171.8393518074454</v>
      </c>
      <c r="G53" s="278">
        <v>1</v>
      </c>
      <c r="H53" s="279">
        <f t="shared" ca="1" si="6"/>
        <v>0.17320110972991043</v>
      </c>
      <c r="I53" s="304">
        <f>G53*('College Schedule'!$L$9)*(1+'Government Figures'!$B$8/12)^B53</f>
        <v>4836.582395674337</v>
      </c>
      <c r="J53" s="304">
        <f t="shared" ca="1" si="3"/>
        <v>1579.2465579886803</v>
      </c>
      <c r="K53" s="304">
        <f t="shared" ca="1" si="0"/>
        <v>1391.652441283007</v>
      </c>
      <c r="L53" s="278">
        <v>1</v>
      </c>
      <c r="M53" s="279">
        <f t="shared" si="7"/>
        <v>0.13735784313725496</v>
      </c>
      <c r="N53" s="304">
        <f>L53*('College Schedule'!$L$10)*(1+'Government Figures'!$B$8/12)^B53</f>
        <v>2901.949437404603</v>
      </c>
      <c r="O53" s="304">
        <f t="shared" si="4"/>
        <v>331.50456998189111</v>
      </c>
      <c r="P53" s="304">
        <f t="shared" si="1"/>
        <v>292.12610391839712</v>
      </c>
      <c r="Q53" s="277"/>
      <c r="R53" s="281"/>
      <c r="S53" s="281"/>
      <c r="T53" s="281"/>
      <c r="U53" s="281"/>
      <c r="V53" s="281"/>
      <c r="W53" s="281"/>
      <c r="X53" s="281"/>
      <c r="Y53" s="281"/>
      <c r="Z53" s="281"/>
      <c r="AA53" s="281"/>
      <c r="AB53" s="281"/>
      <c r="AC53" s="281"/>
      <c r="AD53" s="281"/>
    </row>
    <row r="54" spans="1:30" s="288" customFormat="1" x14ac:dyDescent="0.25">
      <c r="A54" s="287"/>
      <c r="B54" s="274">
        <f t="shared" si="2"/>
        <v>39</v>
      </c>
      <c r="C54" s="304">
        <f t="shared" ca="1" si="5"/>
        <v>-139.17924146605947</v>
      </c>
      <c r="D54" s="304">
        <f ca="1">IF(ROUND(E53,0)&lt;&gt;0, IF(ROUND(D53,0)&lt;&gt;0, 'Career Comparison'!$F$28-C54, 0), 0)</f>
        <v>386.9742891133269</v>
      </c>
      <c r="E54" s="304">
        <f ca="1">IF(G$7&gt;=B54, E53*(1+'Government Figures'!$D$8/12)-'Career Comparison'!$F$28, 0)</f>
        <v>104491.79653044835</v>
      </c>
      <c r="F54" s="312">
        <f>'College Schedule'!$L$8*(1+'Government Figures'!$B$8/12)^B54</f>
        <v>2175.4590840604583</v>
      </c>
      <c r="G54" s="278">
        <v>1</v>
      </c>
      <c r="H54" s="279">
        <f t="shared" ca="1" si="6"/>
        <v>0.17320110972991043</v>
      </c>
      <c r="I54" s="304">
        <f>G54*('College Schedule'!$L$9)*(1+'Government Figures'!$B$8/12)^B54</f>
        <v>4844.6433663337957</v>
      </c>
      <c r="J54" s="304">
        <f t="shared" ca="1" si="3"/>
        <v>1582.2916273314077</v>
      </c>
      <c r="K54" s="304">
        <f t="shared" ca="1" si="0"/>
        <v>1389.7034508371432</v>
      </c>
      <c r="L54" s="278">
        <v>1</v>
      </c>
      <c r="M54" s="279">
        <f t="shared" si="7"/>
        <v>0.13735784313725496</v>
      </c>
      <c r="N54" s="304">
        <f>L54*('College Schedule'!$L$10)*(1+'Government Figures'!$B$8/12)^B54</f>
        <v>2906.7860198002777</v>
      </c>
      <c r="O54" s="304">
        <f t="shared" si="4"/>
        <v>332.05707759852703</v>
      </c>
      <c r="P54" s="304">
        <f t="shared" si="1"/>
        <v>291.64084460956201</v>
      </c>
      <c r="Q54" s="277"/>
      <c r="R54" s="281"/>
      <c r="S54" s="281"/>
      <c r="T54" s="281"/>
      <c r="U54" s="281"/>
      <c r="V54" s="281"/>
      <c r="W54" s="281"/>
      <c r="X54" s="281"/>
      <c r="Y54" s="281"/>
      <c r="Z54" s="281"/>
      <c r="AA54" s="281"/>
      <c r="AB54" s="281"/>
      <c r="AC54" s="281"/>
      <c r="AD54" s="281"/>
    </row>
    <row r="55" spans="1:30" s="288" customFormat="1" x14ac:dyDescent="0.25">
      <c r="A55" s="287"/>
      <c r="B55" s="274">
        <f t="shared" si="2"/>
        <v>40</v>
      </c>
      <c r="C55" s="304">
        <f t="shared" ca="1" si="5"/>
        <v>-139.69536448649887</v>
      </c>
      <c r="D55" s="304">
        <f ca="1">IF(ROUND(E54,0)&lt;&gt;0, IF(ROUND(D54,0)&lt;&gt;0, 'Career Comparison'!$F$28-C55, 0), 0)</f>
        <v>387.49041213376631</v>
      </c>
      <c r="E55" s="304">
        <f ca="1">IF(G$7&gt;=B55, E54*(1+'Government Figures'!$D$8/12)-'Career Comparison'!$F$28, 0)</f>
        <v>104631.49189493485</v>
      </c>
      <c r="F55" s="312">
        <f>'College Schedule'!$L$8*(1+'Government Figures'!$B$8/12)^B55</f>
        <v>2179.0848492005593</v>
      </c>
      <c r="G55" s="278">
        <v>1</v>
      </c>
      <c r="H55" s="279">
        <f t="shared" ca="1" si="6"/>
        <v>0.17320110972991043</v>
      </c>
      <c r="I55" s="304">
        <f>G55*('College Schedule'!$L$9)*(1+'Government Figures'!$B$8/12)^B55</f>
        <v>4852.7177719443525</v>
      </c>
      <c r="J55" s="304">
        <f t="shared" ca="1" si="3"/>
        <v>1585.3417717897055</v>
      </c>
      <c r="K55" s="304">
        <f t="shared" ca="1" si="0"/>
        <v>1387.7564928519109</v>
      </c>
      <c r="L55" s="278">
        <v>1</v>
      </c>
      <c r="M55" s="279">
        <f t="shared" si="7"/>
        <v>0.13735784313725496</v>
      </c>
      <c r="N55" s="304">
        <f>L55*('College Schedule'!$L$10)*(1+'Government Figures'!$B$8/12)^B55</f>
        <v>2911.6306631666121</v>
      </c>
      <c r="O55" s="304">
        <f t="shared" si="4"/>
        <v>332.6105060611917</v>
      </c>
      <c r="P55" s="304">
        <f t="shared" si="1"/>
        <v>291.15639137931402</v>
      </c>
      <c r="Q55" s="277"/>
      <c r="R55" s="281"/>
      <c r="S55" s="281"/>
      <c r="T55" s="281"/>
      <c r="U55" s="281"/>
      <c r="V55" s="281"/>
      <c r="W55" s="281"/>
      <c r="X55" s="281"/>
      <c r="Y55" s="281"/>
      <c r="Z55" s="281"/>
      <c r="AA55" s="281"/>
      <c r="AB55" s="281"/>
      <c r="AC55" s="281"/>
      <c r="AD55" s="281"/>
    </row>
    <row r="56" spans="1:30" s="288" customFormat="1" x14ac:dyDescent="0.25">
      <c r="A56" s="287"/>
      <c r="B56" s="274">
        <f t="shared" si="2"/>
        <v>41</v>
      </c>
      <c r="C56" s="304">
        <f t="shared" ca="1" si="5"/>
        <v>-140.21340146313014</v>
      </c>
      <c r="D56" s="304">
        <f ca="1">IF(ROUND(E55,0)&lt;&gt;0, IF(ROUND(D55,0)&lt;&gt;0, 'Career Comparison'!$F$28-C56, 0), 0)</f>
        <v>388.00844911039758</v>
      </c>
      <c r="E56" s="304">
        <f ca="1">IF(G$7&gt;=B56, E55*(1+'Government Figures'!$D$8/12)-'Career Comparison'!$F$28, 0)</f>
        <v>104771.70529639798</v>
      </c>
      <c r="F56" s="312">
        <f>'College Schedule'!$L$8*(1+'Government Figures'!$B$8/12)^B56</f>
        <v>2182.7166572825599</v>
      </c>
      <c r="G56" s="278">
        <v>1</v>
      </c>
      <c r="H56" s="279">
        <f t="shared" ca="1" si="6"/>
        <v>0.17320110972991043</v>
      </c>
      <c r="I56" s="304">
        <f>G56*('College Schedule'!$L$9)*(1+'Government Figures'!$B$8/12)^B56</f>
        <v>4860.8056348975924</v>
      </c>
      <c r="J56" s="304">
        <f t="shared" ca="1" si="3"/>
        <v>1588.3969998221</v>
      </c>
      <c r="K56" s="304">
        <f t="shared" ca="1" si="0"/>
        <v>1385.811567954667</v>
      </c>
      <c r="L56" s="278">
        <v>1</v>
      </c>
      <c r="M56" s="279">
        <f t="shared" si="7"/>
        <v>0.13735784313725496</v>
      </c>
      <c r="N56" s="304">
        <f>L56*('College Schedule'!$L$10)*(1+'Government Figures'!$B$8/12)^B56</f>
        <v>2916.4833809385559</v>
      </c>
      <c r="O56" s="304">
        <f t="shared" si="4"/>
        <v>333.16485690462696</v>
      </c>
      <c r="P56" s="304">
        <f t="shared" si="1"/>
        <v>290.67274288865065</v>
      </c>
      <c r="Q56" s="277"/>
      <c r="R56" s="281"/>
      <c r="S56" s="281"/>
      <c r="T56" s="281"/>
      <c r="U56" s="281"/>
      <c r="V56" s="281"/>
      <c r="W56" s="281"/>
      <c r="X56" s="281"/>
      <c r="Y56" s="281"/>
      <c r="Z56" s="281"/>
      <c r="AA56" s="281"/>
      <c r="AB56" s="281"/>
      <c r="AC56" s="281"/>
      <c r="AD56" s="281"/>
    </row>
    <row r="57" spans="1:30" s="288" customFormat="1" x14ac:dyDescent="0.25">
      <c r="A57" s="287"/>
      <c r="B57" s="274">
        <f t="shared" si="2"/>
        <v>42</v>
      </c>
      <c r="C57" s="304">
        <f t="shared" ca="1" si="5"/>
        <v>-140.7333594935626</v>
      </c>
      <c r="D57" s="304">
        <f ca="1">IF(ROUND(E56,0)&lt;&gt;0, IF(ROUND(D56,0)&lt;&gt;0, 'Career Comparison'!$F$28-C57, 0), 0)</f>
        <v>388.52840714083004</v>
      </c>
      <c r="E57" s="304">
        <f ca="1">IF(G$7&gt;=B57, E56*(1+'Government Figures'!$D$8/12)-'Career Comparison'!$F$28, 0)</f>
        <v>104912.43865589154</v>
      </c>
      <c r="F57" s="312">
        <f>'College Schedule'!$L$8*(1+'Government Figures'!$B$8/12)^B57</f>
        <v>2186.3545183780311</v>
      </c>
      <c r="G57" s="278">
        <v>1</v>
      </c>
      <c r="H57" s="279">
        <f t="shared" ca="1" si="6"/>
        <v>0.17320110972991043</v>
      </c>
      <c r="I57" s="304">
        <f>G57*('College Schedule'!$L$9)*(1+'Government Figures'!$B$8/12)^B57</f>
        <v>4868.9069776224223</v>
      </c>
      <c r="J57" s="304">
        <f t="shared" ca="1" si="3"/>
        <v>1591.4573199012161</v>
      </c>
      <c r="K57" s="304">
        <f t="shared" ca="1" si="0"/>
        <v>1383.8686767584279</v>
      </c>
      <c r="L57" s="278">
        <v>1</v>
      </c>
      <c r="M57" s="279">
        <f t="shared" si="7"/>
        <v>0.13735784313725496</v>
      </c>
      <c r="N57" s="304">
        <f>L57*('College Schedule'!$L$10)*(1+'Government Figures'!$B$8/12)^B57</f>
        <v>2921.344186573454</v>
      </c>
      <c r="O57" s="304">
        <f t="shared" si="4"/>
        <v>333.72013166613442</v>
      </c>
      <c r="P57" s="304">
        <f t="shared" si="1"/>
        <v>290.18989780079545</v>
      </c>
      <c r="Q57" s="277"/>
      <c r="R57" s="281"/>
      <c r="S57" s="281"/>
      <c r="T57" s="281"/>
      <c r="U57" s="281"/>
      <c r="V57" s="281"/>
      <c r="W57" s="281"/>
      <c r="X57" s="281"/>
      <c r="Y57" s="281"/>
      <c r="Z57" s="281"/>
      <c r="AA57" s="281"/>
      <c r="AB57" s="281"/>
      <c r="AC57" s="281"/>
      <c r="AD57" s="281"/>
    </row>
    <row r="58" spans="1:30" s="288" customFormat="1" x14ac:dyDescent="0.25">
      <c r="A58" s="287"/>
      <c r="B58" s="274">
        <f t="shared" si="2"/>
        <v>43</v>
      </c>
      <c r="C58" s="304">
        <f t="shared" ca="1" si="5"/>
        <v>-141.25524570168636</v>
      </c>
      <c r="D58" s="304">
        <f ca="1">IF(ROUND(E57,0)&lt;&gt;0, IF(ROUND(D57,0)&lt;&gt;0, 'Career Comparison'!$F$28-C58, 0), 0)</f>
        <v>389.0502933489538</v>
      </c>
      <c r="E58" s="304">
        <f ca="1">IF(G$7&gt;=B58, E57*(1+'Government Figures'!$D$8/12)-'Career Comparison'!$F$28, 0)</f>
        <v>105053.69390159323</v>
      </c>
      <c r="F58" s="312">
        <f>'College Schedule'!$L$8*(1+'Government Figures'!$B$8/12)^B58</f>
        <v>2189.9984425753282</v>
      </c>
      <c r="G58" s="278">
        <v>1</v>
      </c>
      <c r="H58" s="279">
        <f t="shared" ca="1" si="6"/>
        <v>0.17320110972991043</v>
      </c>
      <c r="I58" s="304">
        <f>G58*('College Schedule'!$L$9)*(1+'Government Figures'!$B$8/12)^B58</f>
        <v>4877.0218225851268</v>
      </c>
      <c r="J58" s="304">
        <f t="shared" ca="1" si="3"/>
        <v>1594.5227405137966</v>
      </c>
      <c r="K58" s="304">
        <f t="shared" ca="1" si="0"/>
        <v>1381.9278198619322</v>
      </c>
      <c r="L58" s="278">
        <v>1</v>
      </c>
      <c r="M58" s="279">
        <f t="shared" si="7"/>
        <v>0.13735784313725496</v>
      </c>
      <c r="N58" s="304">
        <f>L58*('College Schedule'!$L$10)*(1+'Government Figures'!$B$8/12)^B58</f>
        <v>2926.2130935510768</v>
      </c>
      <c r="O58" s="304">
        <f t="shared" si="4"/>
        <v>334.2763318855782</v>
      </c>
      <c r="P58" s="304">
        <f t="shared" si="1"/>
        <v>289.70785478119296</v>
      </c>
      <c r="Q58" s="277"/>
      <c r="R58" s="281"/>
      <c r="S58" s="281"/>
      <c r="T58" s="281"/>
      <c r="U58" s="281"/>
      <c r="V58" s="281"/>
      <c r="W58" s="281"/>
      <c r="X58" s="281"/>
      <c r="Y58" s="281"/>
      <c r="Z58" s="281"/>
      <c r="AA58" s="281"/>
      <c r="AB58" s="281"/>
      <c r="AC58" s="281"/>
      <c r="AD58" s="281"/>
    </row>
    <row r="59" spans="1:30" s="288" customFormat="1" x14ac:dyDescent="0.25">
      <c r="A59" s="287"/>
      <c r="B59" s="274">
        <f t="shared" si="2"/>
        <v>44</v>
      </c>
      <c r="C59" s="304">
        <f t="shared" ca="1" si="5"/>
        <v>-141.7790672378178</v>
      </c>
      <c r="D59" s="304">
        <f ca="1">IF(ROUND(E58,0)&lt;&gt;0, IF(ROUND(D58,0)&lt;&gt;0, 'Career Comparison'!$F$28-C59, 0), 0)</f>
        <v>389.57411488508524</v>
      </c>
      <c r="E59" s="304">
        <f ca="1">IF(G$7&gt;=B59, E58*(1+'Government Figures'!$D$8/12)-'Career Comparison'!$F$28, 0)</f>
        <v>105195.47296883105</v>
      </c>
      <c r="F59" s="312">
        <f>'College Schedule'!$L$8*(1+'Government Figures'!$B$8/12)^B59</f>
        <v>2193.64843997962</v>
      </c>
      <c r="G59" s="278">
        <v>1</v>
      </c>
      <c r="H59" s="279">
        <f t="shared" ca="1" si="6"/>
        <v>0.17320110972991043</v>
      </c>
      <c r="I59" s="304">
        <f>G59*('College Schedule'!$L$9)*(1+'Government Figures'!$B$8/12)^B59</f>
        <v>4885.1501922894349</v>
      </c>
      <c r="J59" s="304">
        <f t="shared" ca="1" si="3"/>
        <v>1597.5932701607321</v>
      </c>
      <c r="K59" s="304">
        <f t="shared" ca="1" si="0"/>
        <v>1379.9889978497149</v>
      </c>
      <c r="L59" s="278">
        <v>1</v>
      </c>
      <c r="M59" s="279">
        <f t="shared" si="7"/>
        <v>0.13735784313725496</v>
      </c>
      <c r="N59" s="304">
        <f>L59*('College Schedule'!$L$10)*(1+'Government Figures'!$B$8/12)^B59</f>
        <v>2931.0901153736618</v>
      </c>
      <c r="O59" s="304">
        <f t="shared" si="4"/>
        <v>334.83345910538765</v>
      </c>
      <c r="P59" s="304">
        <f t="shared" si="1"/>
        <v>289.22661249750342</v>
      </c>
      <c r="Q59" s="277"/>
      <c r="R59" s="281"/>
      <c r="S59" s="281"/>
      <c r="T59" s="281"/>
      <c r="U59" s="281"/>
      <c r="V59" s="281"/>
      <c r="W59" s="281"/>
      <c r="X59" s="281"/>
      <c r="Y59" s="281"/>
      <c r="Z59" s="281"/>
      <c r="AA59" s="281"/>
      <c r="AB59" s="281"/>
      <c r="AC59" s="281"/>
      <c r="AD59" s="281"/>
    </row>
    <row r="60" spans="1:30" s="288" customFormat="1" x14ac:dyDescent="0.25">
      <c r="A60" s="287"/>
      <c r="B60" s="274">
        <f t="shared" si="2"/>
        <v>45</v>
      </c>
      <c r="C60" s="304">
        <f t="shared" ca="1" si="5"/>
        <v>-142.30483127883053</v>
      </c>
      <c r="D60" s="304">
        <f ca="1">IF(ROUND(E59,0)&lt;&gt;0, IF(ROUND(D59,0)&lt;&gt;0, 'Career Comparison'!$F$28-C60, 0), 0)</f>
        <v>390.09987892609797</v>
      </c>
      <c r="E60" s="304">
        <f ca="1">IF(G$7&gt;=B60, E59*(1+'Government Figures'!$D$8/12)-'Career Comparison'!$F$28, 0)</f>
        <v>105337.77780010988</v>
      </c>
      <c r="F60" s="312">
        <f>'College Schedule'!$L$8*(1+'Government Figures'!$B$8/12)^B60</f>
        <v>2197.3045207129198</v>
      </c>
      <c r="G60" s="278">
        <v>1</v>
      </c>
      <c r="H60" s="279">
        <f t="shared" ca="1" si="6"/>
        <v>0.17320110972991043</v>
      </c>
      <c r="I60" s="304">
        <f>G60*('College Schedule'!$L$9)*(1+'Government Figures'!$B$8/12)^B60</f>
        <v>4893.2921092765855</v>
      </c>
      <c r="J60" s="304">
        <f t="shared" ca="1" si="3"/>
        <v>1600.6689173570794</v>
      </c>
      <c r="K60" s="304">
        <f t="shared" ca="1" si="0"/>
        <v>1378.0522112921676</v>
      </c>
      <c r="L60" s="278">
        <v>1</v>
      </c>
      <c r="M60" s="279">
        <f t="shared" si="7"/>
        <v>0.13735784313725496</v>
      </c>
      <c r="N60" s="304">
        <f>L60*('College Schedule'!$L$10)*(1+'Government Figures'!$B$8/12)^B60</f>
        <v>2935.9752655659518</v>
      </c>
      <c r="O60" s="304">
        <f t="shared" si="4"/>
        <v>335.39151487056324</v>
      </c>
      <c r="P60" s="304">
        <f t="shared" si="1"/>
        <v>288.74616961960055</v>
      </c>
      <c r="Q60" s="277"/>
      <c r="R60" s="281"/>
      <c r="S60" s="281"/>
      <c r="T60" s="281"/>
      <c r="U60" s="281"/>
      <c r="V60" s="281"/>
      <c r="W60" s="281"/>
      <c r="X60" s="281"/>
      <c r="Y60" s="281"/>
      <c r="Z60" s="281"/>
      <c r="AA60" s="281"/>
      <c r="AB60" s="281"/>
      <c r="AC60" s="281"/>
      <c r="AD60" s="281"/>
    </row>
    <row r="61" spans="1:30" s="288" customFormat="1" x14ac:dyDescent="0.25">
      <c r="A61" s="287"/>
      <c r="B61" s="274">
        <f t="shared" si="2"/>
        <v>46</v>
      </c>
      <c r="C61" s="304">
        <f t="shared" ca="1" si="5"/>
        <v>-142.83254502815544</v>
      </c>
      <c r="D61" s="304">
        <f ca="1">IF(ROUND(E60,0)&lt;&gt;0, IF(ROUND(D60,0)&lt;&gt;0, 'Career Comparison'!$F$28-C61, 0), 0)</f>
        <v>390.62759267542287</v>
      </c>
      <c r="E61" s="304">
        <f ca="1">IF(G$7&gt;=B61, E60*(1+'Government Figures'!$D$8/12)-'Career Comparison'!$F$28, 0)</f>
        <v>105480.61034513803</v>
      </c>
      <c r="F61" s="312">
        <f>'College Schedule'!$L$8*(1+'Government Figures'!$B$8/12)^B61</f>
        <v>2200.9666949141083</v>
      </c>
      <c r="G61" s="278">
        <v>1</v>
      </c>
      <c r="H61" s="279">
        <f t="shared" ca="1" si="6"/>
        <v>0.17320110972991043</v>
      </c>
      <c r="I61" s="304">
        <f>G61*('College Schedule'!$L$9)*(1+'Government Figures'!$B$8/12)^B61</f>
        <v>4901.4475961253802</v>
      </c>
      <c r="J61" s="304">
        <f t="shared" ca="1" si="3"/>
        <v>1603.7496906320866</v>
      </c>
      <c r="K61" s="304">
        <f t="shared" ca="1" si="0"/>
        <v>1376.117460745611</v>
      </c>
      <c r="L61" s="278">
        <v>1</v>
      </c>
      <c r="M61" s="279">
        <f t="shared" si="7"/>
        <v>0.13735784313725496</v>
      </c>
      <c r="N61" s="304">
        <f>L61*('College Schedule'!$L$10)*(1+'Government Figures'!$B$8/12)^B61</f>
        <v>2940.8685576752282</v>
      </c>
      <c r="O61" s="304">
        <f t="shared" si="4"/>
        <v>335.95050072868071</v>
      </c>
      <c r="P61" s="304">
        <f t="shared" si="1"/>
        <v>288.26652481956779</v>
      </c>
      <c r="Q61" s="277"/>
      <c r="R61" s="281"/>
      <c r="S61" s="281"/>
      <c r="T61" s="281"/>
      <c r="U61" s="281"/>
      <c r="V61" s="281"/>
      <c r="W61" s="281"/>
      <c r="X61" s="281"/>
      <c r="Y61" s="281"/>
      <c r="Z61" s="281"/>
      <c r="AA61" s="281"/>
      <c r="AB61" s="281"/>
      <c r="AC61" s="281"/>
      <c r="AD61" s="281"/>
    </row>
    <row r="62" spans="1:30" s="288" customFormat="1" x14ac:dyDescent="0.25">
      <c r="A62" s="287"/>
      <c r="B62" s="274">
        <f t="shared" si="2"/>
        <v>47</v>
      </c>
      <c r="C62" s="304">
        <f t="shared" ca="1" si="5"/>
        <v>-143.3622157159698</v>
      </c>
      <c r="D62" s="304">
        <f ca="1">IF(ROUND(E61,0)&lt;&gt;0, IF(ROUND(D61,0)&lt;&gt;0, 'Career Comparison'!$F$28-C62, 0), 0)</f>
        <v>391.15726336323723</v>
      </c>
      <c r="E62" s="304">
        <f ca="1">IF(G$7&gt;=B62, E61*(1+'Government Figures'!$D$8/12)-'Career Comparison'!$F$28, 0)</f>
        <v>105623.972560854</v>
      </c>
      <c r="F62" s="312">
        <f>'College Schedule'!$L$8*(1+'Government Figures'!$B$8/12)^B62</f>
        <v>2204.6349727389652</v>
      </c>
      <c r="G62" s="278">
        <v>1</v>
      </c>
      <c r="H62" s="279">
        <f t="shared" ca="1" si="6"/>
        <v>0.17320110972991043</v>
      </c>
      <c r="I62" s="304">
        <f>G62*('College Schedule'!$L$9)*(1+'Government Figures'!$B$8/12)^B62</f>
        <v>4909.6166754522555</v>
      </c>
      <c r="J62" s="304">
        <f t="shared" ca="1" si="3"/>
        <v>1606.8355985292187</v>
      </c>
      <c r="K62" s="304">
        <f t="shared" ca="1" si="0"/>
        <v>1374.1847467523605</v>
      </c>
      <c r="L62" s="278">
        <v>1</v>
      </c>
      <c r="M62" s="279">
        <f t="shared" si="7"/>
        <v>0.13735784313725496</v>
      </c>
      <c r="N62" s="304">
        <f>L62*('College Schedule'!$L$10)*(1+'Government Figures'!$B$8/12)^B62</f>
        <v>2945.770005271354</v>
      </c>
      <c r="O62" s="304">
        <f t="shared" si="4"/>
        <v>336.51041822989555</v>
      </c>
      <c r="P62" s="304">
        <f t="shared" si="1"/>
        <v>287.78767677169503</v>
      </c>
      <c r="Q62" s="277"/>
      <c r="R62" s="281"/>
      <c r="S62" s="281"/>
      <c r="T62" s="281"/>
      <c r="U62" s="281"/>
      <c r="V62" s="281"/>
      <c r="W62" s="281"/>
      <c r="X62" s="281"/>
      <c r="Y62" s="281"/>
      <c r="Z62" s="281"/>
      <c r="AA62" s="281"/>
      <c r="AB62" s="281"/>
      <c r="AC62" s="281"/>
      <c r="AD62" s="281"/>
    </row>
    <row r="63" spans="1:30" s="288" customFormat="1" x14ac:dyDescent="0.25">
      <c r="A63" s="287"/>
      <c r="B63" s="274">
        <f t="shared" si="2"/>
        <v>48</v>
      </c>
      <c r="C63" s="304">
        <f t="shared" ca="1" si="5"/>
        <v>-143.89385059925553</v>
      </c>
      <c r="D63" s="304">
        <f ca="1">IF(ROUND(E62,0)&lt;&gt;0, IF(ROUND(D62,0)&lt;&gt;0, 'Career Comparison'!$F$28-C63, 0), 0)</f>
        <v>391.68889824652297</v>
      </c>
      <c r="E63" s="304">
        <f ca="1">IF(G$7&gt;=B63, E62*(1+'Government Figures'!$D$8/12)-'Career Comparison'!$F$28, 0)</f>
        <v>105767.86641145326</v>
      </c>
      <c r="F63" s="312">
        <f>'College Schedule'!$L$8*(1+'Government Figures'!$B$8/12)^B63</f>
        <v>2208.3093643601974</v>
      </c>
      <c r="G63" s="278">
        <v>1</v>
      </c>
      <c r="H63" s="279">
        <f t="shared" ca="1" si="6"/>
        <v>0.17320110972991043</v>
      </c>
      <c r="I63" s="304">
        <f>G63*('College Schedule'!$L$9)*(1+'Government Figures'!$B$8/12)^B63</f>
        <v>4917.799369911344</v>
      </c>
      <c r="J63" s="304">
        <f t="shared" ca="1" si="3"/>
        <v>1609.92664960618</v>
      </c>
      <c r="K63" s="304">
        <f t="shared" ca="1" si="0"/>
        <v>1372.254069840794</v>
      </c>
      <c r="L63" s="278">
        <v>1</v>
      </c>
      <c r="M63" s="279">
        <f t="shared" si="7"/>
        <v>0.13735784313725496</v>
      </c>
      <c r="N63" s="304">
        <f>L63*('College Schedule'!$L$10)*(1+'Government Figures'!$B$8/12)^B63</f>
        <v>2950.6796219468069</v>
      </c>
      <c r="O63" s="304">
        <f t="shared" si="4"/>
        <v>337.07126892694532</v>
      </c>
      <c r="P63" s="304">
        <f t="shared" si="1"/>
        <v>287.30962415247291</v>
      </c>
      <c r="Q63" s="277"/>
      <c r="R63" s="281"/>
      <c r="S63" s="281"/>
      <c r="T63" s="281"/>
      <c r="U63" s="281"/>
      <c r="V63" s="281"/>
      <c r="W63" s="281"/>
      <c r="X63" s="281"/>
      <c r="Y63" s="281"/>
      <c r="Z63" s="281"/>
      <c r="AA63" s="281"/>
      <c r="AB63" s="281"/>
      <c r="AC63" s="281"/>
      <c r="AD63" s="281"/>
    </row>
    <row r="64" spans="1:30" s="288" customFormat="1" x14ac:dyDescent="0.25">
      <c r="A64" s="287"/>
      <c r="B64" s="274">
        <f t="shared" si="2"/>
        <v>49</v>
      </c>
      <c r="C64" s="304">
        <f t="shared" ca="1" si="5"/>
        <v>-144.42745696188649</v>
      </c>
      <c r="D64" s="304">
        <f ca="1">IF(ROUND(E63,0)&lt;&gt;0, IF(ROUND(D63,0)&lt;&gt;0, 'Career Comparison'!$F$28-C64, 0), 0)</f>
        <v>392.22250460915393</v>
      </c>
      <c r="E64" s="304">
        <f ca="1">IF(G$7&gt;=B64, E63*(1+'Government Figures'!$D$8/12)-'Career Comparison'!$F$28, 0)</f>
        <v>105912.29386841514</v>
      </c>
      <c r="F64" s="312">
        <f>'College Schedule'!$L$8*(1+'Government Figures'!$B$8/12)^B64</f>
        <v>2211.9898799674643</v>
      </c>
      <c r="G64" s="278">
        <v>1</v>
      </c>
      <c r="H64" s="279">
        <f t="shared" ca="1" si="6"/>
        <v>0.17320110972991043</v>
      </c>
      <c r="I64" s="304">
        <f>G64*('College Schedule'!$L$9)*(1+'Government Figures'!$B$8/12)^B64</f>
        <v>4925.9957021945293</v>
      </c>
      <c r="J64" s="304">
        <f t="shared" ca="1" si="3"/>
        <v>1613.0228524349359</v>
      </c>
      <c r="K64" s="304">
        <f t="shared" ca="1" si="0"/>
        <v>1370.325430525415</v>
      </c>
      <c r="L64" s="278">
        <v>1</v>
      </c>
      <c r="M64" s="279">
        <f t="shared" si="7"/>
        <v>0.13735784313725496</v>
      </c>
      <c r="N64" s="304">
        <f>L64*('College Schedule'!$L$10)*(1+'Government Figures'!$B$8/12)^B64</f>
        <v>2955.5974213167178</v>
      </c>
      <c r="O64" s="304">
        <f t="shared" si="4"/>
        <v>337.63305437515646</v>
      </c>
      <c r="P64" s="304">
        <f t="shared" si="1"/>
        <v>286.83236564059132</v>
      </c>
      <c r="Q64" s="277"/>
      <c r="R64" s="281"/>
      <c r="S64" s="281"/>
      <c r="T64" s="281"/>
      <c r="U64" s="281"/>
      <c r="V64" s="281"/>
      <c r="W64" s="281"/>
      <c r="X64" s="281"/>
      <c r="Y64" s="281"/>
      <c r="Z64" s="281"/>
      <c r="AA64" s="281"/>
      <c r="AB64" s="281"/>
      <c r="AC64" s="281"/>
      <c r="AD64" s="281"/>
    </row>
    <row r="65" spans="1:30" s="288" customFormat="1" x14ac:dyDescent="0.25">
      <c r="A65" s="287"/>
      <c r="B65" s="274">
        <f t="shared" si="2"/>
        <v>50</v>
      </c>
      <c r="C65" s="304">
        <f t="shared" ca="1" si="5"/>
        <v>-144.96304211478855</v>
      </c>
      <c r="D65" s="304">
        <f ca="1">IF(ROUND(E64,0)&lt;&gt;0, IF(ROUND(D64,0)&lt;&gt;0, 'Career Comparison'!$F$28-C65, 0), 0)</f>
        <v>392.75808976205599</v>
      </c>
      <c r="E65" s="304">
        <f ca="1">IF(G$7&gt;=B65, E64*(1+'Government Figures'!$D$8/12)-'Career Comparison'!$F$28, 0)</f>
        <v>106057.25691052993</v>
      </c>
      <c r="F65" s="312">
        <f>'College Schedule'!$L$8*(1+'Government Figures'!$B$8/12)^B65</f>
        <v>2215.6765297674101</v>
      </c>
      <c r="G65" s="278">
        <v>1</v>
      </c>
      <c r="H65" s="279">
        <f t="shared" ca="1" si="6"/>
        <v>0.17320110972991043</v>
      </c>
      <c r="I65" s="304">
        <f>G65*('College Schedule'!$L$9)*(1+'Government Figures'!$B$8/12)^B65</f>
        <v>4934.20569503152</v>
      </c>
      <c r="J65" s="304">
        <f t="shared" ca="1" si="3"/>
        <v>1616.1242156017393</v>
      </c>
      <c r="K65" s="304">
        <f t="shared" ca="1" si="0"/>
        <v>1368.3988293069215</v>
      </c>
      <c r="L65" s="278">
        <v>1</v>
      </c>
      <c r="M65" s="279">
        <f t="shared" si="7"/>
        <v>0.13735784313725496</v>
      </c>
      <c r="N65" s="304">
        <f>L65*('College Schedule'!$L$10)*(1+'Government Figures'!$B$8/12)^B65</f>
        <v>2960.5234170189124</v>
      </c>
      <c r="O65" s="304">
        <f t="shared" si="4"/>
        <v>338.19577613244837</v>
      </c>
      <c r="P65" s="304">
        <f t="shared" si="1"/>
        <v>286.35589991693581</v>
      </c>
      <c r="Q65" s="277"/>
      <c r="R65" s="281"/>
      <c r="S65" s="281"/>
      <c r="T65" s="281"/>
      <c r="U65" s="281"/>
      <c r="V65" s="281"/>
      <c r="W65" s="281"/>
      <c r="X65" s="281"/>
      <c r="Y65" s="281"/>
      <c r="Z65" s="281"/>
      <c r="AA65" s="281"/>
      <c r="AB65" s="281"/>
      <c r="AC65" s="281"/>
      <c r="AD65" s="281"/>
    </row>
    <row r="66" spans="1:30" s="288" customFormat="1" x14ac:dyDescent="0.25">
      <c r="A66" s="287"/>
      <c r="B66" s="274">
        <f t="shared" si="2"/>
        <v>51</v>
      </c>
      <c r="C66" s="304">
        <f t="shared" ca="1" si="5"/>
        <v>-145.50061339596868</v>
      </c>
      <c r="D66" s="304">
        <f ca="1">IF(ROUND(E65,0)&lt;&gt;0, IF(ROUND(D65,0)&lt;&gt;0, 'Career Comparison'!$F$28-C66, 0), 0)</f>
        <v>393.29566104323612</v>
      </c>
      <c r="E66" s="304">
        <f ca="1">IF(G$7&gt;=B66, E65*(1+'Government Figures'!$D$8/12)-'Career Comparison'!$F$28, 0)</f>
        <v>106202.7575239259</v>
      </c>
      <c r="F66" s="312">
        <f>'College Schedule'!$L$8*(1+'Government Figures'!$B$8/12)^B66</f>
        <v>2219.3693239836894</v>
      </c>
      <c r="G66" s="278">
        <v>1</v>
      </c>
      <c r="H66" s="279">
        <f t="shared" ca="1" si="6"/>
        <v>0.17320110972991043</v>
      </c>
      <c r="I66" s="304">
        <f>G66*('College Schedule'!$L$9)*(1+'Government Figures'!$B$8/12)^B66</f>
        <v>4942.4293711899072</v>
      </c>
      <c r="J66" s="304">
        <f t="shared" ca="1" si="3"/>
        <v>1619.2307477071549</v>
      </c>
      <c r="K66" s="304">
        <f t="shared" ca="1" si="0"/>
        <v>1366.474266672273</v>
      </c>
      <c r="L66" s="278">
        <v>1</v>
      </c>
      <c r="M66" s="279">
        <f t="shared" si="7"/>
        <v>0.13735784313725496</v>
      </c>
      <c r="N66" s="304">
        <f>L66*('College Schedule'!$L$10)*(1+'Government Figures'!$B$8/12)^B66</f>
        <v>2965.4576227139446</v>
      </c>
      <c r="O66" s="304">
        <f t="shared" si="4"/>
        <v>338.75943575933616</v>
      </c>
      <c r="P66" s="304">
        <f t="shared" si="1"/>
        <v>285.88022566458233</v>
      </c>
      <c r="Q66" s="277"/>
      <c r="R66" s="281"/>
      <c r="S66" s="281"/>
      <c r="T66" s="281"/>
      <c r="U66" s="281"/>
      <c r="V66" s="281"/>
      <c r="W66" s="281"/>
      <c r="X66" s="281"/>
      <c r="Y66" s="281"/>
      <c r="Z66" s="281"/>
      <c r="AA66" s="281"/>
      <c r="AB66" s="281"/>
      <c r="AC66" s="281"/>
      <c r="AD66" s="281"/>
    </row>
    <row r="67" spans="1:30" s="288" customFormat="1" x14ac:dyDescent="0.25">
      <c r="A67" s="287"/>
      <c r="B67" s="274">
        <f t="shared" si="2"/>
        <v>52</v>
      </c>
      <c r="C67" s="304">
        <f t="shared" ca="1" si="5"/>
        <v>-146.04017817064596</v>
      </c>
      <c r="D67" s="304">
        <f ca="1">IF(ROUND(E66,0)&lt;&gt;0, IF(ROUND(D66,0)&lt;&gt;0, 'Career Comparison'!$F$28-C67, 0), 0)</f>
        <v>393.8352258179134</v>
      </c>
      <c r="E67" s="304">
        <f ca="1">IF(G$7&gt;=B67, E66*(1+'Government Figures'!$D$8/12)-'Career Comparison'!$F$28, 0)</f>
        <v>106348.79770209655</v>
      </c>
      <c r="F67" s="312">
        <f>'College Schedule'!$L$8*(1+'Government Figures'!$B$8/12)^B67</f>
        <v>2223.0682728569955</v>
      </c>
      <c r="G67" s="278">
        <v>1</v>
      </c>
      <c r="H67" s="279">
        <f t="shared" ca="1" si="6"/>
        <v>0.17320110972991043</v>
      </c>
      <c r="I67" s="304">
        <f>G67*('College Schedule'!$L$9)*(1+'Government Figures'!$B$8/12)^B67</f>
        <v>4950.6667534752232</v>
      </c>
      <c r="J67" s="304">
        <f t="shared" ca="1" si="3"/>
        <v>1622.3424573660786</v>
      </c>
      <c r="K67" s="304">
        <f t="shared" ca="1" si="0"/>
        <v>1364.5517430947525</v>
      </c>
      <c r="L67" s="278">
        <v>1</v>
      </c>
      <c r="M67" s="279">
        <f t="shared" si="7"/>
        <v>0.13735784313725496</v>
      </c>
      <c r="N67" s="304">
        <f>L67*('College Schedule'!$L$10)*(1+'Government Figures'!$B$8/12)^B67</f>
        <v>2970.4000520851346</v>
      </c>
      <c r="O67" s="304">
        <f t="shared" si="4"/>
        <v>339.32403481893516</v>
      </c>
      <c r="P67" s="304">
        <f t="shared" si="1"/>
        <v>285.40534156879409</v>
      </c>
      <c r="Q67" s="277"/>
      <c r="R67" s="281"/>
      <c r="S67" s="281"/>
      <c r="T67" s="281"/>
      <c r="U67" s="281"/>
      <c r="V67" s="281"/>
      <c r="W67" s="281"/>
      <c r="X67" s="281"/>
      <c r="Y67" s="281"/>
      <c r="Z67" s="281"/>
      <c r="AA67" s="281"/>
      <c r="AB67" s="281"/>
      <c r="AC67" s="281"/>
      <c r="AD67" s="281"/>
    </row>
    <row r="68" spans="1:30" s="288" customFormat="1" x14ac:dyDescent="0.25">
      <c r="A68" s="287"/>
      <c r="B68" s="274">
        <f t="shared" si="2"/>
        <v>53</v>
      </c>
      <c r="C68" s="304">
        <f t="shared" ca="1" si="5"/>
        <v>-146.58174383135338</v>
      </c>
      <c r="D68" s="304">
        <f ca="1">IF(ROUND(E67,0)&lt;&gt;0, IF(ROUND(D67,0)&lt;&gt;0, 'Career Comparison'!$F$28-C68, 0), 0)</f>
        <v>394.37679147862082</v>
      </c>
      <c r="E68" s="304">
        <f ca="1">IF(G$7&gt;=B68, E67*(1+'Government Figures'!$D$8/12)-'Career Comparison'!$F$28, 0)</f>
        <v>106495.3794459279</v>
      </c>
      <c r="F68" s="312">
        <f>'College Schedule'!$L$8*(1+'Government Figures'!$B$8/12)^B68</f>
        <v>2226.7733866450908</v>
      </c>
      <c r="G68" s="278">
        <v>1</v>
      </c>
      <c r="H68" s="279">
        <f t="shared" ca="1" si="6"/>
        <v>0.17320110972991043</v>
      </c>
      <c r="I68" s="304">
        <f>G68*('College Schedule'!$L$9)*(1+'Government Figures'!$B$8/12)^B68</f>
        <v>4958.9178647310164</v>
      </c>
      <c r="J68" s="304">
        <f t="shared" ca="1" si="3"/>
        <v>1625.4593532077683</v>
      </c>
      <c r="K68" s="304">
        <f t="shared" ca="1" si="0"/>
        <v>1362.6312590340365</v>
      </c>
      <c r="L68" s="278">
        <v>1</v>
      </c>
      <c r="M68" s="279">
        <f t="shared" si="7"/>
        <v>0.13735784313725496</v>
      </c>
      <c r="N68" s="304">
        <f>L68*('College Schedule'!$L$10)*(1+'Government Figures'!$B$8/12)^B68</f>
        <v>2975.3507188386102</v>
      </c>
      <c r="O68" s="304">
        <f t="shared" si="4"/>
        <v>339.88957487696689</v>
      </c>
      <c r="P68" s="304">
        <f t="shared" si="1"/>
        <v>284.93124631701886</v>
      </c>
      <c r="Q68" s="277"/>
      <c r="R68" s="281"/>
      <c r="S68" s="281"/>
      <c r="T68" s="281"/>
      <c r="U68" s="281"/>
      <c r="V68" s="281"/>
      <c r="W68" s="281"/>
      <c r="X68" s="281"/>
      <c r="Y68" s="281"/>
      <c r="Z68" s="281"/>
      <c r="AA68" s="281"/>
      <c r="AB68" s="281"/>
      <c r="AC68" s="281"/>
      <c r="AD68" s="281"/>
    </row>
    <row r="69" spans="1:30" s="288" customFormat="1" x14ac:dyDescent="0.25">
      <c r="A69" s="287"/>
      <c r="B69" s="274">
        <f t="shared" si="2"/>
        <v>54</v>
      </c>
      <c r="C69" s="304">
        <f t="shared" ca="1" si="5"/>
        <v>-147.12531779806886</v>
      </c>
      <c r="D69" s="304">
        <f ca="1">IF(ROUND(E68,0)&lt;&gt;0, IF(ROUND(D68,0)&lt;&gt;0, 'Career Comparison'!$F$28-C69, 0), 0)</f>
        <v>394.9203654453363</v>
      </c>
      <c r="E69" s="304">
        <f ca="1">IF(G$7&gt;=B69, E68*(1+'Government Figures'!$D$8/12)-'Career Comparison'!$F$28, 0)</f>
        <v>106642.50476372597</v>
      </c>
      <c r="F69" s="312">
        <f>'College Schedule'!$L$8*(1+'Government Figures'!$B$8/12)^B69</f>
        <v>2230.4846756228326</v>
      </c>
      <c r="G69" s="278">
        <v>1</v>
      </c>
      <c r="H69" s="279">
        <f t="shared" ca="1" si="6"/>
        <v>0.17320110972991043</v>
      </c>
      <c r="I69" s="304">
        <f>G69*('College Schedule'!$L$9)*(1+'Government Figures'!$B$8/12)^B69</f>
        <v>4967.182727838901</v>
      </c>
      <c r="J69" s="304">
        <f t="shared" ca="1" si="3"/>
        <v>1628.5814438758593</v>
      </c>
      <c r="K69" s="304">
        <f t="shared" ca="1" si="0"/>
        <v>1360.7128149362536</v>
      </c>
      <c r="L69" s="278">
        <v>1</v>
      </c>
      <c r="M69" s="279">
        <f t="shared" si="7"/>
        <v>0.13735784313725496</v>
      </c>
      <c r="N69" s="304">
        <f>L69*('College Schedule'!$L$10)*(1+'Government Figures'!$B$8/12)^B69</f>
        <v>2980.3096367033413</v>
      </c>
      <c r="O69" s="304">
        <f t="shared" si="4"/>
        <v>340.45605750176173</v>
      </c>
      <c r="P69" s="304">
        <f t="shared" si="1"/>
        <v>284.45793859888414</v>
      </c>
      <c r="Q69" s="277"/>
      <c r="R69" s="281"/>
      <c r="S69" s="281"/>
      <c r="T69" s="281"/>
      <c r="U69" s="281"/>
      <c r="V69" s="281"/>
      <c r="W69" s="281"/>
      <c r="X69" s="281"/>
      <c r="Y69" s="281"/>
      <c r="Z69" s="281"/>
      <c r="AA69" s="281"/>
      <c r="AB69" s="281"/>
      <c r="AC69" s="281"/>
      <c r="AD69" s="281"/>
    </row>
    <row r="70" spans="1:30" s="288" customFormat="1" x14ac:dyDescent="0.25">
      <c r="A70" s="287"/>
      <c r="B70" s="274">
        <f t="shared" si="2"/>
        <v>55</v>
      </c>
      <c r="C70" s="304">
        <f t="shared" ca="1" si="5"/>
        <v>-147.6709075182298</v>
      </c>
      <c r="D70" s="304">
        <f ca="1">IF(ROUND(E69,0)&lt;&gt;0, IF(ROUND(D69,0)&lt;&gt;0, 'Career Comparison'!$F$28-C70, 0), 0)</f>
        <v>395.46595516549723</v>
      </c>
      <c r="E70" s="304">
        <f ca="1">IF(G$7&gt;=B70, E69*(1+'Government Figures'!$D$8/12)-'Career Comparison'!$F$28, 0)</f>
        <v>106790.1756712442</v>
      </c>
      <c r="F70" s="312">
        <f>'College Schedule'!$L$8*(1+'Government Figures'!$B$8/12)^B70</f>
        <v>2234.2021500822043</v>
      </c>
      <c r="G70" s="278">
        <v>1</v>
      </c>
      <c r="H70" s="279">
        <f t="shared" ca="1" si="6"/>
        <v>0.17320110972991043</v>
      </c>
      <c r="I70" s="304">
        <f>G70*('College Schedule'!$L$9)*(1+'Government Figures'!$B$8/12)^B70</f>
        <v>4975.4613657186328</v>
      </c>
      <c r="J70" s="304">
        <f t="shared" ca="1" si="3"/>
        <v>1631.7087380283983</v>
      </c>
      <c r="K70" s="304">
        <f t="shared" ca="1" si="0"/>
        <v>1358.7964112340596</v>
      </c>
      <c r="L70" s="278">
        <v>1</v>
      </c>
      <c r="M70" s="279">
        <f t="shared" si="7"/>
        <v>0.13735784313725496</v>
      </c>
      <c r="N70" s="304">
        <f>L70*('College Schedule'!$L$10)*(1+'Government Figures'!$B$8/12)^B70</f>
        <v>2985.2768194311802</v>
      </c>
      <c r="O70" s="304">
        <f t="shared" si="4"/>
        <v>341.02348426426443</v>
      </c>
      <c r="P70" s="304">
        <f t="shared" si="1"/>
        <v>283.98541710619469</v>
      </c>
      <c r="Q70" s="277"/>
      <c r="R70" s="281"/>
      <c r="S70" s="281"/>
      <c r="T70" s="281"/>
      <c r="U70" s="281"/>
      <c r="V70" s="281"/>
      <c r="W70" s="281"/>
      <c r="X70" s="281"/>
      <c r="Y70" s="281"/>
      <c r="Z70" s="281"/>
      <c r="AA70" s="281"/>
      <c r="AB70" s="281"/>
      <c r="AC70" s="281"/>
      <c r="AD70" s="281"/>
    </row>
    <row r="71" spans="1:30" s="288" customFormat="1" x14ac:dyDescent="0.25">
      <c r="A71" s="287"/>
      <c r="B71" s="274">
        <f t="shared" si="2"/>
        <v>56</v>
      </c>
      <c r="C71" s="304">
        <f t="shared" ca="1" si="5"/>
        <v>-148.2185204669513</v>
      </c>
      <c r="D71" s="304">
        <f ca="1">IF(ROUND(E70,0)&lt;&gt;0, IF(ROUND(D70,0)&lt;&gt;0, 'Career Comparison'!$F$28-C71, 0), 0)</f>
        <v>396.01356811421874</v>
      </c>
      <c r="E71" s="304">
        <f ca="1">IF(G$7&gt;=B71, E70*(1+'Government Figures'!$D$8/12)-'Career Comparison'!$F$28, 0)</f>
        <v>106938.39419171115</v>
      </c>
      <c r="F71" s="312">
        <f>'College Schedule'!$L$8*(1+'Government Figures'!$B$8/12)^B71</f>
        <v>2237.9258203323416</v>
      </c>
      <c r="G71" s="278">
        <v>1</v>
      </c>
      <c r="H71" s="279">
        <f t="shared" ca="1" si="6"/>
        <v>0.17320110972991043</v>
      </c>
      <c r="I71" s="304">
        <f>G71*('College Schedule'!$L$9)*(1+'Government Figures'!$B$8/12)^B71</f>
        <v>4983.7538013281646</v>
      </c>
      <c r="J71" s="304">
        <f t="shared" ca="1" si="3"/>
        <v>1634.8412443378579</v>
      </c>
      <c r="K71" s="304">
        <f t="shared" ca="1" si="0"/>
        <v>1356.8820483466916</v>
      </c>
      <c r="L71" s="278">
        <v>1</v>
      </c>
      <c r="M71" s="279">
        <f t="shared" si="7"/>
        <v>0.13735784313725496</v>
      </c>
      <c r="N71" s="304">
        <f>L71*('College Schedule'!$L$10)*(1+'Government Figures'!$B$8/12)^B71</f>
        <v>2990.2522807968994</v>
      </c>
      <c r="O71" s="304">
        <f t="shared" si="4"/>
        <v>341.59185673803859</v>
      </c>
      <c r="P71" s="304">
        <f t="shared" si="1"/>
        <v>283.5136805329289</v>
      </c>
      <c r="Q71" s="277"/>
      <c r="R71" s="281"/>
      <c r="S71" s="281"/>
      <c r="T71" s="281"/>
      <c r="U71" s="281"/>
      <c r="V71" s="281"/>
      <c r="W71" s="281"/>
      <c r="X71" s="281"/>
      <c r="Y71" s="281"/>
      <c r="Z71" s="281"/>
      <c r="AA71" s="281"/>
      <c r="AB71" s="281"/>
      <c r="AC71" s="281"/>
      <c r="AD71" s="281"/>
    </row>
    <row r="72" spans="1:30" s="288" customFormat="1" x14ac:dyDescent="0.25">
      <c r="A72" s="287"/>
      <c r="B72" s="274">
        <f t="shared" si="2"/>
        <v>57</v>
      </c>
      <c r="C72" s="304">
        <f t="shared" ca="1" si="5"/>
        <v>-148.7681641470117</v>
      </c>
      <c r="D72" s="304">
        <f ca="1">IF(ROUND(E71,0)&lt;&gt;0, IF(ROUND(D71,0)&lt;&gt;0, 'Career Comparison'!$F$28-C72, 0), 0)</f>
        <v>396.56321179427914</v>
      </c>
      <c r="E72" s="304">
        <f ca="1">IF(G$7&gt;=B72, E71*(1+'Government Figures'!$D$8/12)-'Career Comparison'!$F$28, 0)</f>
        <v>107087.16235585816</v>
      </c>
      <c r="F72" s="312">
        <f>'College Schedule'!$L$8*(1+'Government Figures'!$B$8/12)^B72</f>
        <v>2241.6556966995622</v>
      </c>
      <c r="G72" s="278">
        <v>1</v>
      </c>
      <c r="H72" s="279">
        <f t="shared" ca="1" si="6"/>
        <v>0.17320110972991043</v>
      </c>
      <c r="I72" s="304">
        <f>G72*('College Schedule'!$L$9)*(1+'Government Figures'!$B$8/12)^B72</f>
        <v>4992.0600576637116</v>
      </c>
      <c r="J72" s="304">
        <f t="shared" ca="1" si="3"/>
        <v>1637.9789714911662</v>
      </c>
      <c r="K72" s="304">
        <f t="shared" ca="1" si="0"/>
        <v>1354.9697266800388</v>
      </c>
      <c r="L72" s="278">
        <v>1</v>
      </c>
      <c r="M72" s="279">
        <f t="shared" si="7"/>
        <v>0.13735784313725496</v>
      </c>
      <c r="N72" s="304">
        <f>L72*('College Schedule'!$L$10)*(1+'Government Figures'!$B$8/12)^B72</f>
        <v>2995.2360345982274</v>
      </c>
      <c r="O72" s="304">
        <f t="shared" si="4"/>
        <v>342.16117649926809</v>
      </c>
      <c r="P72" s="304">
        <f t="shared" si="1"/>
        <v>283.04272757523256</v>
      </c>
      <c r="Q72" s="277"/>
      <c r="R72" s="281"/>
      <c r="S72" s="281"/>
      <c r="T72" s="281"/>
      <c r="U72" s="281"/>
      <c r="V72" s="281"/>
      <c r="W72" s="281"/>
      <c r="X72" s="281"/>
      <c r="Y72" s="281"/>
      <c r="Z72" s="281"/>
      <c r="AA72" s="281"/>
      <c r="AB72" s="281"/>
      <c r="AC72" s="281"/>
      <c r="AD72" s="281"/>
    </row>
    <row r="73" spans="1:30" s="288" customFormat="1" x14ac:dyDescent="0.25">
      <c r="A73" s="287"/>
      <c r="B73" s="274">
        <f t="shared" si="2"/>
        <v>58</v>
      </c>
      <c r="C73" s="304">
        <f t="shared" ca="1" si="5"/>
        <v>-149.31984608905623</v>
      </c>
      <c r="D73" s="304">
        <f ca="1">IF(ROUND(E72,0)&lt;&gt;0, IF(ROUND(D72,0)&lt;&gt;0, 'Career Comparison'!$F$28-C73, 0), 0)</f>
        <v>397.11489373632367</v>
      </c>
      <c r="E73" s="304">
        <f ca="1">IF(G$7&gt;=B73, E72*(1+'Government Figures'!$D$8/12)-'Career Comparison'!$F$28, 0)</f>
        <v>107236.48220194722</v>
      </c>
      <c r="F73" s="312">
        <f>'College Schedule'!$L$8*(1+'Government Figures'!$B$8/12)^B73</f>
        <v>2245.3917895273948</v>
      </c>
      <c r="G73" s="278">
        <v>1</v>
      </c>
      <c r="H73" s="279">
        <f t="shared" ca="1" si="6"/>
        <v>0.17320110972991043</v>
      </c>
      <c r="I73" s="304">
        <f>G73*('College Schedule'!$L$9)*(1+'Government Figures'!$B$8/12)^B73</f>
        <v>5000.3801577598178</v>
      </c>
      <c r="J73" s="304">
        <f t="shared" ca="1" si="3"/>
        <v>1641.1219281897302</v>
      </c>
      <c r="K73" s="304">
        <f t="shared" ca="1" si="0"/>
        <v>1353.0594466267048</v>
      </c>
      <c r="L73" s="278">
        <v>1</v>
      </c>
      <c r="M73" s="279">
        <f t="shared" si="7"/>
        <v>0.13735784313725496</v>
      </c>
      <c r="N73" s="304">
        <f>L73*('College Schedule'!$L$10)*(1+'Government Figures'!$B$8/12)^B73</f>
        <v>3000.2280946558913</v>
      </c>
      <c r="O73" s="304">
        <f t="shared" si="4"/>
        <v>342.73144512676708</v>
      </c>
      <c r="P73" s="304">
        <f t="shared" si="1"/>
        <v>282.57255693142002</v>
      </c>
      <c r="Q73" s="277"/>
      <c r="R73" s="281"/>
      <c r="S73" s="281"/>
      <c r="T73" s="281"/>
      <c r="U73" s="281"/>
      <c r="V73" s="281"/>
      <c r="W73" s="281"/>
      <c r="X73" s="281"/>
      <c r="Y73" s="281"/>
      <c r="Z73" s="281"/>
      <c r="AA73" s="281"/>
      <c r="AB73" s="281"/>
      <c r="AC73" s="281"/>
      <c r="AD73" s="281"/>
    </row>
    <row r="74" spans="1:30" s="288" customFormat="1" x14ac:dyDescent="0.25">
      <c r="A74" s="287"/>
      <c r="B74" s="274">
        <f t="shared" si="2"/>
        <v>59</v>
      </c>
      <c r="C74" s="304">
        <f t="shared" ca="1" si="5"/>
        <v>-149.87357385164069</v>
      </c>
      <c r="D74" s="304">
        <f ca="1">IF(ROUND(E73,0)&lt;&gt;0, IF(ROUND(D73,0)&lt;&gt;0, 'Career Comparison'!$F$28-C74, 0), 0)</f>
        <v>397.66862149890812</v>
      </c>
      <c r="E74" s="304">
        <f ca="1">IF(G$7&gt;=B74, E73*(1+'Government Figures'!$D$8/12)-'Career Comparison'!$F$28, 0)</f>
        <v>107386.35577579886</v>
      </c>
      <c r="F74" s="312">
        <f>'College Schedule'!$L$8*(1+'Government Figures'!$B$8/12)^B74</f>
        <v>2249.1341091766071</v>
      </c>
      <c r="G74" s="278">
        <v>1</v>
      </c>
      <c r="H74" s="279">
        <f t="shared" ca="1" si="6"/>
        <v>0.17320110972991043</v>
      </c>
      <c r="I74" s="304">
        <f>G74*('College Schedule'!$L$9)*(1+'Government Figures'!$B$8/12)^B74</f>
        <v>5008.714124689418</v>
      </c>
      <c r="J74" s="304">
        <f t="shared" ca="1" si="3"/>
        <v>1644.2701231494589</v>
      </c>
      <c r="K74" s="304">
        <f t="shared" ca="1" si="0"/>
        <v>1351.1512085660727</v>
      </c>
      <c r="L74" s="278">
        <v>1</v>
      </c>
      <c r="M74" s="279">
        <f t="shared" si="7"/>
        <v>0.13735784313725496</v>
      </c>
      <c r="N74" s="304">
        <f>L74*('College Schedule'!$L$10)*(1+'Government Figures'!$B$8/12)^B74</f>
        <v>3005.2284748136512</v>
      </c>
      <c r="O74" s="304">
        <f t="shared" si="4"/>
        <v>343.30266420197859</v>
      </c>
      <c r="P74" s="304">
        <f t="shared" si="1"/>
        <v>282.10316730196598</v>
      </c>
      <c r="Q74" s="277"/>
      <c r="R74" s="281"/>
      <c r="S74" s="281"/>
      <c r="T74" s="281"/>
      <c r="U74" s="281"/>
      <c r="V74" s="281"/>
      <c r="W74" s="281"/>
      <c r="X74" s="281"/>
      <c r="Y74" s="281"/>
      <c r="Z74" s="281"/>
      <c r="AA74" s="281"/>
      <c r="AB74" s="281"/>
      <c r="AC74" s="281"/>
      <c r="AD74" s="281"/>
    </row>
    <row r="75" spans="1:30" s="288" customFormat="1" x14ac:dyDescent="0.25">
      <c r="A75" s="287"/>
      <c r="B75" s="274">
        <f t="shared" si="2"/>
        <v>60</v>
      </c>
      <c r="C75" s="304">
        <f t="shared" ca="1" si="5"/>
        <v>-150.42935502133332</v>
      </c>
      <c r="D75" s="304">
        <f ca="1">IF(ROUND(E74,0)&lt;&gt;0, IF(ROUND(D74,0)&lt;&gt;0, 'Career Comparison'!$F$28-C75, 0), 0)</f>
        <v>398.22440266860076</v>
      </c>
      <c r="E75" s="304">
        <f ca="1">IF(G$7&gt;=B75, E74*(1+'Government Figures'!$D$8/12)-'Career Comparison'!$F$28, 0)</f>
        <v>107536.78513082019</v>
      </c>
      <c r="F75" s="312">
        <f>'College Schedule'!$L$8*(1+'Government Figures'!$B$8/12)^B75</f>
        <v>2252.8826660252348</v>
      </c>
      <c r="G75" s="278">
        <v>1</v>
      </c>
      <c r="H75" s="279">
        <f t="shared" ca="1" si="6"/>
        <v>0.17320110972991043</v>
      </c>
      <c r="I75" s="304">
        <f>G75*('College Schedule'!$L$9)*(1+'Government Figures'!$B$8/12)^B75</f>
        <v>5017.0619815639002</v>
      </c>
      <c r="J75" s="304">
        <f t="shared" ca="1" si="3"/>
        <v>1647.4235651007866</v>
      </c>
      <c r="K75" s="304">
        <f t="shared" ca="1" si="0"/>
        <v>1349.2450128643663</v>
      </c>
      <c r="L75" s="278">
        <v>1</v>
      </c>
      <c r="M75" s="279">
        <f t="shared" si="7"/>
        <v>0.13735784313725496</v>
      </c>
      <c r="N75" s="304">
        <f>L75*('College Schedule'!$L$10)*(1+'Government Figures'!$B$8/12)^B75</f>
        <v>3010.2371889383408</v>
      </c>
      <c r="O75" s="304">
        <f t="shared" si="4"/>
        <v>343.8748353089818</v>
      </c>
      <c r="P75" s="304">
        <f t="shared" si="1"/>
        <v>281.63455738950415</v>
      </c>
      <c r="Q75" s="277"/>
      <c r="R75" s="281"/>
      <c r="S75" s="281"/>
      <c r="T75" s="281"/>
      <c r="U75" s="281"/>
      <c r="V75" s="281"/>
      <c r="W75" s="281"/>
      <c r="X75" s="281"/>
      <c r="Y75" s="281"/>
      <c r="Z75" s="281"/>
      <c r="AA75" s="281"/>
      <c r="AB75" s="281"/>
      <c r="AC75" s="281"/>
      <c r="AD75" s="281"/>
    </row>
    <row r="76" spans="1:30" s="288" customFormat="1" x14ac:dyDescent="0.25">
      <c r="A76" s="287"/>
      <c r="B76" s="274">
        <f t="shared" si="2"/>
        <v>61</v>
      </c>
      <c r="C76" s="304">
        <f t="shared" ca="1" si="5"/>
        <v>-150.98719721287489</v>
      </c>
      <c r="D76" s="304">
        <f ca="1">IF(ROUND(E75,0)&lt;&gt;0, IF(ROUND(D75,0)&lt;&gt;0, 'Career Comparison'!$F$28-C76, 0), 0)</f>
        <v>398.78224486014233</v>
      </c>
      <c r="E76" s="304">
        <f ca="1">IF(G$7&gt;=B76, E75*(1+'Government Figures'!$D$8/12)-'Career Comparison'!$F$28, 0)</f>
        <v>107687.77232803307</v>
      </c>
      <c r="F76" s="312">
        <f>'College Schedule'!$L$8*(1+'Government Figures'!$B$8/12)^B76</f>
        <v>2256.6374704686109</v>
      </c>
      <c r="G76" s="278">
        <v>1</v>
      </c>
      <c r="H76" s="279">
        <f t="shared" ca="1" si="6"/>
        <v>0.17320110972991043</v>
      </c>
      <c r="I76" s="304">
        <f>G76*('College Schedule'!$L$9)*(1+'Government Figures'!$B$8/12)^B76</f>
        <v>5025.4237515331743</v>
      </c>
      <c r="J76" s="304">
        <f t="shared" ca="1" si="3"/>
        <v>1650.5822627887001</v>
      </c>
      <c r="K76" s="304">
        <f t="shared" ca="1" si="0"/>
        <v>1347.3408598747171</v>
      </c>
      <c r="L76" s="278">
        <v>1</v>
      </c>
      <c r="M76" s="279">
        <f t="shared" si="7"/>
        <v>0.13735784313725496</v>
      </c>
      <c r="N76" s="304">
        <f>L76*('College Schedule'!$L$10)*(1+'Government Figures'!$B$8/12)^B76</f>
        <v>3015.2542509199052</v>
      </c>
      <c r="O76" s="304">
        <f t="shared" si="4"/>
        <v>344.44796003449665</v>
      </c>
      <c r="P76" s="304">
        <f t="shared" si="1"/>
        <v>281.16672589882387</v>
      </c>
      <c r="Q76" s="277"/>
      <c r="R76" s="281"/>
      <c r="S76" s="281"/>
      <c r="T76" s="281"/>
      <c r="U76" s="281"/>
      <c r="V76" s="281"/>
      <c r="W76" s="281"/>
      <c r="X76" s="281"/>
      <c r="Y76" s="281"/>
      <c r="Z76" s="281"/>
      <c r="AA76" s="281"/>
      <c r="AB76" s="281"/>
      <c r="AC76" s="281"/>
      <c r="AD76" s="281"/>
    </row>
    <row r="77" spans="1:30" s="288" customFormat="1" x14ac:dyDescent="0.25">
      <c r="A77" s="287"/>
      <c r="B77" s="274">
        <f t="shared" si="2"/>
        <v>62</v>
      </c>
      <c r="C77" s="304">
        <f t="shared" ca="1" si="5"/>
        <v>-151.54710806920775</v>
      </c>
      <c r="D77" s="304">
        <f ca="1">IF(ROUND(E76,0)&lt;&gt;0, IF(ROUND(D76,0)&lt;&gt;0, 'Career Comparison'!$F$28-C77, 0), 0)</f>
        <v>399.34215571647519</v>
      </c>
      <c r="E77" s="304">
        <f ca="1">IF(G$7&gt;=B77, E76*(1+'Government Figures'!$D$8/12)-'Career Comparison'!$F$28, 0)</f>
        <v>107839.31943610228</v>
      </c>
      <c r="F77" s="312">
        <f>'College Schedule'!$L$8*(1+'Government Figures'!$B$8/12)^B77</f>
        <v>2260.398532919392</v>
      </c>
      <c r="G77" s="278">
        <v>1</v>
      </c>
      <c r="H77" s="279">
        <f t="shared" ca="1" si="6"/>
        <v>0.17320110972991043</v>
      </c>
      <c r="I77" s="304">
        <f>G77*('College Schedule'!$L$9)*(1+'Government Figures'!$B$8/12)^B77</f>
        <v>5033.7994577857298</v>
      </c>
      <c r="J77" s="304">
        <f t="shared" ca="1" si="3"/>
        <v>1653.746224972761</v>
      </c>
      <c r="K77" s="304">
        <f t="shared" ca="1" si="0"/>
        <v>1345.438749937224</v>
      </c>
      <c r="L77" s="278">
        <v>1</v>
      </c>
      <c r="M77" s="279">
        <f t="shared" si="7"/>
        <v>0.13735784313725496</v>
      </c>
      <c r="N77" s="304">
        <f>L77*('College Schedule'!$L$10)*(1+'Government Figures'!$B$8/12)^B77</f>
        <v>3020.2796746714384</v>
      </c>
      <c r="O77" s="304">
        <f t="shared" si="4"/>
        <v>345.02203996788739</v>
      </c>
      <c r="P77" s="304">
        <f t="shared" si="1"/>
        <v>280.69967153686554</v>
      </c>
      <c r="Q77" s="277"/>
      <c r="R77" s="281"/>
      <c r="S77" s="281"/>
      <c r="T77" s="281"/>
      <c r="U77" s="281"/>
      <c r="V77" s="281"/>
      <c r="W77" s="281"/>
      <c r="X77" s="281"/>
      <c r="Y77" s="281"/>
      <c r="Z77" s="281"/>
      <c r="AA77" s="281"/>
      <c r="AB77" s="281"/>
      <c r="AC77" s="281"/>
      <c r="AD77" s="281"/>
    </row>
    <row r="78" spans="1:30" s="288" customFormat="1" x14ac:dyDescent="0.25">
      <c r="A78" s="287"/>
      <c r="B78" s="274">
        <f t="shared" si="2"/>
        <v>63</v>
      </c>
      <c r="C78" s="304">
        <f t="shared" ca="1" si="5"/>
        <v>-152.10909526162141</v>
      </c>
      <c r="D78" s="304">
        <f ca="1">IF(ROUND(E77,0)&lt;&gt;0, IF(ROUND(D77,0)&lt;&gt;0, 'Career Comparison'!$F$28-C78, 0), 0)</f>
        <v>399.90414290888884</v>
      </c>
      <c r="E78" s="304">
        <f ca="1">IF(G$7&gt;=B78, E77*(1+'Government Figures'!$D$8/12)-'Career Comparison'!$F$28, 0)</f>
        <v>107991.4285313639</v>
      </c>
      <c r="F78" s="312">
        <f>'College Schedule'!$L$8*(1+'Government Figures'!$B$8/12)^B78</f>
        <v>2264.1658638075914</v>
      </c>
      <c r="G78" s="278">
        <v>1</v>
      </c>
      <c r="H78" s="279">
        <f t="shared" ca="1" si="6"/>
        <v>0.17320110972991043</v>
      </c>
      <c r="I78" s="304">
        <f>G78*('College Schedule'!$L$9)*(1+'Government Figures'!$B$8/12)^B78</f>
        <v>5042.1891235487074</v>
      </c>
      <c r="J78" s="304">
        <f t="shared" ca="1" si="3"/>
        <v>1656.9154604271275</v>
      </c>
      <c r="K78" s="304">
        <f t="shared" ca="1" si="0"/>
        <v>1343.5386833790178</v>
      </c>
      <c r="L78" s="278">
        <v>1</v>
      </c>
      <c r="M78" s="279">
        <f t="shared" si="7"/>
        <v>0.13735784313725496</v>
      </c>
      <c r="N78" s="304">
        <f>L78*('College Schedule'!$L$10)*(1+'Government Figures'!$B$8/12)^B78</f>
        <v>3025.3134741292247</v>
      </c>
      <c r="O78" s="304">
        <f t="shared" si="4"/>
        <v>345.59707670116723</v>
      </c>
      <c r="P78" s="304">
        <f t="shared" si="1"/>
        <v>280.2333930127179</v>
      </c>
      <c r="Q78" s="277"/>
      <c r="R78" s="281"/>
      <c r="S78" s="281"/>
      <c r="T78" s="281"/>
      <c r="U78" s="281"/>
      <c r="V78" s="281"/>
      <c r="W78" s="281"/>
      <c r="X78" s="281"/>
      <c r="Y78" s="281"/>
      <c r="Z78" s="281"/>
      <c r="AA78" s="281"/>
      <c r="AB78" s="281"/>
      <c r="AC78" s="281"/>
      <c r="AD78" s="281"/>
    </row>
    <row r="79" spans="1:30" s="288" customFormat="1" x14ac:dyDescent="0.25">
      <c r="A79" s="287"/>
      <c r="B79" s="274">
        <f t="shared" si="2"/>
        <v>64</v>
      </c>
      <c r="C79" s="304">
        <f t="shared" ca="1" si="5"/>
        <v>-152.67316648988344</v>
      </c>
      <c r="D79" s="304">
        <f ca="1">IF(ROUND(E78,0)&lt;&gt;0, IF(ROUND(D78,0)&lt;&gt;0, 'Career Comparison'!$F$28-C79, 0), 0)</f>
        <v>400.46821413715088</v>
      </c>
      <c r="E79" s="304">
        <f ca="1">IF(G$7&gt;=B79, E78*(1+'Government Figures'!$D$8/12)-'Career Comparison'!$F$28, 0)</f>
        <v>108144.10169785378</v>
      </c>
      <c r="F79" s="312">
        <f>'College Schedule'!$L$8*(1+'Government Figures'!$B$8/12)^B79</f>
        <v>2267.939473580604</v>
      </c>
      <c r="G79" s="278">
        <v>1</v>
      </c>
      <c r="H79" s="279">
        <f t="shared" ca="1" si="6"/>
        <v>0.17320110972991043</v>
      </c>
      <c r="I79" s="304">
        <f>G79*('College Schedule'!$L$9)*(1+'Government Figures'!$B$8/12)^B79</f>
        <v>5050.5927720879554</v>
      </c>
      <c r="J79" s="304">
        <f t="shared" ca="1" si="3"/>
        <v>1660.0899779405854</v>
      </c>
      <c r="K79" s="304">
        <f t="shared" ref="K79:K142" ca="1" si="8">J79/(1+($G$9/12))^B79</f>
        <v>1341.6406605143263</v>
      </c>
      <c r="L79" s="278">
        <v>1</v>
      </c>
      <c r="M79" s="279">
        <f t="shared" si="7"/>
        <v>0.13735784313725496</v>
      </c>
      <c r="N79" s="304">
        <f>L79*('College Schedule'!$L$10)*(1+'Government Figures'!$B$8/12)^B79</f>
        <v>3030.3556632527739</v>
      </c>
      <c r="O79" s="304">
        <f t="shared" si="4"/>
        <v>346.17307182900322</v>
      </c>
      <c r="P79" s="304">
        <f t="shared" ref="P79:P142" si="9">O79/(1+($G$9/12))^B79</f>
        <v>279.76788903761428</v>
      </c>
      <c r="Q79" s="277"/>
      <c r="R79" s="281"/>
      <c r="S79" s="281"/>
      <c r="T79" s="281"/>
      <c r="U79" s="281"/>
      <c r="V79" s="281"/>
      <c r="W79" s="281"/>
      <c r="X79" s="281"/>
      <c r="Y79" s="281"/>
      <c r="Z79" s="281"/>
      <c r="AA79" s="281"/>
      <c r="AB79" s="281"/>
      <c r="AC79" s="281"/>
      <c r="AD79" s="281"/>
    </row>
    <row r="80" spans="1:30" s="288" customFormat="1" x14ac:dyDescent="0.25">
      <c r="A80" s="287"/>
      <c r="B80" s="274">
        <f t="shared" ref="B80:B143" si="10">B79+1</f>
        <v>65</v>
      </c>
      <c r="C80" s="304">
        <f t="shared" ref="C80:C143" ca="1" si="11">E79-E80</f>
        <v>-153.23932948228321</v>
      </c>
      <c r="D80" s="304">
        <f ca="1">IF(ROUND(E79,0)&lt;&gt;0, IF(ROUND(D79,0)&lt;&gt;0, 'Career Comparison'!$F$28-C80, 0), 0)</f>
        <v>401.03437712955065</v>
      </c>
      <c r="E80" s="304">
        <f ca="1">IF(G$7&gt;=B80, E79*(1+'Government Figures'!$D$8/12)-'Career Comparison'!$F$28, 0)</f>
        <v>108297.34102733606</v>
      </c>
      <c r="F80" s="312">
        <f>'College Schedule'!$L$8*(1+'Government Figures'!$B$8/12)^B80</f>
        <v>2271.7193727032386</v>
      </c>
      <c r="G80" s="278">
        <v>1</v>
      </c>
      <c r="H80" s="279">
        <f t="shared" ca="1" si="6"/>
        <v>0.17320110972991043</v>
      </c>
      <c r="I80" s="304">
        <f>G80*('College Schedule'!$L$9)*(1+'Government Figures'!$B$8/12)^B80</f>
        <v>5059.0104267081024</v>
      </c>
      <c r="J80" s="304">
        <f t="shared" ref="J80:J143" ca="1" si="12">I80*(1-H80)-F80-C80-D80</f>
        <v>1663.2697863165649</v>
      </c>
      <c r="K80" s="304">
        <f t="shared" ca="1" si="8"/>
        <v>1339.744681644532</v>
      </c>
      <c r="L80" s="278">
        <v>1</v>
      </c>
      <c r="M80" s="279">
        <f t="shared" si="7"/>
        <v>0.13735784313725496</v>
      </c>
      <c r="N80" s="304">
        <f>L80*('College Schedule'!$L$10)*(1+'Government Figures'!$B$8/12)^B80</f>
        <v>3035.4062560248622</v>
      </c>
      <c r="O80" s="304">
        <f t="shared" ref="O80:O143" si="13">N80*(1-M80)-F80</f>
        <v>346.75002694871819</v>
      </c>
      <c r="P80" s="304">
        <f t="shared" si="9"/>
        <v>279.30315832492715</v>
      </c>
      <c r="Q80" s="277"/>
      <c r="R80" s="281"/>
      <c r="S80" s="281"/>
      <c r="T80" s="281"/>
      <c r="U80" s="281"/>
      <c r="V80" s="281"/>
      <c r="W80" s="281"/>
      <c r="X80" s="281"/>
      <c r="Y80" s="281"/>
      <c r="Z80" s="281"/>
      <c r="AA80" s="281"/>
      <c r="AB80" s="281"/>
      <c r="AC80" s="281"/>
      <c r="AD80" s="281"/>
    </row>
    <row r="81" spans="1:30" s="288" customFormat="1" x14ac:dyDescent="0.25">
      <c r="A81" s="287"/>
      <c r="B81" s="274">
        <f t="shared" si="10"/>
        <v>66</v>
      </c>
      <c r="C81" s="304">
        <f t="shared" ca="1" si="11"/>
        <v>-153.80759199579188</v>
      </c>
      <c r="D81" s="304">
        <f ca="1">IF(ROUND(E80,0)&lt;&gt;0, IF(ROUND(D80,0)&lt;&gt;0, 'Career Comparison'!$F$28-C81, 0), 0)</f>
        <v>401.60263964305932</v>
      </c>
      <c r="E81" s="304">
        <f ca="1">IF(G$7&gt;=B81, E80*(1+'Government Figures'!$D$8/12)-'Career Comparison'!$F$28, 0)</f>
        <v>108451.14861933186</v>
      </c>
      <c r="F81" s="312">
        <f>'College Schedule'!$L$8*(1+'Government Figures'!$B$8/12)^B81</f>
        <v>2275.505571657744</v>
      </c>
      <c r="G81" s="278">
        <v>1</v>
      </c>
      <c r="H81" s="279">
        <f t="shared" ca="1" si="6"/>
        <v>0.17320110972991043</v>
      </c>
      <c r="I81" s="304">
        <f>G81*('College Schedule'!$L$9)*(1+'Government Figures'!$B$8/12)^B81</f>
        <v>5067.4421107526159</v>
      </c>
      <c r="J81" s="304">
        <f t="shared" ca="1" si="12"/>
        <v>1666.4548943731716</v>
      </c>
      <c r="K81" s="304">
        <f t="shared" ca="1" si="8"/>
        <v>1337.8507470582383</v>
      </c>
      <c r="L81" s="278">
        <v>1</v>
      </c>
      <c r="M81" s="279">
        <f t="shared" si="7"/>
        <v>0.13735784313725496</v>
      </c>
      <c r="N81" s="304">
        <f>L81*('College Schedule'!$L$10)*(1+'Government Figures'!$B$8/12)^B81</f>
        <v>3040.4652664515697</v>
      </c>
      <c r="O81" s="304">
        <f t="shared" si="13"/>
        <v>347.32794366029884</v>
      </c>
      <c r="P81" s="304">
        <f t="shared" si="9"/>
        <v>278.83919959016765</v>
      </c>
      <c r="Q81" s="277"/>
      <c r="R81" s="281"/>
      <c r="S81" s="281"/>
      <c r="T81" s="281"/>
      <c r="U81" s="281"/>
      <c r="V81" s="281"/>
      <c r="W81" s="281"/>
      <c r="X81" s="281"/>
      <c r="Y81" s="281"/>
      <c r="Z81" s="281"/>
      <c r="AA81" s="281"/>
      <c r="AB81" s="281"/>
      <c r="AC81" s="281"/>
      <c r="AD81" s="281"/>
    </row>
    <row r="82" spans="1:30" s="288" customFormat="1" x14ac:dyDescent="0.25">
      <c r="A82" s="287"/>
      <c r="B82" s="274">
        <f t="shared" si="10"/>
        <v>67</v>
      </c>
      <c r="C82" s="304">
        <f t="shared" ca="1" si="11"/>
        <v>-154.37796181610611</v>
      </c>
      <c r="D82" s="304">
        <f ca="1">IF(ROUND(E81,0)&lt;&gt;0, IF(ROUND(D81,0)&lt;&gt;0, 'Career Comparison'!$F$28-C82, 0), 0)</f>
        <v>402.17300946337355</v>
      </c>
      <c r="E82" s="304">
        <f ca="1">IF(G$7&gt;=B82, E81*(1+'Government Figures'!$D$8/12)-'Career Comparison'!$F$28, 0)</f>
        <v>108605.52658114796</v>
      </c>
      <c r="F82" s="312">
        <f>'College Schedule'!$L$8*(1+'Government Figures'!$B$8/12)^B82</f>
        <v>2279.2980809438404</v>
      </c>
      <c r="G82" s="278">
        <v>1</v>
      </c>
      <c r="H82" s="279">
        <f t="shared" ref="H82:H145" ca="1" si="14">H81</f>
        <v>0.17320110972991043</v>
      </c>
      <c r="I82" s="304">
        <f>G82*('College Schedule'!$L$9)*(1+'Government Figures'!$B$8/12)^B82</f>
        <v>5075.8878476038708</v>
      </c>
      <c r="J82" s="304">
        <f t="shared" ca="1" si="12"/>
        <v>1669.6453109432064</v>
      </c>
      <c r="K82" s="304">
        <f t="shared" ca="1" si="8"/>
        <v>1335.9588570313308</v>
      </c>
      <c r="L82" s="278">
        <v>1</v>
      </c>
      <c r="M82" s="279">
        <f t="shared" ref="M82:M145" si="15">M81</f>
        <v>0.13735784313725496</v>
      </c>
      <c r="N82" s="304">
        <f>L82*('College Schedule'!$L$10)*(1+'Government Figures'!$B$8/12)^B82</f>
        <v>3045.5327085623226</v>
      </c>
      <c r="O82" s="304">
        <f t="shared" si="13"/>
        <v>347.90682356639945</v>
      </c>
      <c r="P82" s="304">
        <f t="shared" si="9"/>
        <v>278.37601155098133</v>
      </c>
      <c r="Q82" s="277"/>
      <c r="R82" s="281"/>
      <c r="S82" s="281"/>
      <c r="T82" s="281"/>
      <c r="U82" s="281"/>
      <c r="V82" s="281"/>
      <c r="W82" s="281"/>
      <c r="X82" s="281"/>
      <c r="Y82" s="281"/>
      <c r="Z82" s="281"/>
      <c r="AA82" s="281"/>
      <c r="AB82" s="281"/>
      <c r="AC82" s="281"/>
      <c r="AD82" s="281"/>
    </row>
    <row r="83" spans="1:30" s="288" customFormat="1" x14ac:dyDescent="0.25">
      <c r="A83" s="287"/>
      <c r="B83" s="274">
        <f t="shared" si="10"/>
        <v>68</v>
      </c>
      <c r="C83" s="304">
        <f t="shared" ca="1" si="11"/>
        <v>-154.9504467578372</v>
      </c>
      <c r="D83" s="304">
        <f ca="1">IF(ROUND(E82,0)&lt;&gt;0, IF(ROUND(D82,0)&lt;&gt;0, 'Career Comparison'!$F$28-C83, 0), 0)</f>
        <v>402.74549440510464</v>
      </c>
      <c r="E83" s="304">
        <f ca="1">IF(G$7&gt;=B83, E82*(1+'Government Figures'!$D$8/12)-'Career Comparison'!$F$28, 0)</f>
        <v>108760.4770279058</v>
      </c>
      <c r="F83" s="312">
        <f>'College Schedule'!$L$8*(1+'Government Figures'!$B$8/12)^B83</f>
        <v>2283.0969110787469</v>
      </c>
      <c r="G83" s="278">
        <v>1</v>
      </c>
      <c r="H83" s="279">
        <f t="shared" ca="1" si="14"/>
        <v>0.17320110972991043</v>
      </c>
      <c r="I83" s="304">
        <f>G83*('College Schedule'!$L$9)*(1+'Government Figures'!$B$8/12)^B83</f>
        <v>5084.3476606832101</v>
      </c>
      <c r="J83" s="304">
        <f t="shared" ca="1" si="12"/>
        <v>1672.8410448741897</v>
      </c>
      <c r="K83" s="304">
        <f t="shared" ca="1" si="8"/>
        <v>1334.0690118270361</v>
      </c>
      <c r="L83" s="278">
        <v>1</v>
      </c>
      <c r="M83" s="279">
        <f t="shared" si="15"/>
        <v>0.13735784313725496</v>
      </c>
      <c r="N83" s="304">
        <f>L83*('College Schedule'!$L$10)*(1+'Government Figures'!$B$8/12)^B83</f>
        <v>3050.6085964099266</v>
      </c>
      <c r="O83" s="304">
        <f t="shared" si="13"/>
        <v>348.48666827234365</v>
      </c>
      <c r="P83" s="304">
        <f t="shared" si="9"/>
        <v>277.9135929271427</v>
      </c>
      <c r="Q83" s="277"/>
      <c r="R83" s="281"/>
      <c r="S83" s="281"/>
      <c r="T83" s="281"/>
      <c r="U83" s="281"/>
      <c r="V83" s="281"/>
      <c r="W83" s="281"/>
      <c r="X83" s="281"/>
      <c r="Y83" s="281"/>
      <c r="Z83" s="281"/>
      <c r="AA83" s="281"/>
      <c r="AB83" s="281"/>
      <c r="AC83" s="281"/>
      <c r="AD83" s="281"/>
    </row>
    <row r="84" spans="1:30" s="288" customFormat="1" x14ac:dyDescent="0.25">
      <c r="A84" s="287"/>
      <c r="B84" s="274">
        <f t="shared" si="10"/>
        <v>69</v>
      </c>
      <c r="C84" s="304">
        <f t="shared" ca="1" si="11"/>
        <v>-155.52505466456932</v>
      </c>
      <c r="D84" s="304">
        <f ca="1">IF(ROUND(E83,0)&lt;&gt;0, IF(ROUND(D83,0)&lt;&gt;0, 'Career Comparison'!$F$28-C84, 0), 0)</f>
        <v>403.32010231183676</v>
      </c>
      <c r="E84" s="304">
        <f ca="1">IF(G$7&gt;=B84, E83*(1+'Government Figures'!$D$8/12)-'Career Comparison'!$F$28, 0)</f>
        <v>108916.00208257037</v>
      </c>
      <c r="F84" s="312">
        <f>'College Schedule'!$L$8*(1+'Government Figures'!$B$8/12)^B84</f>
        <v>2286.9020725972114</v>
      </c>
      <c r="G84" s="278">
        <v>1</v>
      </c>
      <c r="H84" s="279">
        <f t="shared" ca="1" si="14"/>
        <v>0.17320110972991043</v>
      </c>
      <c r="I84" s="304">
        <f>G84*('College Schedule'!$L$9)*(1+'Government Figures'!$B$8/12)^B84</f>
        <v>5092.8215734510159</v>
      </c>
      <c r="J84" s="304">
        <f t="shared" ca="1" si="12"/>
        <v>1676.0421050283926</v>
      </c>
      <c r="K84" s="304">
        <f t="shared" ca="1" si="8"/>
        <v>1332.1812116959888</v>
      </c>
      <c r="L84" s="278">
        <v>1</v>
      </c>
      <c r="M84" s="279">
        <f t="shared" si="15"/>
        <v>0.13735784313725496</v>
      </c>
      <c r="N84" s="304">
        <f>L84*('College Schedule'!$L$10)*(1+'Government Figures'!$B$8/12)^B84</f>
        <v>3055.6929440706099</v>
      </c>
      <c r="O84" s="304">
        <f t="shared" si="13"/>
        <v>349.0674793861308</v>
      </c>
      <c r="P84" s="304">
        <f t="shared" si="9"/>
        <v>277.45194244055273</v>
      </c>
      <c r="Q84" s="277"/>
      <c r="R84" s="281"/>
      <c r="S84" s="281"/>
      <c r="T84" s="281"/>
      <c r="U84" s="281"/>
      <c r="V84" s="281"/>
      <c r="W84" s="281"/>
      <c r="X84" s="281"/>
      <c r="Y84" s="281"/>
      <c r="Z84" s="281"/>
      <c r="AA84" s="281"/>
      <c r="AB84" s="281"/>
      <c r="AC84" s="281"/>
      <c r="AD84" s="281"/>
    </row>
    <row r="85" spans="1:30" s="288" customFormat="1" x14ac:dyDescent="0.25">
      <c r="A85" s="287"/>
      <c r="B85" s="274">
        <f t="shared" si="10"/>
        <v>70</v>
      </c>
      <c r="C85" s="304">
        <f t="shared" ca="1" si="11"/>
        <v>-156.10179340894683</v>
      </c>
      <c r="D85" s="304">
        <f ca="1">IF(ROUND(E84,0)&lt;&gt;0, IF(ROUND(D84,0)&lt;&gt;0, 'Career Comparison'!$F$28-C85, 0), 0)</f>
        <v>403.89684105621427</v>
      </c>
      <c r="E85" s="304">
        <f ca="1">IF(G$7&gt;=B85, E84*(1+'Government Figures'!$D$8/12)-'Career Comparison'!$F$28, 0)</f>
        <v>109072.10387597932</v>
      </c>
      <c r="F85" s="312">
        <f>'College Schedule'!$L$8*(1+'Government Figures'!$B$8/12)^B85</f>
        <v>2290.7135760515403</v>
      </c>
      <c r="G85" s="278">
        <v>1</v>
      </c>
      <c r="H85" s="279">
        <f t="shared" ca="1" si="14"/>
        <v>0.17320110972991043</v>
      </c>
      <c r="I85" s="304">
        <f>G85*('College Schedule'!$L$9)*(1+'Government Figures'!$B$8/12)^B85</f>
        <v>5101.3096094067678</v>
      </c>
      <c r="J85" s="304">
        <f t="shared" ca="1" si="12"/>
        <v>1679.2485002828521</v>
      </c>
      <c r="K85" s="304">
        <f t="shared" ca="1" si="8"/>
        <v>1330.2954568762871</v>
      </c>
      <c r="L85" s="278">
        <v>1</v>
      </c>
      <c r="M85" s="279">
        <f t="shared" si="15"/>
        <v>0.13735784313725496</v>
      </c>
      <c r="N85" s="304">
        <f>L85*('College Schedule'!$L$10)*(1+'Government Figures'!$B$8/12)^B85</f>
        <v>3060.785765644061</v>
      </c>
      <c r="O85" s="304">
        <f t="shared" si="13"/>
        <v>349.649258518441</v>
      </c>
      <c r="P85" s="304">
        <f t="shared" si="9"/>
        <v>276.9910588152361</v>
      </c>
      <c r="Q85" s="277"/>
      <c r="R85" s="281"/>
      <c r="S85" s="281"/>
      <c r="T85" s="281"/>
      <c r="U85" s="281"/>
      <c r="V85" s="281"/>
      <c r="W85" s="281"/>
      <c r="X85" s="281"/>
      <c r="Y85" s="281"/>
      <c r="Z85" s="281"/>
      <c r="AA85" s="281"/>
      <c r="AB85" s="281"/>
      <c r="AC85" s="281"/>
      <c r="AD85" s="281"/>
    </row>
    <row r="86" spans="1:30" s="288" customFormat="1" x14ac:dyDescent="0.25">
      <c r="A86" s="287"/>
      <c r="B86" s="274">
        <f t="shared" si="10"/>
        <v>71</v>
      </c>
      <c r="C86" s="304">
        <f t="shared" ca="1" si="11"/>
        <v>-156.68067089283431</v>
      </c>
      <c r="D86" s="304">
        <f ca="1">IF(ROUND(E85,0)&lt;&gt;0, IF(ROUND(D85,0)&lt;&gt;0, 'Career Comparison'!$F$28-C86, 0), 0)</f>
        <v>404.47571854010175</v>
      </c>
      <c r="E86" s="304">
        <f ca="1">IF(G$7&gt;=B86, E85*(1+'Government Figures'!$D$8/12)-'Career Comparison'!$F$28, 0)</f>
        <v>109228.78454687215</v>
      </c>
      <c r="F86" s="312">
        <f>'College Schedule'!$L$8*(1+'Government Figures'!$B$8/12)^B86</f>
        <v>2294.5314320116263</v>
      </c>
      <c r="G86" s="278">
        <v>1</v>
      </c>
      <c r="H86" s="279">
        <f t="shared" ca="1" si="14"/>
        <v>0.17320110972991043</v>
      </c>
      <c r="I86" s="304">
        <f>G86*('College Schedule'!$L$9)*(1+'Government Figures'!$B$8/12)^B86</f>
        <v>5109.8117920891127</v>
      </c>
      <c r="J86" s="304">
        <f t="shared" ca="1" si="12"/>
        <v>1682.4602395294023</v>
      </c>
      <c r="K86" s="304">
        <f t="shared" ca="1" si="8"/>
        <v>1328.4117475935577</v>
      </c>
      <c r="L86" s="278">
        <v>1</v>
      </c>
      <c r="M86" s="279">
        <f t="shared" si="15"/>
        <v>0.13735784313725496</v>
      </c>
      <c r="N86" s="304">
        <f>L86*('College Schedule'!$L$10)*(1+'Government Figures'!$B$8/12)^B86</f>
        <v>3065.8870752534681</v>
      </c>
      <c r="O86" s="304">
        <f t="shared" si="13"/>
        <v>350.23200728263873</v>
      </c>
      <c r="P86" s="304">
        <f t="shared" si="9"/>
        <v>276.53094077733721</v>
      </c>
      <c r="Q86" s="277"/>
      <c r="R86" s="281"/>
      <c r="S86" s="281"/>
      <c r="T86" s="281"/>
      <c r="U86" s="281"/>
      <c r="V86" s="281"/>
      <c r="W86" s="281"/>
      <c r="X86" s="281"/>
      <c r="Y86" s="281"/>
      <c r="Z86" s="281"/>
      <c r="AA86" s="281"/>
      <c r="AB86" s="281"/>
      <c r="AC86" s="281"/>
      <c r="AD86" s="281"/>
    </row>
    <row r="87" spans="1:30" s="288" customFormat="1" x14ac:dyDescent="0.25">
      <c r="A87" s="287"/>
      <c r="B87" s="274">
        <f t="shared" si="10"/>
        <v>72</v>
      </c>
      <c r="C87" s="304">
        <f t="shared" ca="1" si="11"/>
        <v>-157.26169504740392</v>
      </c>
      <c r="D87" s="304">
        <f ca="1">IF(ROUND(E86,0)&lt;&gt;0, IF(ROUND(D86,0)&lt;&gt;0, 'Career Comparison'!$F$28-C87, 0), 0)</f>
        <v>405.05674269467136</v>
      </c>
      <c r="E87" s="304">
        <f ca="1">IF(G$7&gt;=B87, E86*(1+'Government Figures'!$D$8/12)-'Career Comparison'!$F$28, 0)</f>
        <v>109386.04624191955</v>
      </c>
      <c r="F87" s="312">
        <f>'College Schedule'!$L$8*(1+'Government Figures'!$B$8/12)^B87</f>
        <v>2298.3556510649796</v>
      </c>
      <c r="G87" s="278">
        <v>1</v>
      </c>
      <c r="H87" s="279">
        <f t="shared" ca="1" si="14"/>
        <v>0.17320110972991043</v>
      </c>
      <c r="I87" s="304">
        <f>G87*('College Schedule'!$L$9)*(1+'Government Figures'!$B$8/12)^B87</f>
        <v>5118.3281450759287</v>
      </c>
      <c r="J87" s="304">
        <f t="shared" ca="1" si="12"/>
        <v>1685.6773316746971</v>
      </c>
      <c r="K87" s="304">
        <f t="shared" ca="1" si="8"/>
        <v>1326.5300840610162</v>
      </c>
      <c r="L87" s="278">
        <v>1</v>
      </c>
      <c r="M87" s="279">
        <f t="shared" si="15"/>
        <v>0.13735784313725496</v>
      </c>
      <c r="N87" s="304">
        <f>L87*('College Schedule'!$L$10)*(1+'Government Figures'!$B$8/12)^B87</f>
        <v>3070.9968870455577</v>
      </c>
      <c r="O87" s="304">
        <f t="shared" si="13"/>
        <v>350.81572729477602</v>
      </c>
      <c r="P87" s="304">
        <f t="shared" si="9"/>
        <v>276.0715870551154</v>
      </c>
      <c r="Q87" s="277"/>
      <c r="R87" s="281"/>
      <c r="S87" s="281"/>
      <c r="T87" s="281"/>
      <c r="U87" s="281"/>
      <c r="V87" s="281"/>
      <c r="W87" s="281"/>
      <c r="X87" s="281"/>
      <c r="Y87" s="281"/>
      <c r="Z87" s="281"/>
      <c r="AA87" s="281"/>
      <c r="AB87" s="281"/>
      <c r="AC87" s="281"/>
      <c r="AD87" s="281"/>
    </row>
    <row r="88" spans="1:30" s="288" customFormat="1" x14ac:dyDescent="0.25">
      <c r="A88" s="287"/>
      <c r="B88" s="274">
        <f t="shared" si="10"/>
        <v>73</v>
      </c>
      <c r="C88" s="304">
        <f t="shared" ca="1" si="11"/>
        <v>-157.84487383319356</v>
      </c>
      <c r="D88" s="304">
        <f ca="1">IF(ROUND(E87,0)&lt;&gt;0, IF(ROUND(D87,0)&lt;&gt;0, 'Career Comparison'!$F$28-C88, 0), 0)</f>
        <v>405.639921480461</v>
      </c>
      <c r="E88" s="304">
        <f ca="1">IF(G$7&gt;=B88, E87*(1+'Government Figures'!$D$8/12)-'Career Comparison'!$F$28, 0)</f>
        <v>109543.89111575275</v>
      </c>
      <c r="F88" s="312">
        <f>'College Schedule'!$L$8*(1+'Government Figures'!$B$8/12)^B88</f>
        <v>2302.1862438167541</v>
      </c>
      <c r="G88" s="278">
        <v>1</v>
      </c>
      <c r="H88" s="279">
        <f t="shared" ca="1" si="14"/>
        <v>0.17320110972991043</v>
      </c>
      <c r="I88" s="304">
        <f>G88*('College Schedule'!$L$9)*(1+'Government Figures'!$B$8/12)^B88</f>
        <v>5126.8586919843883</v>
      </c>
      <c r="J88" s="304">
        <f t="shared" ca="1" si="12"/>
        <v>1688.8997856402339</v>
      </c>
      <c r="K88" s="304">
        <f t="shared" ca="1" si="8"/>
        <v>1324.6504664795254</v>
      </c>
      <c r="L88" s="278">
        <v>1</v>
      </c>
      <c r="M88" s="279">
        <f t="shared" si="15"/>
        <v>0.13735784313725496</v>
      </c>
      <c r="N88" s="304">
        <f>L88*('College Schedule'!$L$10)*(1+'Government Figures'!$B$8/12)^B88</f>
        <v>3076.1152151906335</v>
      </c>
      <c r="O88" s="304">
        <f t="shared" si="13"/>
        <v>351.40042017360111</v>
      </c>
      <c r="P88" s="304">
        <f t="shared" si="9"/>
        <v>275.6129963789445</v>
      </c>
      <c r="Q88" s="277"/>
      <c r="R88" s="281"/>
      <c r="S88" s="281"/>
      <c r="T88" s="281"/>
      <c r="U88" s="281"/>
      <c r="V88" s="281"/>
      <c r="W88" s="281"/>
      <c r="X88" s="281"/>
      <c r="Y88" s="281"/>
      <c r="Z88" s="281"/>
      <c r="AA88" s="281"/>
      <c r="AB88" s="281"/>
      <c r="AC88" s="281"/>
      <c r="AD88" s="281"/>
    </row>
    <row r="89" spans="1:30" s="288" customFormat="1" x14ac:dyDescent="0.25">
      <c r="A89" s="287"/>
      <c r="B89" s="274">
        <f t="shared" si="10"/>
        <v>74</v>
      </c>
      <c r="C89" s="304">
        <f t="shared" ca="1" si="11"/>
        <v>-158.4302152403252</v>
      </c>
      <c r="D89" s="304">
        <f ca="1">IF(ROUND(E88,0)&lt;&gt;0, IF(ROUND(D88,0)&lt;&gt;0, 'Career Comparison'!$F$28-C89, 0), 0)</f>
        <v>406.22526288759263</v>
      </c>
      <c r="E89" s="304">
        <f ca="1">IF(G$7&gt;=B89, E88*(1+'Government Figures'!$D$8/12)-'Career Comparison'!$F$28, 0)</f>
        <v>109702.32133099307</v>
      </c>
      <c r="F89" s="312">
        <f>'College Schedule'!$L$8*(1+'Government Figures'!$B$8/12)^B89</f>
        <v>2306.0232208897824</v>
      </c>
      <c r="G89" s="278">
        <v>1</v>
      </c>
      <c r="H89" s="279">
        <f t="shared" ca="1" si="14"/>
        <v>0.17320110972991043</v>
      </c>
      <c r="I89" s="304">
        <f>G89*('College Schedule'!$L$9)*(1+'Government Figures'!$B$8/12)^B89</f>
        <v>5135.4034564710291</v>
      </c>
      <c r="J89" s="304">
        <f t="shared" ca="1" si="12"/>
        <v>1692.1276103623791</v>
      </c>
      <c r="K89" s="304">
        <f t="shared" ca="1" si="8"/>
        <v>1322.7728950376568</v>
      </c>
      <c r="L89" s="278">
        <v>1</v>
      </c>
      <c r="M89" s="279">
        <f t="shared" si="15"/>
        <v>0.13735784313725496</v>
      </c>
      <c r="N89" s="304">
        <f>L89*('College Schedule'!$L$10)*(1+'Government Figures'!$B$8/12)^B89</f>
        <v>3081.2420738826181</v>
      </c>
      <c r="O89" s="304">
        <f t="shared" si="13"/>
        <v>351.98608754055704</v>
      </c>
      <c r="P89" s="304">
        <f t="shared" si="9"/>
        <v>275.15516748130494</v>
      </c>
      <c r="Q89" s="277"/>
      <c r="R89" s="281"/>
      <c r="S89" s="281"/>
      <c r="T89" s="281"/>
      <c r="U89" s="281"/>
      <c r="V89" s="281"/>
      <c r="W89" s="281"/>
      <c r="X89" s="281"/>
      <c r="Y89" s="281"/>
      <c r="Z89" s="281"/>
      <c r="AA89" s="281"/>
      <c r="AB89" s="281"/>
      <c r="AC89" s="281"/>
      <c r="AD89" s="281"/>
    </row>
    <row r="90" spans="1:30" s="288" customFormat="1" x14ac:dyDescent="0.25">
      <c r="A90" s="287"/>
      <c r="B90" s="274">
        <f t="shared" si="10"/>
        <v>75</v>
      </c>
      <c r="C90" s="304">
        <f t="shared" ca="1" si="11"/>
        <v>-159.01772728851938</v>
      </c>
      <c r="D90" s="304">
        <f ca="1">IF(ROUND(E89,0)&lt;&gt;0, IF(ROUND(D89,0)&lt;&gt;0, 'Career Comparison'!$F$28-C90, 0), 0)</f>
        <v>406.81277493578682</v>
      </c>
      <c r="E90" s="304">
        <f ca="1">IF(G$7&gt;=B90, E89*(1+'Government Figures'!$D$8/12)-'Career Comparison'!$F$28, 0)</f>
        <v>109861.33905828159</v>
      </c>
      <c r="F90" s="312">
        <f>'College Schedule'!$L$8*(1+'Government Figures'!$B$8/12)^B90</f>
        <v>2309.866592924599</v>
      </c>
      <c r="G90" s="278">
        <v>1</v>
      </c>
      <c r="H90" s="279">
        <f t="shared" ca="1" si="14"/>
        <v>0.17320110972991043</v>
      </c>
      <c r="I90" s="304">
        <f>G90*('College Schedule'!$L$9)*(1+'Government Figures'!$B$8/12)^B90</f>
        <v>5143.9624622318152</v>
      </c>
      <c r="J90" s="304">
        <f t="shared" ca="1" si="12"/>
        <v>1695.3608147923956</v>
      </c>
      <c r="K90" s="304">
        <f t="shared" ca="1" si="8"/>
        <v>1320.8973699117541</v>
      </c>
      <c r="L90" s="278">
        <v>1</v>
      </c>
      <c r="M90" s="279">
        <f t="shared" si="15"/>
        <v>0.13735784313725496</v>
      </c>
      <c r="N90" s="304">
        <f>L90*('College Schedule'!$L$10)*(1+'Government Figures'!$B$8/12)^B90</f>
        <v>3086.3774773390896</v>
      </c>
      <c r="O90" s="304">
        <f t="shared" si="13"/>
        <v>352.57273101979126</v>
      </c>
      <c r="P90" s="304">
        <f t="shared" si="9"/>
        <v>274.6980990967844</v>
      </c>
      <c r="Q90" s="277"/>
      <c r="R90" s="281"/>
      <c r="S90" s="281"/>
      <c r="T90" s="281"/>
      <c r="U90" s="281"/>
      <c r="V90" s="281"/>
      <c r="W90" s="281"/>
      <c r="X90" s="281"/>
      <c r="Y90" s="281"/>
      <c r="Z90" s="281"/>
      <c r="AA90" s="281"/>
      <c r="AB90" s="281"/>
      <c r="AC90" s="281"/>
      <c r="AD90" s="281"/>
    </row>
    <row r="91" spans="1:30" s="288" customFormat="1" x14ac:dyDescent="0.25">
      <c r="A91" s="287"/>
      <c r="B91" s="274">
        <f t="shared" si="10"/>
        <v>76</v>
      </c>
      <c r="C91" s="304">
        <f t="shared" ca="1" si="11"/>
        <v>-159.60741802721168</v>
      </c>
      <c r="D91" s="304">
        <f ca="1">IF(ROUND(E90,0)&lt;&gt;0, IF(ROUND(D90,0)&lt;&gt;0, 'Career Comparison'!$F$28-C91, 0), 0)</f>
        <v>407.40246567447912</v>
      </c>
      <c r="E91" s="304">
        <f ca="1">IF(G$7&gt;=B91, E90*(1+'Government Figures'!$D$8/12)-'Career Comparison'!$F$28, 0)</f>
        <v>110020.9464763088</v>
      </c>
      <c r="F91" s="312">
        <f>'College Schedule'!$L$8*(1+'Government Figures'!$B$8/12)^B91</f>
        <v>2313.7163705794733</v>
      </c>
      <c r="G91" s="278">
        <v>1</v>
      </c>
      <c r="H91" s="279">
        <f t="shared" ca="1" si="14"/>
        <v>0.17320110972991043</v>
      </c>
      <c r="I91" s="304">
        <f>G91*('College Schedule'!$L$9)*(1+'Government Figures'!$B$8/12)^B91</f>
        <v>5152.5357330022016</v>
      </c>
      <c r="J91" s="304">
        <f t="shared" ca="1" si="12"/>
        <v>1698.5994078964623</v>
      </c>
      <c r="K91" s="304">
        <f t="shared" ca="1" si="8"/>
        <v>1319.0238912659884</v>
      </c>
      <c r="L91" s="278">
        <v>1</v>
      </c>
      <c r="M91" s="279">
        <f t="shared" si="15"/>
        <v>0.13735784313725496</v>
      </c>
      <c r="N91" s="304">
        <f>L91*('College Schedule'!$L$10)*(1+'Government Figures'!$B$8/12)^B91</f>
        <v>3091.5214398013218</v>
      </c>
      <c r="O91" s="304">
        <f t="shared" si="13"/>
        <v>353.16035223815788</v>
      </c>
      <c r="P91" s="304">
        <f t="shared" si="9"/>
        <v>274.2417899620724</v>
      </c>
      <c r="Q91" s="277"/>
      <c r="R91" s="281"/>
      <c r="S91" s="281"/>
      <c r="T91" s="281"/>
      <c r="U91" s="281"/>
      <c r="V91" s="281"/>
      <c r="W91" s="281"/>
      <c r="X91" s="281"/>
      <c r="Y91" s="281"/>
      <c r="Z91" s="281"/>
      <c r="AA91" s="281"/>
      <c r="AB91" s="281"/>
      <c r="AC91" s="281"/>
      <c r="AD91" s="281"/>
    </row>
    <row r="92" spans="1:30" s="288" customFormat="1" x14ac:dyDescent="0.25">
      <c r="A92" s="287"/>
      <c r="B92" s="274">
        <f t="shared" si="10"/>
        <v>77</v>
      </c>
      <c r="C92" s="304">
        <f t="shared" ca="1" si="11"/>
        <v>-160.19929553572729</v>
      </c>
      <c r="D92" s="304">
        <f ca="1">IF(ROUND(E91,0)&lt;&gt;0, IF(ROUND(D91,0)&lt;&gt;0, 'Career Comparison'!$F$28-C92, 0), 0)</f>
        <v>407.99434318299473</v>
      </c>
      <c r="E92" s="304">
        <f ca="1">IF(G$7&gt;=B92, E91*(1+'Government Figures'!$D$8/12)-'Career Comparison'!$F$28, 0)</f>
        <v>110181.14577184453</v>
      </c>
      <c r="F92" s="312">
        <f>'College Schedule'!$L$8*(1+'Government Figures'!$B$8/12)^B92</f>
        <v>2317.5725645304396</v>
      </c>
      <c r="G92" s="278">
        <v>1</v>
      </c>
      <c r="H92" s="279">
        <f t="shared" ca="1" si="14"/>
        <v>0.17320110972991043</v>
      </c>
      <c r="I92" s="304">
        <f>G92*('College Schedule'!$L$9)*(1+'Government Figures'!$B$8/12)^B92</f>
        <v>5161.1232925572058</v>
      </c>
      <c r="J92" s="304">
        <f t="shared" ca="1" si="12"/>
        <v>1701.8433986557011</v>
      </c>
      <c r="K92" s="304">
        <f t="shared" ca="1" si="8"/>
        <v>1317.1524592524177</v>
      </c>
      <c r="L92" s="278">
        <v>1</v>
      </c>
      <c r="M92" s="279">
        <f t="shared" si="15"/>
        <v>0.13735784313725496</v>
      </c>
      <c r="N92" s="304">
        <f>L92*('College Schedule'!$L$10)*(1+'Government Figures'!$B$8/12)^B92</f>
        <v>3096.6739755343242</v>
      </c>
      <c r="O92" s="304">
        <f t="shared" si="13"/>
        <v>353.74895282522129</v>
      </c>
      <c r="P92" s="304">
        <f t="shared" si="9"/>
        <v>273.78623881595587</v>
      </c>
      <c r="Q92" s="277"/>
      <c r="R92" s="281"/>
      <c r="S92" s="281"/>
      <c r="T92" s="281"/>
      <c r="U92" s="281"/>
      <c r="V92" s="281"/>
      <c r="W92" s="281"/>
      <c r="X92" s="281"/>
      <c r="Y92" s="281"/>
      <c r="Z92" s="281"/>
      <c r="AA92" s="281"/>
      <c r="AB92" s="281"/>
      <c r="AC92" s="281"/>
      <c r="AD92" s="281"/>
    </row>
    <row r="93" spans="1:30" s="288" customFormat="1" x14ac:dyDescent="0.25">
      <c r="A93" s="287"/>
      <c r="B93" s="274">
        <f t="shared" si="10"/>
        <v>78</v>
      </c>
      <c r="C93" s="304">
        <f t="shared" ca="1" si="11"/>
        <v>-160.79336792333925</v>
      </c>
      <c r="D93" s="304">
        <f ca="1">IF(ROUND(E92,0)&lt;&gt;0, IF(ROUND(D92,0)&lt;&gt;0, 'Career Comparison'!$F$28-C93, 0), 0)</f>
        <v>408.58841557060668</v>
      </c>
      <c r="E93" s="304">
        <f ca="1">IF(G$7&gt;=B93, E92*(1+'Government Figures'!$D$8/12)-'Career Comparison'!$F$28, 0)</f>
        <v>110341.93913976787</v>
      </c>
      <c r="F93" s="312">
        <f>'College Schedule'!$L$8*(1+'Government Figures'!$B$8/12)^B93</f>
        <v>2321.4351854713236</v>
      </c>
      <c r="G93" s="278">
        <v>1</v>
      </c>
      <c r="H93" s="279">
        <f t="shared" ca="1" si="14"/>
        <v>0.17320110972991043</v>
      </c>
      <c r="I93" s="304">
        <f>G93*('College Schedule'!$L$9)*(1+'Government Figures'!$B$8/12)^B93</f>
        <v>5169.7251647114681</v>
      </c>
      <c r="J93" s="304">
        <f t="shared" ca="1" si="12"/>
        <v>1705.0927960662066</v>
      </c>
      <c r="K93" s="304">
        <f t="shared" ca="1" si="8"/>
        <v>1315.2830740110523</v>
      </c>
      <c r="L93" s="278">
        <v>1</v>
      </c>
      <c r="M93" s="279">
        <f t="shared" si="15"/>
        <v>0.13735784313725496</v>
      </c>
      <c r="N93" s="304">
        <f>L93*('College Schedule'!$L$10)*(1+'Government Figures'!$B$8/12)^B93</f>
        <v>3101.8350988268817</v>
      </c>
      <c r="O93" s="304">
        <f t="shared" si="13"/>
        <v>354.33853441326346</v>
      </c>
      <c r="P93" s="304">
        <f t="shared" si="9"/>
        <v>273.33144439931812</v>
      </c>
      <c r="Q93" s="277"/>
      <c r="R93" s="281"/>
      <c r="S93" s="281"/>
      <c r="T93" s="281"/>
      <c r="U93" s="281"/>
      <c r="V93" s="281"/>
      <c r="W93" s="281"/>
      <c r="X93" s="281"/>
      <c r="Y93" s="281"/>
      <c r="Z93" s="281"/>
      <c r="AA93" s="281"/>
      <c r="AB93" s="281"/>
      <c r="AC93" s="281"/>
      <c r="AD93" s="281"/>
    </row>
    <row r="94" spans="1:30" s="288" customFormat="1" x14ac:dyDescent="0.25">
      <c r="A94" s="287"/>
      <c r="B94" s="274">
        <f t="shared" si="10"/>
        <v>79</v>
      </c>
      <c r="C94" s="304">
        <f t="shared" ca="1" si="11"/>
        <v>-161.38964332938485</v>
      </c>
      <c r="D94" s="304">
        <f ca="1">IF(ROUND(E93,0)&lt;&gt;0, IF(ROUND(D93,0)&lt;&gt;0, 'Career Comparison'!$F$28-C94, 0), 0)</f>
        <v>409.18469097665229</v>
      </c>
      <c r="E94" s="304">
        <f ca="1">IF(G$7&gt;=B94, E93*(1+'Government Figures'!$D$8/12)-'Career Comparison'!$F$28, 0)</f>
        <v>110503.32878309725</v>
      </c>
      <c r="F94" s="312">
        <f>'College Schedule'!$L$8*(1+'Government Figures'!$B$8/12)^B94</f>
        <v>2325.3042441137759</v>
      </c>
      <c r="G94" s="278">
        <v>1</v>
      </c>
      <c r="H94" s="279">
        <f t="shared" ca="1" si="14"/>
        <v>0.17320110972991043</v>
      </c>
      <c r="I94" s="304">
        <f>G94*('College Schedule'!$L$9)*(1+'Government Figures'!$B$8/12)^B94</f>
        <v>5178.3413733193211</v>
      </c>
      <c r="J94" s="304">
        <f t="shared" ca="1" si="12"/>
        <v>1708.3476091390626</v>
      </c>
      <c r="K94" s="304">
        <f t="shared" ca="1" si="8"/>
        <v>1313.4157356699066</v>
      </c>
      <c r="L94" s="278">
        <v>1</v>
      </c>
      <c r="M94" s="279">
        <f t="shared" si="15"/>
        <v>0.13735784313725496</v>
      </c>
      <c r="N94" s="304">
        <f>L94*('College Schedule'!$L$10)*(1+'Government Figures'!$B$8/12)^B94</f>
        <v>3107.0048239915927</v>
      </c>
      <c r="O94" s="304">
        <f t="shared" si="13"/>
        <v>354.92909863728528</v>
      </c>
      <c r="P94" s="304">
        <f t="shared" si="9"/>
        <v>272.87740545513293</v>
      </c>
      <c r="Q94" s="277"/>
      <c r="R94" s="281"/>
      <c r="S94" s="281"/>
      <c r="T94" s="281"/>
      <c r="U94" s="281"/>
      <c r="V94" s="281"/>
      <c r="W94" s="281"/>
      <c r="X94" s="281"/>
      <c r="Y94" s="281"/>
      <c r="Z94" s="281"/>
      <c r="AA94" s="281"/>
      <c r="AB94" s="281"/>
      <c r="AC94" s="281"/>
      <c r="AD94" s="281"/>
    </row>
    <row r="95" spans="1:30" s="288" customFormat="1" x14ac:dyDescent="0.25">
      <c r="A95" s="287"/>
      <c r="B95" s="274">
        <f t="shared" si="10"/>
        <v>80</v>
      </c>
      <c r="C95" s="304">
        <f t="shared" ca="1" si="11"/>
        <v>-161.98812992339663</v>
      </c>
      <c r="D95" s="304">
        <f ca="1">IF(ROUND(E94,0)&lt;&gt;0, IF(ROUND(D94,0)&lt;&gt;0, 'Career Comparison'!$F$28-C95, 0), 0)</f>
        <v>409.78317757066407</v>
      </c>
      <c r="E95" s="304">
        <f ca="1">IF(G$7&gt;=B95, E94*(1+'Government Figures'!$D$8/12)-'Career Comparison'!$F$28, 0)</f>
        <v>110665.31691302065</v>
      </c>
      <c r="F95" s="312">
        <f>'College Schedule'!$L$8*(1+'Government Figures'!$B$8/12)^B95</f>
        <v>2329.1797511872992</v>
      </c>
      <c r="G95" s="278">
        <v>1</v>
      </c>
      <c r="H95" s="279">
        <f t="shared" ca="1" si="14"/>
        <v>0.17320110972991043</v>
      </c>
      <c r="I95" s="304">
        <f>G95*('College Schedule'!$L$9)*(1+'Government Figures'!$B$8/12)^B95</f>
        <v>5186.971942274854</v>
      </c>
      <c r="J95" s="304">
        <f t="shared" ca="1" si="12"/>
        <v>1711.6078469003737</v>
      </c>
      <c r="K95" s="304">
        <f t="shared" ca="1" si="8"/>
        <v>1311.5504443450641</v>
      </c>
      <c r="L95" s="278">
        <v>1</v>
      </c>
      <c r="M95" s="279">
        <f t="shared" si="15"/>
        <v>0.13735784313725496</v>
      </c>
      <c r="N95" s="304">
        <f>L95*('College Schedule'!$L$10)*(1+'Government Figures'!$B$8/12)^B95</f>
        <v>3112.1831653649128</v>
      </c>
      <c r="O95" s="304">
        <f t="shared" si="13"/>
        <v>355.52064713501431</v>
      </c>
      <c r="P95" s="304">
        <f t="shared" si="9"/>
        <v>272.42412072846344</v>
      </c>
      <c r="Q95" s="277"/>
      <c r="R95" s="281"/>
      <c r="S95" s="281"/>
      <c r="T95" s="281"/>
      <c r="U95" s="281"/>
      <c r="V95" s="281"/>
      <c r="W95" s="281"/>
      <c r="X95" s="281"/>
      <c r="Y95" s="281"/>
      <c r="Z95" s="281"/>
      <c r="AA95" s="281"/>
      <c r="AB95" s="281"/>
      <c r="AC95" s="281"/>
      <c r="AD95" s="281"/>
    </row>
    <row r="96" spans="1:30" s="288" customFormat="1" x14ac:dyDescent="0.25">
      <c r="A96" s="287"/>
      <c r="B96" s="274">
        <f t="shared" si="10"/>
        <v>81</v>
      </c>
      <c r="C96" s="304">
        <f t="shared" ca="1" si="11"/>
        <v>-162.58883590520418</v>
      </c>
      <c r="D96" s="304">
        <f ca="1">IF(ROUND(E95,0)&lt;&gt;0, IF(ROUND(D95,0)&lt;&gt;0, 'Career Comparison'!$F$28-C96, 0), 0)</f>
        <v>410.38388355247162</v>
      </c>
      <c r="E96" s="304">
        <f ca="1">IF(G$7&gt;=B96, E95*(1+'Government Figures'!$D$8/12)-'Career Comparison'!$F$28, 0)</f>
        <v>110827.90574892586</v>
      </c>
      <c r="F96" s="312">
        <f>'College Schedule'!$L$8*(1+'Government Figures'!$B$8/12)^B96</f>
        <v>2333.0617174392778</v>
      </c>
      <c r="G96" s="278">
        <v>1</v>
      </c>
      <c r="H96" s="279">
        <f t="shared" ca="1" si="14"/>
        <v>0.17320110972991043</v>
      </c>
      <c r="I96" s="304">
        <f>G96*('College Schedule'!$L$9)*(1+'Government Figures'!$B$8/12)^B96</f>
        <v>5195.6168955119783</v>
      </c>
      <c r="J96" s="304">
        <f t="shared" ca="1" si="12"/>
        <v>1714.8735183912868</v>
      </c>
      <c r="K96" s="304">
        <f t="shared" ca="1" si="8"/>
        <v>1309.6872001407312</v>
      </c>
      <c r="L96" s="278">
        <v>1</v>
      </c>
      <c r="M96" s="279">
        <f t="shared" si="15"/>
        <v>0.13735784313725496</v>
      </c>
      <c r="N96" s="304">
        <f>L96*('College Schedule'!$L$10)*(1+'Government Figures'!$B$8/12)^B96</f>
        <v>3117.3701373071876</v>
      </c>
      <c r="O96" s="304">
        <f t="shared" si="13"/>
        <v>356.11318154690616</v>
      </c>
      <c r="P96" s="304">
        <f t="shared" si="9"/>
        <v>271.97158896645607</v>
      </c>
      <c r="Q96" s="277"/>
      <c r="R96" s="281"/>
      <c r="S96" s="281"/>
      <c r="T96" s="281"/>
      <c r="U96" s="281"/>
      <c r="V96" s="281"/>
      <c r="W96" s="281"/>
      <c r="X96" s="281"/>
      <c r="Y96" s="281"/>
      <c r="Z96" s="281"/>
      <c r="AA96" s="281"/>
      <c r="AB96" s="281"/>
      <c r="AC96" s="281"/>
      <c r="AD96" s="281"/>
    </row>
    <row r="97" spans="1:30" s="288" customFormat="1" x14ac:dyDescent="0.25">
      <c r="A97" s="287"/>
      <c r="B97" s="274">
        <f t="shared" si="10"/>
        <v>82</v>
      </c>
      <c r="C97" s="304">
        <f t="shared" ca="1" si="11"/>
        <v>-163.19176950502151</v>
      </c>
      <c r="D97" s="304">
        <f ca="1">IF(ROUND(E96,0)&lt;&gt;0, IF(ROUND(D96,0)&lt;&gt;0, 'Career Comparison'!$F$28-C97, 0), 0)</f>
        <v>410.98681715228895</v>
      </c>
      <c r="E97" s="304">
        <f ca="1">IF(G$7&gt;=B97, E96*(1+'Government Figures'!$D$8/12)-'Career Comparison'!$F$28, 0)</f>
        <v>110991.09751843088</v>
      </c>
      <c r="F97" s="312">
        <f>'College Schedule'!$L$8*(1+'Government Figures'!$B$8/12)^B97</f>
        <v>2336.9501536350103</v>
      </c>
      <c r="G97" s="278">
        <v>1</v>
      </c>
      <c r="H97" s="279">
        <f t="shared" ca="1" si="14"/>
        <v>0.17320110972991043</v>
      </c>
      <c r="I97" s="304">
        <f>G97*('College Schedule'!$L$9)*(1+'Government Figures'!$B$8/12)^B97</f>
        <v>5204.2762570044988</v>
      </c>
      <c r="J97" s="304">
        <f t="shared" ca="1" si="12"/>
        <v>1718.144632668017</v>
      </c>
      <c r="K97" s="304">
        <f t="shared" ca="1" si="8"/>
        <v>1307.8260031492991</v>
      </c>
      <c r="L97" s="278">
        <v>1</v>
      </c>
      <c r="M97" s="279">
        <f t="shared" si="15"/>
        <v>0.13735784313725496</v>
      </c>
      <c r="N97" s="304">
        <f>L97*('College Schedule'!$L$10)*(1+'Government Figures'!$B$8/12)^B97</f>
        <v>3122.5657542026997</v>
      </c>
      <c r="O97" s="304">
        <f t="shared" si="13"/>
        <v>356.70670351615081</v>
      </c>
      <c r="P97" s="304">
        <f t="shared" si="9"/>
        <v>271.51980891833887</v>
      </c>
      <c r="Q97" s="277"/>
      <c r="R97" s="281"/>
      <c r="S97" s="281"/>
      <c r="T97" s="281"/>
      <c r="U97" s="281"/>
      <c r="V97" s="281"/>
      <c r="W97" s="281"/>
      <c r="X97" s="281"/>
      <c r="Y97" s="281"/>
      <c r="Z97" s="281"/>
      <c r="AA97" s="281"/>
      <c r="AB97" s="281"/>
      <c r="AC97" s="281"/>
      <c r="AD97" s="281"/>
    </row>
    <row r="98" spans="1:30" s="288" customFormat="1" x14ac:dyDescent="0.25">
      <c r="A98" s="287"/>
      <c r="B98" s="274">
        <f t="shared" si="10"/>
        <v>83</v>
      </c>
      <c r="C98" s="304">
        <f t="shared" ca="1" si="11"/>
        <v>-163.79693898359255</v>
      </c>
      <c r="D98" s="304">
        <f ca="1">IF(ROUND(E97,0)&lt;&gt;0, IF(ROUND(D97,0)&lt;&gt;0, 'Career Comparison'!$F$28-C98, 0), 0)</f>
        <v>411.59198663085999</v>
      </c>
      <c r="E98" s="304">
        <f ca="1">IF(G$7&gt;=B98, E97*(1+'Government Figures'!$D$8/12)-'Career Comparison'!$F$28, 0)</f>
        <v>111154.89445741447</v>
      </c>
      <c r="F98" s="312">
        <f>'College Schedule'!$L$8*(1+'Government Figures'!$B$8/12)^B98</f>
        <v>2340.8450705577357</v>
      </c>
      <c r="G98" s="278">
        <v>1</v>
      </c>
      <c r="H98" s="279">
        <f t="shared" ca="1" si="14"/>
        <v>0.17320110972991043</v>
      </c>
      <c r="I98" s="304">
        <f>G98*('College Schedule'!$L$9)*(1+'Government Figures'!$B$8/12)^B98</f>
        <v>5212.9500507661742</v>
      </c>
      <c r="J98" s="304">
        <f t="shared" ca="1" si="12"/>
        <v>1721.4211988018769</v>
      </c>
      <c r="K98" s="304">
        <f t="shared" ca="1" si="8"/>
        <v>1305.966853451403</v>
      </c>
      <c r="L98" s="278">
        <v>1</v>
      </c>
      <c r="M98" s="279">
        <f t="shared" si="15"/>
        <v>0.13735784313725496</v>
      </c>
      <c r="N98" s="304">
        <f>L98*('College Schedule'!$L$10)*(1+'Government Figures'!$B$8/12)^B98</f>
        <v>3127.7700304597047</v>
      </c>
      <c r="O98" s="304">
        <f t="shared" si="13"/>
        <v>357.30121468867765</v>
      </c>
      <c r="P98" s="304">
        <f t="shared" si="9"/>
        <v>271.06877933541796</v>
      </c>
      <c r="Q98" s="277"/>
      <c r="R98" s="281"/>
      <c r="S98" s="281"/>
      <c r="T98" s="281"/>
      <c r="U98" s="281"/>
      <c r="V98" s="281"/>
      <c r="W98" s="281"/>
      <c r="X98" s="281"/>
      <c r="Y98" s="281"/>
      <c r="Z98" s="281"/>
      <c r="AA98" s="281"/>
      <c r="AB98" s="281"/>
      <c r="AC98" s="281"/>
      <c r="AD98" s="281"/>
    </row>
    <row r="99" spans="1:30" s="288" customFormat="1" x14ac:dyDescent="0.25">
      <c r="A99" s="287"/>
      <c r="B99" s="274">
        <f t="shared" si="10"/>
        <v>84</v>
      </c>
      <c r="C99" s="304">
        <f t="shared" ca="1" si="11"/>
        <v>-164.40435263232212</v>
      </c>
      <c r="D99" s="304">
        <f ca="1">IF(ROUND(E98,0)&lt;&gt;0, IF(ROUND(D98,0)&lt;&gt;0, 'Career Comparison'!$F$28-C99, 0), 0)</f>
        <v>412.19940027958955</v>
      </c>
      <c r="E99" s="304">
        <f ca="1">IF(G$7&gt;=B99, E98*(1+'Government Figures'!$D$8/12)-'Career Comparison'!$F$28, 0)</f>
        <v>111319.29881004679</v>
      </c>
      <c r="F99" s="312">
        <f>'College Schedule'!$L$8*(1+'Government Figures'!$B$8/12)^B99</f>
        <v>2344.7464790086656</v>
      </c>
      <c r="G99" s="278">
        <v>1</v>
      </c>
      <c r="H99" s="279">
        <f t="shared" ca="1" si="14"/>
        <v>0.17320110972991043</v>
      </c>
      <c r="I99" s="304">
        <f>G99*('College Schedule'!$L$9)*(1+'Government Figures'!$B$8/12)^B99</f>
        <v>5221.6383008507846</v>
      </c>
      <c r="J99" s="304">
        <f t="shared" ca="1" si="12"/>
        <v>1724.7032258792915</v>
      </c>
      <c r="K99" s="304">
        <f t="shared" ca="1" si="8"/>
        <v>1304.1097511159746</v>
      </c>
      <c r="L99" s="278">
        <v>1</v>
      </c>
      <c r="M99" s="279">
        <f t="shared" si="15"/>
        <v>0.13735784313725496</v>
      </c>
      <c r="N99" s="304">
        <f>L99*('College Schedule'!$L$10)*(1+'Government Figures'!$B$8/12)^B99</f>
        <v>3132.9829805104714</v>
      </c>
      <c r="O99" s="304">
        <f t="shared" si="13"/>
        <v>357.89671671315909</v>
      </c>
      <c r="P99" s="304">
        <f t="shared" si="9"/>
        <v>270.61849897107362</v>
      </c>
      <c r="Q99" s="277"/>
      <c r="R99" s="281"/>
      <c r="S99" s="281"/>
      <c r="T99" s="281"/>
      <c r="U99" s="281"/>
      <c r="V99" s="281"/>
      <c r="W99" s="281"/>
      <c r="X99" s="281"/>
      <c r="Y99" s="281"/>
      <c r="Z99" s="281"/>
      <c r="AA99" s="281"/>
      <c r="AB99" s="281"/>
      <c r="AC99" s="281"/>
      <c r="AD99" s="281"/>
    </row>
    <row r="100" spans="1:30" s="288" customFormat="1" x14ac:dyDescent="0.25">
      <c r="A100" s="287"/>
      <c r="B100" s="274">
        <f t="shared" si="10"/>
        <v>85</v>
      </c>
      <c r="C100" s="304">
        <f t="shared" ca="1" si="11"/>
        <v>-165.0140187733341</v>
      </c>
      <c r="D100" s="304">
        <f ca="1">IF(ROUND(E99,0)&lt;&gt;0, IF(ROUND(D99,0)&lt;&gt;0, 'Career Comparison'!$F$28-C100, 0), 0)</f>
        <v>412.80906642060154</v>
      </c>
      <c r="E100" s="304">
        <f ca="1">IF(G$7&gt;=B100, E99*(1+'Government Figures'!$D$8/12)-'Career Comparison'!$F$28, 0)</f>
        <v>111484.31282882013</v>
      </c>
      <c r="F100" s="312">
        <f>'College Schedule'!$L$8*(1+'Government Figures'!$B$8/12)^B100</f>
        <v>2348.6543898070136</v>
      </c>
      <c r="G100" s="278">
        <v>1</v>
      </c>
      <c r="H100" s="279">
        <f t="shared" ca="1" si="14"/>
        <v>0.17320110972991043</v>
      </c>
      <c r="I100" s="304">
        <f>G100*('College Schedule'!$L$9)*(1+'Government Figures'!$B$8/12)^B100</f>
        <v>5230.3410313522036</v>
      </c>
      <c r="J100" s="304">
        <f t="shared" ca="1" si="12"/>
        <v>1727.9907230018371</v>
      </c>
      <c r="K100" s="304">
        <f t="shared" ca="1" si="8"/>
        <v>1302.2546962003084</v>
      </c>
      <c r="L100" s="278">
        <v>1</v>
      </c>
      <c r="M100" s="279">
        <f t="shared" si="15"/>
        <v>0.13735784313725496</v>
      </c>
      <c r="N100" s="304">
        <f>L100*('College Schedule'!$L$10)*(1+'Government Figures'!$B$8/12)^B100</f>
        <v>3138.2046188113227</v>
      </c>
      <c r="O100" s="304">
        <f t="shared" si="13"/>
        <v>358.49321124101425</v>
      </c>
      <c r="P100" s="304">
        <f t="shared" si="9"/>
        <v>270.16896658075615</v>
      </c>
      <c r="Q100" s="277"/>
      <c r="R100" s="281"/>
      <c r="S100" s="281"/>
      <c r="T100" s="281"/>
      <c r="U100" s="281"/>
      <c r="V100" s="281"/>
      <c r="W100" s="281"/>
      <c r="X100" s="281"/>
      <c r="Y100" s="281"/>
      <c r="Z100" s="281"/>
      <c r="AA100" s="281"/>
      <c r="AB100" s="281"/>
      <c r="AC100" s="281"/>
      <c r="AD100" s="281"/>
    </row>
    <row r="101" spans="1:30" s="288" customFormat="1" x14ac:dyDescent="0.25">
      <c r="A101" s="287"/>
      <c r="B101" s="274">
        <f t="shared" si="10"/>
        <v>86</v>
      </c>
      <c r="C101" s="304">
        <f t="shared" ca="1" si="11"/>
        <v>-165.62594575961703</v>
      </c>
      <c r="D101" s="304">
        <f ca="1">IF(ROUND(E100,0)&lt;&gt;0, IF(ROUND(D100,0)&lt;&gt;0, 'Career Comparison'!$F$28-C101, 0), 0)</f>
        <v>413.42099340688446</v>
      </c>
      <c r="E101" s="304">
        <f ca="1">IF(G$7&gt;=B101, E100*(1+'Government Figures'!$D$8/12)-'Career Comparison'!$F$28, 0)</f>
        <v>111649.93877457974</v>
      </c>
      <c r="F101" s="312">
        <f>'College Schedule'!$L$8*(1+'Government Figures'!$B$8/12)^B101</f>
        <v>2352.5688137900247</v>
      </c>
      <c r="G101" s="278">
        <v>1</v>
      </c>
      <c r="H101" s="279">
        <f t="shared" ca="1" si="14"/>
        <v>0.17320110972991043</v>
      </c>
      <c r="I101" s="304">
        <f>G101*('College Schedule'!$L$9)*(1+'Government Figures'!$B$8/12)^B101</f>
        <v>5239.0582664044559</v>
      </c>
      <c r="J101" s="304">
        <f t="shared" ca="1" si="12"/>
        <v>1731.2836992862512</v>
      </c>
      <c r="K101" s="304">
        <f t="shared" ca="1" si="8"/>
        <v>1300.401688750108</v>
      </c>
      <c r="L101" s="278">
        <v>1</v>
      </c>
      <c r="M101" s="279">
        <f t="shared" si="15"/>
        <v>0.13735784313725496</v>
      </c>
      <c r="N101" s="304">
        <f>L101*('College Schedule'!$L$10)*(1+'Government Figures'!$B$8/12)^B101</f>
        <v>3143.4349598426743</v>
      </c>
      <c r="O101" s="304">
        <f t="shared" si="13"/>
        <v>359.09069992641616</v>
      </c>
      <c r="P101" s="304">
        <f t="shared" si="9"/>
        <v>269.72018092198425</v>
      </c>
      <c r="Q101" s="277"/>
      <c r="R101" s="281"/>
      <c r="S101" s="281"/>
      <c r="T101" s="281"/>
      <c r="U101" s="281"/>
      <c r="V101" s="281"/>
      <c r="W101" s="281"/>
      <c r="X101" s="281"/>
      <c r="Y101" s="281"/>
      <c r="Z101" s="281"/>
      <c r="AA101" s="281"/>
      <c r="AB101" s="281"/>
      <c r="AC101" s="281"/>
      <c r="AD101" s="281"/>
    </row>
    <row r="102" spans="1:30" s="288" customFormat="1" x14ac:dyDescent="0.25">
      <c r="A102" s="287"/>
      <c r="B102" s="274">
        <f t="shared" si="10"/>
        <v>87</v>
      </c>
      <c r="C102" s="304">
        <f t="shared" ca="1" si="11"/>
        <v>-166.24014197515498</v>
      </c>
      <c r="D102" s="304">
        <f ca="1">IF(ROUND(E101,0)&lt;&gt;0, IF(ROUND(D101,0)&lt;&gt;0, 'Career Comparison'!$F$28-C102, 0), 0)</f>
        <v>414.03518962242242</v>
      </c>
      <c r="E102" s="304">
        <f ca="1">IF(G$7&gt;=B102, E101*(1+'Government Figures'!$D$8/12)-'Career Comparison'!$F$28, 0)</f>
        <v>111816.1789165549</v>
      </c>
      <c r="F102" s="312">
        <f>'College Schedule'!$L$8*(1+'Government Figures'!$B$8/12)^B102</f>
        <v>2356.489761813009</v>
      </c>
      <c r="G102" s="278">
        <v>1</v>
      </c>
      <c r="H102" s="279">
        <f t="shared" ca="1" si="14"/>
        <v>0.17320110972991043</v>
      </c>
      <c r="I102" s="304">
        <f>G102*('College Schedule'!$L$9)*(1+'Government Figures'!$B$8/12)^B102</f>
        <v>5247.7900301817981</v>
      </c>
      <c r="J102" s="304">
        <f t="shared" ca="1" si="12"/>
        <v>1734.5821638644743</v>
      </c>
      <c r="K102" s="304">
        <f t="shared" ca="1" si="8"/>
        <v>1298.5507287995574</v>
      </c>
      <c r="L102" s="278">
        <v>1</v>
      </c>
      <c r="M102" s="279">
        <f t="shared" si="15"/>
        <v>0.13735784313725496</v>
      </c>
      <c r="N102" s="304">
        <f>L102*('College Schedule'!$L$10)*(1+'Government Figures'!$B$8/12)^B102</f>
        <v>3148.6740181090795</v>
      </c>
      <c r="O102" s="304">
        <f t="shared" si="13"/>
        <v>359.6891844262932</v>
      </c>
      <c r="P102" s="304">
        <f t="shared" si="9"/>
        <v>269.27214075433949</v>
      </c>
      <c r="Q102" s="277"/>
      <c r="R102" s="281"/>
      <c r="S102" s="281"/>
      <c r="T102" s="281"/>
      <c r="U102" s="281"/>
      <c r="V102" s="281"/>
      <c r="W102" s="281"/>
      <c r="X102" s="281"/>
      <c r="Y102" s="281"/>
      <c r="Z102" s="281"/>
      <c r="AA102" s="281"/>
      <c r="AB102" s="281"/>
      <c r="AC102" s="281"/>
      <c r="AD102" s="281"/>
    </row>
    <row r="103" spans="1:30" s="288" customFormat="1" x14ac:dyDescent="0.25">
      <c r="A103" s="287"/>
      <c r="B103" s="274">
        <f t="shared" si="10"/>
        <v>88</v>
      </c>
      <c r="C103" s="304">
        <f t="shared" ca="1" si="11"/>
        <v>-166.85661583497131</v>
      </c>
      <c r="D103" s="304">
        <f ca="1">IF(ROUND(E102,0)&lt;&gt;0, IF(ROUND(D102,0)&lt;&gt;0, 'Career Comparison'!$F$28-C103, 0), 0)</f>
        <v>414.65166348223875</v>
      </c>
      <c r="E103" s="304">
        <f ca="1">IF(G$7&gt;=B103, E102*(1+'Government Figures'!$D$8/12)-'Career Comparison'!$F$28, 0)</f>
        <v>111983.03553238987</v>
      </c>
      <c r="F103" s="312">
        <f>'College Schedule'!$L$8*(1+'Government Figures'!$B$8/12)^B103</f>
        <v>2360.4172447493643</v>
      </c>
      <c r="G103" s="278">
        <v>1</v>
      </c>
      <c r="H103" s="279">
        <f t="shared" ca="1" si="14"/>
        <v>0.17320110972991043</v>
      </c>
      <c r="I103" s="304">
        <f>G103*('College Schedule'!$L$9)*(1+'Government Figures'!$B$8/12)^B103</f>
        <v>5256.5363468987689</v>
      </c>
      <c r="J103" s="304">
        <f t="shared" ca="1" si="12"/>
        <v>1737.8861258836614</v>
      </c>
      <c r="K103" s="304">
        <f t="shared" ca="1" si="8"/>
        <v>1296.7018163713672</v>
      </c>
      <c r="L103" s="278">
        <v>1</v>
      </c>
      <c r="M103" s="279">
        <f t="shared" si="15"/>
        <v>0.13735784313725496</v>
      </c>
      <c r="N103" s="304">
        <f>L103*('College Schedule'!$L$10)*(1+'Government Figures'!$B$8/12)^B103</f>
        <v>3153.9218081392619</v>
      </c>
      <c r="O103" s="304">
        <f t="shared" si="13"/>
        <v>360.28866640033721</v>
      </c>
      <c r="P103" s="304">
        <f t="shared" si="9"/>
        <v>268.82484483946536</v>
      </c>
      <c r="Q103" s="277"/>
      <c r="R103" s="281"/>
      <c r="S103" s="281"/>
      <c r="T103" s="281"/>
      <c r="U103" s="281"/>
      <c r="V103" s="281"/>
      <c r="W103" s="281"/>
      <c r="X103" s="281"/>
      <c r="Y103" s="281"/>
      <c r="Z103" s="281"/>
      <c r="AA103" s="281"/>
      <c r="AB103" s="281"/>
      <c r="AC103" s="281"/>
      <c r="AD103" s="281"/>
    </row>
    <row r="104" spans="1:30" s="288" customFormat="1" x14ac:dyDescent="0.25">
      <c r="A104" s="287"/>
      <c r="B104" s="274">
        <f t="shared" si="10"/>
        <v>89</v>
      </c>
      <c r="C104" s="304">
        <f t="shared" ca="1" si="11"/>
        <v>-167.47537578536139</v>
      </c>
      <c r="D104" s="304">
        <f ca="1">IF(ROUND(E103,0)&lt;&gt;0, IF(ROUND(D103,0)&lt;&gt;0, 'Career Comparison'!$F$28-C104, 0), 0)</f>
        <v>415.27042343262883</v>
      </c>
      <c r="E104" s="304">
        <f ca="1">IF(G$7&gt;=B104, E103*(1+'Government Figures'!$D$8/12)-'Career Comparison'!$F$28, 0)</f>
        <v>112150.51090817523</v>
      </c>
      <c r="F104" s="312">
        <f>'College Schedule'!$L$8*(1+'Government Figures'!$B$8/12)^B104</f>
        <v>2364.3512734906126</v>
      </c>
      <c r="G104" s="278">
        <v>1</v>
      </c>
      <c r="H104" s="279">
        <f t="shared" ca="1" si="14"/>
        <v>0.17320110972991043</v>
      </c>
      <c r="I104" s="304">
        <f>G104*('College Schedule'!$L$9)*(1+'Government Figures'!$B$8/12)^B104</f>
        <v>5265.297240810266</v>
      </c>
      <c r="J104" s="304">
        <f t="shared" ca="1" si="12"/>
        <v>1741.1955945062123</v>
      </c>
      <c r="K104" s="304">
        <f t="shared" ca="1" si="8"/>
        <v>1294.8549514768331</v>
      </c>
      <c r="L104" s="278">
        <v>1</v>
      </c>
      <c r="M104" s="279">
        <f t="shared" si="15"/>
        <v>0.13735784313725496</v>
      </c>
      <c r="N104" s="304">
        <f>L104*('College Schedule'!$L$10)*(1+'Government Figures'!$B$8/12)^B104</f>
        <v>3159.1783444861599</v>
      </c>
      <c r="O104" s="304">
        <f t="shared" si="13"/>
        <v>360.88914751100447</v>
      </c>
      <c r="P104" s="304">
        <f t="shared" si="9"/>
        <v>268.37829194106092</v>
      </c>
      <c r="Q104" s="277"/>
      <c r="R104" s="281"/>
      <c r="S104" s="281"/>
      <c r="T104" s="281"/>
      <c r="U104" s="281"/>
      <c r="V104" s="281"/>
      <c r="W104" s="281"/>
      <c r="X104" s="281"/>
      <c r="Y104" s="281"/>
      <c r="Z104" s="281"/>
      <c r="AA104" s="281"/>
      <c r="AB104" s="281"/>
      <c r="AC104" s="281"/>
      <c r="AD104" s="281"/>
    </row>
    <row r="105" spans="1:30" s="288" customFormat="1" x14ac:dyDescent="0.25">
      <c r="A105" s="287"/>
      <c r="B105" s="274">
        <f t="shared" si="10"/>
        <v>90</v>
      </c>
      <c r="C105" s="304">
        <f t="shared" ca="1" si="11"/>
        <v>-168.0964303038927</v>
      </c>
      <c r="D105" s="304">
        <f ca="1">IF(ROUND(E104,0)&lt;&gt;0, IF(ROUND(D104,0)&lt;&gt;0, 'Career Comparison'!$F$28-C105, 0), 0)</f>
        <v>415.89147795116014</v>
      </c>
      <c r="E105" s="304">
        <f ca="1">IF(G$7&gt;=B105, E104*(1+'Government Figures'!$D$8/12)-'Career Comparison'!$F$28, 0)</f>
        <v>112318.60733847912</v>
      </c>
      <c r="F105" s="312">
        <f>'College Schedule'!$L$8*(1+'Government Figures'!$B$8/12)^B105</f>
        <v>2368.2918589464307</v>
      </c>
      <c r="G105" s="278">
        <v>1</v>
      </c>
      <c r="H105" s="279">
        <f t="shared" ca="1" si="14"/>
        <v>0.17320110972991043</v>
      </c>
      <c r="I105" s="304">
        <f>G105*('College Schedule'!$L$9)*(1+'Government Figures'!$B$8/12)^B105</f>
        <v>5274.0727362116168</v>
      </c>
      <c r="J105" s="304">
        <f t="shared" ca="1" si="12"/>
        <v>1744.5105789098011</v>
      </c>
      <c r="K105" s="304">
        <f t="shared" ca="1" si="8"/>
        <v>1293.0101341158995</v>
      </c>
      <c r="L105" s="278">
        <v>1</v>
      </c>
      <c r="M105" s="279">
        <f t="shared" si="15"/>
        <v>0.13735784313725496</v>
      </c>
      <c r="N105" s="304">
        <f>L105*('College Schedule'!$L$10)*(1+'Government Figures'!$B$8/12)^B105</f>
        <v>3164.4436417269703</v>
      </c>
      <c r="O105" s="304">
        <f t="shared" si="13"/>
        <v>361.49062942352248</v>
      </c>
      <c r="P105" s="304">
        <f t="shared" si="9"/>
        <v>267.93248082487946</v>
      </c>
      <c r="Q105" s="277"/>
      <c r="R105" s="281"/>
      <c r="S105" s="281"/>
      <c r="T105" s="281"/>
      <c r="U105" s="281"/>
      <c r="V105" s="281"/>
      <c r="W105" s="281"/>
      <c r="X105" s="281"/>
      <c r="Y105" s="281"/>
      <c r="Z105" s="281"/>
      <c r="AA105" s="281"/>
      <c r="AB105" s="281"/>
      <c r="AC105" s="281"/>
      <c r="AD105" s="281"/>
    </row>
    <row r="106" spans="1:30" s="288" customFormat="1" x14ac:dyDescent="0.25">
      <c r="A106" s="287"/>
      <c r="B106" s="274">
        <f t="shared" si="10"/>
        <v>91</v>
      </c>
      <c r="C106" s="304">
        <f t="shared" ca="1" si="11"/>
        <v>-168.71978789960849</v>
      </c>
      <c r="D106" s="304">
        <f ca="1">IF(ROUND(E105,0)&lt;&gt;0, IF(ROUND(D105,0)&lt;&gt;0, 'Career Comparison'!$F$28-C106, 0), 0)</f>
        <v>416.51483554687593</v>
      </c>
      <c r="E106" s="304">
        <f ca="1">IF(G$7&gt;=B106, E105*(1+'Government Figures'!$D$8/12)-'Career Comparison'!$F$28, 0)</f>
        <v>112487.32712637873</v>
      </c>
      <c r="F106" s="312">
        <f>'College Schedule'!$L$8*(1+'Government Figures'!$B$8/12)^B106</f>
        <v>2372.2390120446748</v>
      </c>
      <c r="G106" s="278">
        <v>1</v>
      </c>
      <c r="H106" s="279">
        <f t="shared" ca="1" si="14"/>
        <v>0.17320110972991043</v>
      </c>
      <c r="I106" s="304">
        <f>G106*('College Schedule'!$L$9)*(1+'Government Figures'!$B$8/12)^B106</f>
        <v>5282.8628574386366</v>
      </c>
      <c r="J106" s="304">
        <f t="shared" ca="1" si="12"/>
        <v>1747.8310882873966</v>
      </c>
      <c r="K106" s="304">
        <f t="shared" ca="1" si="8"/>
        <v>1291.1673642772089</v>
      </c>
      <c r="L106" s="278">
        <v>1</v>
      </c>
      <c r="M106" s="279">
        <f t="shared" si="15"/>
        <v>0.13735784313725496</v>
      </c>
      <c r="N106" s="304">
        <f>L106*('College Schedule'!$L$10)*(1+'Government Figures'!$B$8/12)^B106</f>
        <v>3169.7177144631823</v>
      </c>
      <c r="O106" s="304">
        <f t="shared" si="13"/>
        <v>362.09311380589543</v>
      </c>
      <c r="P106" s="304">
        <f t="shared" si="9"/>
        <v>267.48741025872545</v>
      </c>
      <c r="Q106" s="277"/>
      <c r="R106" s="281"/>
      <c r="S106" s="281"/>
      <c r="T106" s="281"/>
      <c r="U106" s="281"/>
      <c r="V106" s="281"/>
      <c r="W106" s="281"/>
      <c r="X106" s="281"/>
      <c r="Y106" s="281"/>
      <c r="Z106" s="281"/>
      <c r="AA106" s="281"/>
      <c r="AB106" s="281"/>
      <c r="AC106" s="281"/>
      <c r="AD106" s="281"/>
    </row>
    <row r="107" spans="1:30" s="288" customFormat="1" x14ac:dyDescent="0.25">
      <c r="A107" s="287"/>
      <c r="B107" s="274">
        <f t="shared" si="10"/>
        <v>92</v>
      </c>
      <c r="C107" s="304">
        <f t="shared" ca="1" si="11"/>
        <v>-169.34545711307146</v>
      </c>
      <c r="D107" s="304">
        <f ca="1">IF(ROUND(E106,0)&lt;&gt;0, IF(ROUND(D106,0)&lt;&gt;0, 'Career Comparison'!$F$28-C107, 0), 0)</f>
        <v>417.1405047603389</v>
      </c>
      <c r="E107" s="304">
        <f ca="1">IF(G$7&gt;=B107, E106*(1+'Government Figures'!$D$8/12)-'Career Comparison'!$F$28, 0)</f>
        <v>112656.6725834918</v>
      </c>
      <c r="F107" s="312">
        <f>'College Schedule'!$L$8*(1+'Government Figures'!$B$8/12)^B107</f>
        <v>2376.1927437314162</v>
      </c>
      <c r="G107" s="278">
        <v>1</v>
      </c>
      <c r="H107" s="279">
        <f t="shared" ca="1" si="14"/>
        <v>0.17320110972991043</v>
      </c>
      <c r="I107" s="304">
        <f>G107*('College Schedule'!$L$9)*(1+'Government Figures'!$B$8/12)^B107</f>
        <v>5291.6676288677018</v>
      </c>
      <c r="J107" s="304">
        <f t="shared" ca="1" si="12"/>
        <v>1751.1571318472884</v>
      </c>
      <c r="K107" s="304">
        <f t="shared" ca="1" si="8"/>
        <v>1289.3266419381612</v>
      </c>
      <c r="L107" s="278">
        <v>1</v>
      </c>
      <c r="M107" s="279">
        <f t="shared" si="15"/>
        <v>0.13735784313725496</v>
      </c>
      <c r="N107" s="304">
        <f>L107*('College Schedule'!$L$10)*(1+'Government Figures'!$B$8/12)^B107</f>
        <v>3175.0005773206217</v>
      </c>
      <c r="O107" s="304">
        <f t="shared" si="13"/>
        <v>362.69660232890556</v>
      </c>
      <c r="P107" s="304">
        <f t="shared" si="9"/>
        <v>267.04307901244869</v>
      </c>
      <c r="Q107" s="277"/>
      <c r="R107" s="281"/>
      <c r="S107" s="281"/>
      <c r="T107" s="281"/>
      <c r="U107" s="281"/>
      <c r="V107" s="281"/>
      <c r="W107" s="281"/>
      <c r="X107" s="281"/>
      <c r="Y107" s="281"/>
      <c r="Z107" s="281"/>
      <c r="AA107" s="281"/>
      <c r="AB107" s="281"/>
      <c r="AC107" s="281"/>
      <c r="AD107" s="281"/>
    </row>
    <row r="108" spans="1:30" s="288" customFormat="1" x14ac:dyDescent="0.25">
      <c r="A108" s="287"/>
      <c r="B108" s="274">
        <f t="shared" si="10"/>
        <v>93</v>
      </c>
      <c r="C108" s="304">
        <f t="shared" ca="1" si="11"/>
        <v>-169.97344651652384</v>
      </c>
      <c r="D108" s="304">
        <f ca="1">IF(ROUND(E107,0)&lt;&gt;0, IF(ROUND(D107,0)&lt;&gt;0, 'Career Comparison'!$F$28-C108, 0), 0)</f>
        <v>417.76849416379127</v>
      </c>
      <c r="E108" s="304">
        <f ca="1">IF(G$7&gt;=B108, E107*(1+'Government Figures'!$D$8/12)-'Career Comparison'!$F$28, 0)</f>
        <v>112826.64603000833</v>
      </c>
      <c r="F108" s="312">
        <f>'College Schedule'!$L$8*(1+'Government Figures'!$B$8/12)^B108</f>
        <v>2380.1530649709689</v>
      </c>
      <c r="G108" s="278">
        <v>1</v>
      </c>
      <c r="H108" s="279">
        <f t="shared" ca="1" si="14"/>
        <v>0.17320110972991043</v>
      </c>
      <c r="I108" s="304">
        <f>G108*('College Schedule'!$L$9)*(1+'Government Figures'!$B$8/12)^B108</f>
        <v>5300.4870749158154</v>
      </c>
      <c r="J108" s="304">
        <f t="shared" ca="1" si="12"/>
        <v>1754.4887188131133</v>
      </c>
      <c r="K108" s="304">
        <f t="shared" ca="1" si="8"/>
        <v>1287.4879670649689</v>
      </c>
      <c r="L108" s="278">
        <v>1</v>
      </c>
      <c r="M108" s="279">
        <f t="shared" si="15"/>
        <v>0.13735784313725496</v>
      </c>
      <c r="N108" s="304">
        <f>L108*('College Schedule'!$L$10)*(1+'Government Figures'!$B$8/12)^B108</f>
        <v>3180.2922449494899</v>
      </c>
      <c r="O108" s="304">
        <f t="shared" si="13"/>
        <v>363.30109666612043</v>
      </c>
      <c r="P108" s="304">
        <f t="shared" si="9"/>
        <v>266.59948585794302</v>
      </c>
      <c r="Q108" s="277"/>
      <c r="R108" s="281"/>
      <c r="S108" s="281"/>
      <c r="T108" s="281"/>
      <c r="U108" s="281"/>
      <c r="V108" s="281"/>
      <c r="W108" s="281"/>
      <c r="X108" s="281"/>
      <c r="Y108" s="281"/>
      <c r="Z108" s="281"/>
      <c r="AA108" s="281"/>
      <c r="AB108" s="281"/>
      <c r="AC108" s="281"/>
      <c r="AD108" s="281"/>
    </row>
    <row r="109" spans="1:30" s="288" customFormat="1" x14ac:dyDescent="0.25">
      <c r="A109" s="287"/>
      <c r="B109" s="274">
        <f t="shared" si="10"/>
        <v>94</v>
      </c>
      <c r="C109" s="304">
        <f t="shared" ca="1" si="11"/>
        <v>-170.60376471403288</v>
      </c>
      <c r="D109" s="304">
        <f ca="1">IF(ROUND(E108,0)&lt;&gt;0, IF(ROUND(D108,0)&lt;&gt;0, 'Career Comparison'!$F$28-C109, 0), 0)</f>
        <v>418.39881236130032</v>
      </c>
      <c r="E109" s="304">
        <f ca="1">IF(G$7&gt;=B109, E108*(1+'Government Figures'!$D$8/12)-'Career Comparison'!$F$28, 0)</f>
        <v>112997.24979472236</v>
      </c>
      <c r="F109" s="312">
        <f>'College Schedule'!$L$8*(1+'Government Figures'!$B$8/12)^B109</f>
        <v>2384.1199867459204</v>
      </c>
      <c r="G109" s="278">
        <v>1</v>
      </c>
      <c r="H109" s="279">
        <f t="shared" ca="1" si="14"/>
        <v>0.17320110972991043</v>
      </c>
      <c r="I109" s="304">
        <f>G109*('College Schedule'!$L$9)*(1+'Government Figures'!$B$8/12)^B109</f>
        <v>5309.3212200406742</v>
      </c>
      <c r="J109" s="304">
        <f t="shared" ca="1" si="12"/>
        <v>1757.8258584238793</v>
      </c>
      <c r="K109" s="304">
        <f t="shared" ca="1" si="8"/>
        <v>1285.6513396127116</v>
      </c>
      <c r="L109" s="278">
        <v>1</v>
      </c>
      <c r="M109" s="279">
        <f t="shared" si="15"/>
        <v>0.13735784313725496</v>
      </c>
      <c r="N109" s="304">
        <f>L109*('College Schedule'!$L$10)*(1+'Government Figures'!$B$8/12)^B109</f>
        <v>3185.592732024405</v>
      </c>
      <c r="O109" s="304">
        <f t="shared" si="13"/>
        <v>363.90659849389704</v>
      </c>
      <c r="P109" s="304">
        <f t="shared" si="9"/>
        <v>266.15662956914224</v>
      </c>
      <c r="Q109" s="277"/>
      <c r="R109" s="281"/>
      <c r="S109" s="281"/>
      <c r="T109" s="281"/>
      <c r="U109" s="281"/>
      <c r="V109" s="281"/>
      <c r="W109" s="281"/>
      <c r="X109" s="281"/>
      <c r="Y109" s="281"/>
      <c r="Z109" s="281"/>
      <c r="AA109" s="281"/>
      <c r="AB109" s="281"/>
      <c r="AC109" s="281"/>
      <c r="AD109" s="281"/>
    </row>
    <row r="110" spans="1:30" s="288" customFormat="1" x14ac:dyDescent="0.25">
      <c r="A110" s="287"/>
      <c r="B110" s="274">
        <f t="shared" si="10"/>
        <v>95</v>
      </c>
      <c r="C110" s="304">
        <f t="shared" ca="1" si="11"/>
        <v>-171.23642034150544</v>
      </c>
      <c r="D110" s="304">
        <f ca="1">IF(ROUND(E109,0)&lt;&gt;0, IF(ROUND(D109,0)&lt;&gt;0, 'Career Comparison'!$F$28-C110, 0), 0)</f>
        <v>419.03146798877287</v>
      </c>
      <c r="E110" s="304">
        <f ca="1">IF(G$7&gt;=B110, E109*(1+'Government Figures'!$D$8/12)-'Career Comparison'!$F$28, 0)</f>
        <v>113168.48621506387</v>
      </c>
      <c r="F110" s="312">
        <f>'College Schedule'!$L$8*(1+'Government Figures'!$B$8/12)^B110</f>
        <v>2388.0935200571639</v>
      </c>
      <c r="G110" s="278">
        <v>1</v>
      </c>
      <c r="H110" s="279">
        <f t="shared" ca="1" si="14"/>
        <v>0.17320110972991043</v>
      </c>
      <c r="I110" s="304">
        <f>G110*('College Schedule'!$L$9)*(1+'Government Figures'!$B$8/12)^B110</f>
        <v>5318.1700887407424</v>
      </c>
      <c r="J110" s="304">
        <f t="shared" ca="1" si="12"/>
        <v>1761.1685599339985</v>
      </c>
      <c r="K110" s="304">
        <f t="shared" ca="1" si="8"/>
        <v>1283.8167595253981</v>
      </c>
      <c r="L110" s="278">
        <v>1</v>
      </c>
      <c r="M110" s="279">
        <f t="shared" si="15"/>
        <v>0.13735784313725496</v>
      </c>
      <c r="N110" s="304">
        <f>L110*('College Schedule'!$L$10)*(1+'Government Figures'!$B$8/12)^B110</f>
        <v>3190.9020532444461</v>
      </c>
      <c r="O110" s="304">
        <f t="shared" si="13"/>
        <v>364.51310949138679</v>
      </c>
      <c r="P110" s="304">
        <f t="shared" si="9"/>
        <v>265.71450892201733</v>
      </c>
      <c r="Q110" s="277"/>
      <c r="R110" s="281"/>
      <c r="S110" s="281"/>
      <c r="T110" s="281"/>
      <c r="U110" s="281"/>
      <c r="V110" s="281"/>
      <c r="W110" s="281"/>
      <c r="X110" s="281"/>
      <c r="Y110" s="281"/>
      <c r="Z110" s="281"/>
      <c r="AA110" s="281"/>
      <c r="AB110" s="281"/>
      <c r="AC110" s="281"/>
      <c r="AD110" s="281"/>
    </row>
    <row r="111" spans="1:30" s="288" customFormat="1" x14ac:dyDescent="0.25">
      <c r="A111" s="287"/>
      <c r="B111" s="274">
        <f t="shared" si="10"/>
        <v>96</v>
      </c>
      <c r="C111" s="304">
        <f t="shared" ca="1" si="11"/>
        <v>-171.87142206694989</v>
      </c>
      <c r="D111" s="304">
        <f ca="1">IF(ROUND(E110,0)&lt;&gt;0, IF(ROUND(D110,0)&lt;&gt;0, 'Career Comparison'!$F$28-C111, 0), 0)</f>
        <v>419.66646971421733</v>
      </c>
      <c r="E111" s="304">
        <f ca="1">IF(G$7&gt;=B111, E110*(1+'Government Figures'!$D$8/12)-'Career Comparison'!$F$28, 0)</f>
        <v>113340.35763713082</v>
      </c>
      <c r="F111" s="312">
        <f>'College Schedule'!$L$8*(1+'Government Figures'!$B$8/12)^B111</f>
        <v>2392.0736759239267</v>
      </c>
      <c r="G111" s="278">
        <v>1</v>
      </c>
      <c r="H111" s="279">
        <f t="shared" ca="1" si="14"/>
        <v>0.17320110972991043</v>
      </c>
      <c r="I111" s="304">
        <f>G111*('College Schedule'!$L$9)*(1+'Government Figures'!$B$8/12)^B111</f>
        <v>5327.0337055553118</v>
      </c>
      <c r="J111" s="304">
        <f t="shared" ca="1" si="12"/>
        <v>1764.5168326133007</v>
      </c>
      <c r="K111" s="304">
        <f t="shared" ca="1" si="8"/>
        <v>1281.9842267360127</v>
      </c>
      <c r="L111" s="278">
        <v>1</v>
      </c>
      <c r="M111" s="279">
        <f t="shared" si="15"/>
        <v>0.13735784313725496</v>
      </c>
      <c r="N111" s="304">
        <f>L111*('College Schedule'!$L$10)*(1+'Government Figures'!$B$8/12)^B111</f>
        <v>3196.2202233331877</v>
      </c>
      <c r="O111" s="304">
        <f t="shared" si="13"/>
        <v>365.12063134053915</v>
      </c>
      <c r="P111" s="304">
        <f t="shared" si="9"/>
        <v>265.27312269457207</v>
      </c>
      <c r="Q111" s="277"/>
      <c r="R111" s="281"/>
      <c r="S111" s="281"/>
      <c r="T111" s="281"/>
      <c r="U111" s="281"/>
      <c r="V111" s="281"/>
      <c r="W111" s="281"/>
      <c r="X111" s="281"/>
      <c r="Y111" s="281"/>
      <c r="Z111" s="281"/>
      <c r="AA111" s="281"/>
      <c r="AB111" s="281"/>
      <c r="AC111" s="281"/>
      <c r="AD111" s="281"/>
    </row>
    <row r="112" spans="1:30" s="288" customFormat="1" x14ac:dyDescent="0.25">
      <c r="A112" s="287"/>
      <c r="B112" s="274">
        <f t="shared" si="10"/>
        <v>97</v>
      </c>
      <c r="C112" s="304">
        <f t="shared" ca="1" si="11"/>
        <v>-172.50877859044704</v>
      </c>
      <c r="D112" s="304">
        <f ca="1">IF(ROUND(E111,0)&lt;&gt;0, IF(ROUND(D111,0)&lt;&gt;0, 'Career Comparison'!$F$28-C112, 0), 0)</f>
        <v>420.30382623771447</v>
      </c>
      <c r="E112" s="304">
        <f ca="1">IF(G$7&gt;=B112, E111*(1+'Government Figures'!$D$8/12)-'Career Comparison'!$F$28, 0)</f>
        <v>113512.86641572126</v>
      </c>
      <c r="F112" s="312">
        <f>'College Schedule'!$L$8*(1+'Government Figures'!$B$8/12)^B112</f>
        <v>2396.0604653838</v>
      </c>
      <c r="G112" s="278">
        <v>1</v>
      </c>
      <c r="H112" s="279">
        <f t="shared" ca="1" si="14"/>
        <v>0.17320110972991043</v>
      </c>
      <c r="I112" s="304">
        <f>G112*('College Schedule'!$L$9)*(1+'Government Figures'!$B$8/12)^B112</f>
        <v>5335.9120950645711</v>
      </c>
      <c r="J112" s="304">
        <f t="shared" ca="1" si="12"/>
        <v>1767.8706857470684</v>
      </c>
      <c r="K112" s="304">
        <f t="shared" ca="1" si="8"/>
        <v>1280.1537411665768</v>
      </c>
      <c r="L112" s="278">
        <v>1</v>
      </c>
      <c r="M112" s="279">
        <f t="shared" si="15"/>
        <v>0.13735784313725496</v>
      </c>
      <c r="N112" s="304">
        <f>L112*('College Schedule'!$L$10)*(1+'Government Figures'!$B$8/12)^B112</f>
        <v>3201.5472570387433</v>
      </c>
      <c r="O112" s="304">
        <f t="shared" si="13"/>
        <v>365.72916572610666</v>
      </c>
      <c r="P112" s="304">
        <f t="shared" si="9"/>
        <v>264.83246966684015</v>
      </c>
      <c r="Q112" s="277"/>
      <c r="R112" s="281"/>
      <c r="S112" s="281"/>
      <c r="T112" s="281"/>
      <c r="U112" s="281"/>
      <c r="V112" s="281"/>
      <c r="W112" s="281"/>
      <c r="X112" s="281"/>
      <c r="Y112" s="281"/>
      <c r="Z112" s="281"/>
      <c r="AA112" s="281"/>
      <c r="AB112" s="281"/>
      <c r="AC112" s="281"/>
      <c r="AD112" s="281"/>
    </row>
    <row r="113" spans="1:30" s="288" customFormat="1" x14ac:dyDescent="0.25">
      <c r="A113" s="287"/>
      <c r="B113" s="274">
        <f t="shared" si="10"/>
        <v>98</v>
      </c>
      <c r="C113" s="304">
        <f t="shared" ca="1" si="11"/>
        <v>-173.14849864438293</v>
      </c>
      <c r="D113" s="304">
        <f ca="1">IF(ROUND(E112,0)&lt;&gt;0, IF(ROUND(D112,0)&lt;&gt;0, 'Career Comparison'!$F$28-C113, 0), 0)</f>
        <v>420.94354629165036</v>
      </c>
      <c r="E113" s="304">
        <f ca="1">IF(G$7&gt;=B113, E112*(1+'Government Figures'!$D$8/12)-'Career Comparison'!$F$28, 0)</f>
        <v>113686.01491436565</v>
      </c>
      <c r="F113" s="312">
        <f>'College Schedule'!$L$8*(1+'Government Figures'!$B$8/12)^B113</f>
        <v>2400.0538994927729</v>
      </c>
      <c r="G113" s="278">
        <v>1</v>
      </c>
      <c r="H113" s="279">
        <f t="shared" ca="1" si="14"/>
        <v>0.17320110972991043</v>
      </c>
      <c r="I113" s="304">
        <f>G113*('College Schedule'!$L$9)*(1+'Government Figures'!$B$8/12)^B113</f>
        <v>5344.8052818896786</v>
      </c>
      <c r="J113" s="304">
        <f t="shared" ca="1" si="12"/>
        <v>1771.2301286360594</v>
      </c>
      <c r="K113" s="304">
        <f t="shared" ca="1" si="8"/>
        <v>1278.3253027282019</v>
      </c>
      <c r="L113" s="278">
        <v>1</v>
      </c>
      <c r="M113" s="279">
        <f t="shared" si="15"/>
        <v>0.13735784313725496</v>
      </c>
      <c r="N113" s="304">
        <f>L113*('College Schedule'!$L$10)*(1+'Government Figures'!$B$8/12)^B113</f>
        <v>3206.8831691338078</v>
      </c>
      <c r="O113" s="304">
        <f t="shared" si="13"/>
        <v>366.33871433565037</v>
      </c>
      <c r="P113" s="304">
        <f t="shared" si="9"/>
        <v>264.39254862088205</v>
      </c>
      <c r="Q113" s="277"/>
      <c r="R113" s="281"/>
      <c r="S113" s="281"/>
      <c r="T113" s="281"/>
      <c r="U113" s="281"/>
      <c r="V113" s="281"/>
      <c r="W113" s="281"/>
      <c r="X113" s="281"/>
      <c r="Y113" s="281"/>
      <c r="Z113" s="281"/>
      <c r="AA113" s="281"/>
      <c r="AB113" s="281"/>
      <c r="AC113" s="281"/>
      <c r="AD113" s="281"/>
    </row>
    <row r="114" spans="1:30" s="288" customFormat="1" x14ac:dyDescent="0.25">
      <c r="A114" s="287"/>
      <c r="B114" s="274">
        <f t="shared" si="10"/>
        <v>99</v>
      </c>
      <c r="C114" s="304">
        <f t="shared" ca="1" si="11"/>
        <v>-173.79059099352162</v>
      </c>
      <c r="D114" s="304">
        <f ca="1">IF(ROUND(E113,0)&lt;&gt;0, IF(ROUND(D113,0)&lt;&gt;0, 'Career Comparison'!$F$28-C114, 0), 0)</f>
        <v>421.58563864078906</v>
      </c>
      <c r="E114" s="304">
        <f ca="1">IF(G$7&gt;=B114, E113*(1+'Government Figures'!$D$8/12)-'Career Comparison'!$F$28, 0)</f>
        <v>113859.80550535917</v>
      </c>
      <c r="F114" s="312">
        <f>'College Schedule'!$L$8*(1+'Government Figures'!$B$8/12)^B114</f>
        <v>2404.0539893252608</v>
      </c>
      <c r="G114" s="278">
        <v>1</v>
      </c>
      <c r="H114" s="279">
        <f t="shared" ca="1" si="14"/>
        <v>0.17320110972991043</v>
      </c>
      <c r="I114" s="304">
        <f>G114*('College Schedule'!$L$9)*(1+'Government Figures'!$B$8/12)^B114</f>
        <v>5353.7132906928282</v>
      </c>
      <c r="J114" s="304">
        <f t="shared" ca="1" si="12"/>
        <v>1774.5951705965313</v>
      </c>
      <c r="K114" s="304">
        <f t="shared" ca="1" si="8"/>
        <v>1276.4989113211432</v>
      </c>
      <c r="L114" s="278">
        <v>1</v>
      </c>
      <c r="M114" s="279">
        <f t="shared" si="15"/>
        <v>0.13735784313725496</v>
      </c>
      <c r="N114" s="304">
        <f>L114*('College Schedule'!$L$10)*(1+'Government Figures'!$B$8/12)^B114</f>
        <v>3212.2279744156976</v>
      </c>
      <c r="O114" s="304">
        <f t="shared" si="13"/>
        <v>366.94927885954303</v>
      </c>
      <c r="P114" s="304">
        <f t="shared" si="9"/>
        <v>263.95335834078077</v>
      </c>
      <c r="Q114" s="277"/>
      <c r="R114" s="281"/>
      <c r="S114" s="281"/>
      <c r="T114" s="281"/>
      <c r="U114" s="281"/>
      <c r="V114" s="281"/>
      <c r="W114" s="281"/>
      <c r="X114" s="281"/>
      <c r="Y114" s="281"/>
      <c r="Z114" s="281"/>
      <c r="AA114" s="281"/>
      <c r="AB114" s="281"/>
      <c r="AC114" s="281"/>
      <c r="AD114" s="281"/>
    </row>
    <row r="115" spans="1:30" s="288" customFormat="1" x14ac:dyDescent="0.25">
      <c r="A115" s="287"/>
      <c r="B115" s="274">
        <f t="shared" si="10"/>
        <v>100</v>
      </c>
      <c r="C115" s="304">
        <f t="shared" ca="1" si="11"/>
        <v>-174.4350644351216</v>
      </c>
      <c r="D115" s="304">
        <f ca="1">IF(ROUND(E114,0)&lt;&gt;0, IF(ROUND(D114,0)&lt;&gt;0, 'Career Comparison'!$F$28-C115, 0), 0)</f>
        <v>422.23011208238904</v>
      </c>
      <c r="E115" s="304">
        <f ca="1">IF(G$7&gt;=B115, E114*(1+'Government Figures'!$D$8/12)-'Career Comparison'!$F$28, 0)</f>
        <v>114034.24056979429</v>
      </c>
      <c r="F115" s="312">
        <f>'College Schedule'!$L$8*(1+'Government Figures'!$B$8/12)^B115</f>
        <v>2408.0607459741364</v>
      </c>
      <c r="G115" s="278">
        <v>1</v>
      </c>
      <c r="H115" s="279">
        <f t="shared" ca="1" si="14"/>
        <v>0.17320110972991043</v>
      </c>
      <c r="I115" s="304">
        <f>G115*('College Schedule'!$L$9)*(1+'Government Figures'!$B$8/12)^B115</f>
        <v>5362.6361461773167</v>
      </c>
      <c r="J115" s="304">
        <f t="shared" ca="1" si="12"/>
        <v>1777.9658209602712</v>
      </c>
      <c r="K115" s="304">
        <f t="shared" ca="1" si="8"/>
        <v>1274.6745668348583</v>
      </c>
      <c r="L115" s="278">
        <v>1</v>
      </c>
      <c r="M115" s="279">
        <f t="shared" si="15"/>
        <v>0.13735784313725496</v>
      </c>
      <c r="N115" s="304">
        <f>L115*('College Schedule'!$L$10)*(1+'Government Figures'!$B$8/12)^B115</f>
        <v>3217.5816877063908</v>
      </c>
      <c r="O115" s="304">
        <f t="shared" si="13"/>
        <v>367.56086099097593</v>
      </c>
      <c r="P115" s="304">
        <f t="shared" si="9"/>
        <v>263.51489761264025</v>
      </c>
      <c r="Q115" s="277"/>
      <c r="R115" s="281"/>
      <c r="S115" s="281"/>
      <c r="T115" s="281"/>
      <c r="U115" s="281"/>
      <c r="V115" s="281"/>
      <c r="W115" s="281"/>
      <c r="X115" s="281"/>
      <c r="Y115" s="281"/>
      <c r="Z115" s="281"/>
      <c r="AA115" s="281"/>
      <c r="AB115" s="281"/>
      <c r="AC115" s="281"/>
      <c r="AD115" s="281"/>
    </row>
    <row r="116" spans="1:30" s="288" customFormat="1" x14ac:dyDescent="0.25">
      <c r="A116" s="287"/>
      <c r="B116" s="274">
        <f t="shared" si="10"/>
        <v>101</v>
      </c>
      <c r="C116" s="304">
        <f t="shared" ca="1" si="11"/>
        <v>-175.08192779906676</v>
      </c>
      <c r="D116" s="304">
        <f ca="1">IF(ROUND(E115,0)&lt;&gt;0, IF(ROUND(D115,0)&lt;&gt;0, 'Career Comparison'!$F$28-C116, 0), 0)</f>
        <v>422.8769754463342</v>
      </c>
      <c r="E116" s="304">
        <f ca="1">IF(G$7&gt;=B116, E115*(1+'Government Figures'!$D$8/12)-'Career Comparison'!$F$28, 0)</f>
        <v>114209.32249759336</v>
      </c>
      <c r="F116" s="312">
        <f>'College Schedule'!$L$8*(1+'Government Figures'!$B$8/12)^B116</f>
        <v>2412.07418055076</v>
      </c>
      <c r="G116" s="278">
        <v>1</v>
      </c>
      <c r="H116" s="279">
        <f t="shared" ca="1" si="14"/>
        <v>0.17320110972991043</v>
      </c>
      <c r="I116" s="304">
        <f>G116*('College Schedule'!$L$9)*(1+'Government Figures'!$B$8/12)^B116</f>
        <v>5371.5738730876128</v>
      </c>
      <c r="J116" s="304">
        <f t="shared" ca="1" si="12"/>
        <v>1781.3420890746174</v>
      </c>
      <c r="K116" s="304">
        <f t="shared" ca="1" si="8"/>
        <v>1272.852269148055</v>
      </c>
      <c r="L116" s="278">
        <v>1</v>
      </c>
      <c r="M116" s="279">
        <f t="shared" si="15"/>
        <v>0.13735784313725496</v>
      </c>
      <c r="N116" s="304">
        <f>L116*('College Schedule'!$L$10)*(1+'Government Figures'!$B$8/12)^B116</f>
        <v>3222.9443238525682</v>
      </c>
      <c r="O116" s="304">
        <f t="shared" si="13"/>
        <v>368.17346242596068</v>
      </c>
      <c r="P116" s="304">
        <f t="shared" si="9"/>
        <v>263.07716522457923</v>
      </c>
      <c r="Q116" s="277"/>
      <c r="R116" s="281"/>
      <c r="S116" s="281"/>
      <c r="T116" s="281"/>
      <c r="U116" s="281"/>
      <c r="V116" s="281"/>
      <c r="W116" s="281"/>
      <c r="X116" s="281"/>
      <c r="Y116" s="281"/>
      <c r="Z116" s="281"/>
      <c r="AA116" s="281"/>
      <c r="AB116" s="281"/>
      <c r="AC116" s="281"/>
      <c r="AD116" s="281"/>
    </row>
    <row r="117" spans="1:30" s="288" customFormat="1" x14ac:dyDescent="0.25">
      <c r="A117" s="287"/>
      <c r="B117" s="274">
        <f t="shared" si="10"/>
        <v>102</v>
      </c>
      <c r="C117" s="304">
        <f t="shared" ca="1" si="11"/>
        <v>-175.73118994799734</v>
      </c>
      <c r="D117" s="304">
        <f ca="1">IF(ROUND(E116,0)&lt;&gt;0, IF(ROUND(D116,0)&lt;&gt;0, 'Career Comparison'!$F$28-C117, 0), 0)</f>
        <v>423.52623759526477</v>
      </c>
      <c r="E117" s="304">
        <f ca="1">IF(G$7&gt;=B117, E116*(1+'Government Figures'!$D$8/12)-'Career Comparison'!$F$28, 0)</f>
        <v>114385.05368754135</v>
      </c>
      <c r="F117" s="312">
        <f>'College Schedule'!$L$8*(1+'Government Figures'!$B$8/12)^B117</f>
        <v>2416.094304185011</v>
      </c>
      <c r="G117" s="278">
        <v>1</v>
      </c>
      <c r="H117" s="279">
        <f t="shared" ca="1" si="14"/>
        <v>0.17320110972991043</v>
      </c>
      <c r="I117" s="304">
        <f>G117*('College Schedule'!$L$9)*(1+'Government Figures'!$B$8/12)^B117</f>
        <v>5380.5264962094252</v>
      </c>
      <c r="J117" s="304">
        <f t="shared" ca="1" si="12"/>
        <v>1784.7239843024872</v>
      </c>
      <c r="K117" s="304">
        <f t="shared" ca="1" si="8"/>
        <v>1271.0320181287516</v>
      </c>
      <c r="L117" s="278">
        <v>1</v>
      </c>
      <c r="M117" s="279">
        <f t="shared" si="15"/>
        <v>0.13735784313725496</v>
      </c>
      <c r="N117" s="304">
        <f>L117*('College Schedule'!$L$10)*(1+'Government Figures'!$B$8/12)^B117</f>
        <v>3228.3158977256553</v>
      </c>
      <c r="O117" s="304">
        <f t="shared" si="13"/>
        <v>368.78708486333744</v>
      </c>
      <c r="P117" s="304">
        <f t="shared" si="9"/>
        <v>262.64015996673112</v>
      </c>
      <c r="Q117" s="277"/>
      <c r="R117" s="281"/>
      <c r="S117" s="281"/>
      <c r="T117" s="281"/>
      <c r="U117" s="281"/>
      <c r="V117" s="281"/>
      <c r="W117" s="281"/>
      <c r="X117" s="281"/>
      <c r="Y117" s="281"/>
      <c r="Z117" s="281"/>
      <c r="AA117" s="281"/>
      <c r="AB117" s="281"/>
      <c r="AC117" s="281"/>
      <c r="AD117" s="281"/>
    </row>
    <row r="118" spans="1:30" s="288" customFormat="1" x14ac:dyDescent="0.25">
      <c r="A118" s="287"/>
      <c r="B118" s="274">
        <f t="shared" si="10"/>
        <v>103</v>
      </c>
      <c r="C118" s="304">
        <f t="shared" ca="1" si="11"/>
        <v>-176.38285977738269</v>
      </c>
      <c r="D118" s="304">
        <f ca="1">IF(ROUND(E117,0)&lt;&gt;0, IF(ROUND(D117,0)&lt;&gt;0, 'Career Comparison'!$F$28-C118, 0), 0)</f>
        <v>424.17790742465013</v>
      </c>
      <c r="E118" s="304">
        <f ca="1">IF(G$7&gt;=B118, E117*(1+'Government Figures'!$D$8/12)-'Career Comparison'!$F$28, 0)</f>
        <v>114561.43654731874</v>
      </c>
      <c r="F118" s="312">
        <f>'College Schedule'!$L$8*(1+'Government Figures'!$B$8/12)^B118</f>
        <v>2420.1211280253201</v>
      </c>
      <c r="G118" s="278">
        <v>1</v>
      </c>
      <c r="H118" s="279">
        <f t="shared" ca="1" si="14"/>
        <v>0.17320110972991043</v>
      </c>
      <c r="I118" s="304">
        <f>G118*('College Schedule'!$L$9)*(1+'Government Figures'!$B$8/12)^B118</f>
        <v>5389.4940403697756</v>
      </c>
      <c r="J118" s="304">
        <f t="shared" ca="1" si="12"/>
        <v>1788.111516022404</v>
      </c>
      <c r="K118" s="304">
        <f t="shared" ca="1" si="8"/>
        <v>1269.2138136343285</v>
      </c>
      <c r="L118" s="278">
        <v>1</v>
      </c>
      <c r="M118" s="279">
        <f t="shared" si="15"/>
        <v>0.13735784313725496</v>
      </c>
      <c r="N118" s="304">
        <f>L118*('College Schedule'!$L$10)*(1+'Government Figures'!$B$8/12)^B118</f>
        <v>3233.6964242218655</v>
      </c>
      <c r="O118" s="304">
        <f t="shared" si="13"/>
        <v>369.40173000477625</v>
      </c>
      <c r="P118" s="304">
        <f t="shared" si="9"/>
        <v>262.20388063123812</v>
      </c>
      <c r="Q118" s="277"/>
      <c r="R118" s="281"/>
      <c r="S118" s="281"/>
      <c r="T118" s="281"/>
      <c r="U118" s="281"/>
      <c r="V118" s="281"/>
      <c r="W118" s="281"/>
      <c r="X118" s="281"/>
      <c r="Y118" s="281"/>
      <c r="Z118" s="281"/>
      <c r="AA118" s="281"/>
      <c r="AB118" s="281"/>
      <c r="AC118" s="281"/>
      <c r="AD118" s="281"/>
    </row>
    <row r="119" spans="1:30" s="288" customFormat="1" x14ac:dyDescent="0.25">
      <c r="A119" s="287"/>
      <c r="B119" s="274">
        <f t="shared" si="10"/>
        <v>104</v>
      </c>
      <c r="C119" s="304">
        <f t="shared" ca="1" si="11"/>
        <v>-177.03694621572504</v>
      </c>
      <c r="D119" s="304">
        <f ca="1">IF(ROUND(E118,0)&lt;&gt;0, IF(ROUND(D118,0)&lt;&gt;0, 'Career Comparison'!$F$28-C119, 0), 0)</f>
        <v>424.83199386299248</v>
      </c>
      <c r="E119" s="304">
        <f ca="1">IF(G$7&gt;=B119, E118*(1+'Government Figures'!$D$8/12)-'Career Comparison'!$F$28, 0)</f>
        <v>114738.47349353446</v>
      </c>
      <c r="F119" s="312">
        <f>'College Schedule'!$L$8*(1+'Government Figures'!$B$8/12)^B119</f>
        <v>2424.1546632386962</v>
      </c>
      <c r="G119" s="278">
        <v>1</v>
      </c>
      <c r="H119" s="279">
        <f t="shared" ca="1" si="14"/>
        <v>0.17320110972991043</v>
      </c>
      <c r="I119" s="304">
        <f>G119*('College Schedule'!$L$9)*(1+'Government Figures'!$B$8/12)^B119</f>
        <v>5398.4765304370594</v>
      </c>
      <c r="J119" s="304">
        <f t="shared" ca="1" si="12"/>
        <v>1791.5046936285203</v>
      </c>
      <c r="K119" s="304">
        <f t="shared" ca="1" si="8"/>
        <v>1267.397655511581</v>
      </c>
      <c r="L119" s="278">
        <v>1</v>
      </c>
      <c r="M119" s="279">
        <f t="shared" si="15"/>
        <v>0.13735784313725496</v>
      </c>
      <c r="N119" s="304">
        <f>L119*('College Schedule'!$L$10)*(1+'Government Figures'!$B$8/12)^B119</f>
        <v>3239.0859182622357</v>
      </c>
      <c r="O119" s="304">
        <f t="shared" si="13"/>
        <v>370.01739955478388</v>
      </c>
      <c r="P119" s="304">
        <f t="shared" si="9"/>
        <v>261.76832601224913</v>
      </c>
      <c r="Q119" s="277"/>
      <c r="R119" s="281"/>
      <c r="S119" s="281"/>
      <c r="T119" s="281"/>
      <c r="U119" s="281"/>
      <c r="V119" s="281"/>
      <c r="W119" s="281"/>
      <c r="X119" s="281"/>
      <c r="Y119" s="281"/>
      <c r="Z119" s="281"/>
      <c r="AA119" s="281"/>
      <c r="AB119" s="281"/>
      <c r="AC119" s="281"/>
      <c r="AD119" s="281"/>
    </row>
    <row r="120" spans="1:30" s="288" customFormat="1" x14ac:dyDescent="0.25">
      <c r="A120" s="287"/>
      <c r="B120" s="274">
        <f t="shared" si="10"/>
        <v>105</v>
      </c>
      <c r="C120" s="304">
        <f t="shared" ca="1" si="11"/>
        <v>-177.69345822460309</v>
      </c>
      <c r="D120" s="304">
        <f ca="1">IF(ROUND(E119,0)&lt;&gt;0, IF(ROUND(D119,0)&lt;&gt;0, 'Career Comparison'!$F$28-C120, 0), 0)</f>
        <v>425.48850587187053</v>
      </c>
      <c r="E120" s="304">
        <f ca="1">IF(G$7&gt;=B120, E119*(1+'Government Figures'!$D$8/12)-'Career Comparison'!$F$28, 0)</f>
        <v>114916.16695175906</v>
      </c>
      <c r="F120" s="312">
        <f>'College Schedule'!$L$8*(1+'Government Figures'!$B$8/12)^B120</f>
        <v>2428.19492101076</v>
      </c>
      <c r="G120" s="278">
        <v>1</v>
      </c>
      <c r="H120" s="279">
        <f t="shared" ca="1" si="14"/>
        <v>0.17320110972991043</v>
      </c>
      <c r="I120" s="304">
        <f>G120*('College Schedule'!$L$9)*(1+'Government Figures'!$B$8/12)^B120</f>
        <v>5407.4739913211197</v>
      </c>
      <c r="J120" s="304">
        <f t="shared" ca="1" si="12"/>
        <v>1794.9035265306466</v>
      </c>
      <c r="K120" s="304">
        <f t="shared" ca="1" si="8"/>
        <v>1265.5835435967736</v>
      </c>
      <c r="L120" s="278">
        <v>1</v>
      </c>
      <c r="M120" s="279">
        <f t="shared" si="15"/>
        <v>0.13735784313725496</v>
      </c>
      <c r="N120" s="304">
        <f>L120*('College Schedule'!$L$10)*(1+'Government Figures'!$B$8/12)^B120</f>
        <v>3244.4843947926724</v>
      </c>
      <c r="O120" s="304">
        <f t="shared" si="13"/>
        <v>370.63409522070879</v>
      </c>
      <c r="P120" s="304">
        <f t="shared" si="9"/>
        <v>261.33349490591672</v>
      </c>
      <c r="Q120" s="277"/>
      <c r="R120" s="281"/>
      <c r="S120" s="281"/>
      <c r="T120" s="281"/>
      <c r="U120" s="281"/>
      <c r="V120" s="281"/>
      <c r="W120" s="281"/>
      <c r="X120" s="281"/>
      <c r="Y120" s="281"/>
      <c r="Z120" s="281"/>
      <c r="AA120" s="281"/>
      <c r="AB120" s="281"/>
      <c r="AC120" s="281"/>
      <c r="AD120" s="281"/>
    </row>
    <row r="121" spans="1:30" s="288" customFormat="1" x14ac:dyDescent="0.25">
      <c r="A121" s="287"/>
      <c r="B121" s="274">
        <f t="shared" si="10"/>
        <v>106</v>
      </c>
      <c r="C121" s="304">
        <f t="shared" ca="1" si="11"/>
        <v>-178.35240479886124</v>
      </c>
      <c r="D121" s="304">
        <f ca="1">IF(ROUND(E120,0)&lt;&gt;0, IF(ROUND(D120,0)&lt;&gt;0, 'Career Comparison'!$F$28-C121, 0), 0)</f>
        <v>426.14745244612868</v>
      </c>
      <c r="E121" s="304">
        <f ca="1">IF(G$7&gt;=B121, E120*(1+'Government Figures'!$D$8/12)-'Career Comparison'!$F$28, 0)</f>
        <v>115094.51935655792</v>
      </c>
      <c r="F121" s="312">
        <f>'College Schedule'!$L$8*(1+'Government Figures'!$B$8/12)^B121</f>
        <v>2432.2419125457782</v>
      </c>
      <c r="G121" s="278">
        <v>1</v>
      </c>
      <c r="H121" s="279">
        <f t="shared" ca="1" si="14"/>
        <v>0.17320110972991043</v>
      </c>
      <c r="I121" s="304">
        <f>G121*('College Schedule'!$L$9)*(1+'Government Figures'!$B$8/12)^B121</f>
        <v>5416.4864479733224</v>
      </c>
      <c r="J121" s="304">
        <f t="shared" ca="1" si="12"/>
        <v>1798.3080241542762</v>
      </c>
      <c r="K121" s="304">
        <f t="shared" ca="1" si="8"/>
        <v>1263.7714777156934</v>
      </c>
      <c r="L121" s="278">
        <v>1</v>
      </c>
      <c r="M121" s="279">
        <f t="shared" si="15"/>
        <v>0.13735784313725496</v>
      </c>
      <c r="N121" s="304">
        <f>L121*('College Schedule'!$L$10)*(1+'Government Figures'!$B$8/12)^B121</f>
        <v>3249.8918687839937</v>
      </c>
      <c r="O121" s="304">
        <f t="shared" si="13"/>
        <v>371.25181871274344</v>
      </c>
      <c r="P121" s="304">
        <f t="shared" si="9"/>
        <v>260.8993861103919</v>
      </c>
      <c r="Q121" s="277"/>
      <c r="R121" s="281"/>
      <c r="S121" s="281"/>
      <c r="T121" s="281"/>
      <c r="U121" s="281"/>
      <c r="V121" s="281"/>
      <c r="W121" s="281"/>
      <c r="X121" s="281"/>
      <c r="Y121" s="281"/>
      <c r="Z121" s="281"/>
      <c r="AA121" s="281"/>
      <c r="AB121" s="281"/>
      <c r="AC121" s="281"/>
      <c r="AD121" s="281"/>
    </row>
    <row r="122" spans="1:30" s="288" customFormat="1" x14ac:dyDescent="0.25">
      <c r="A122" s="287"/>
      <c r="B122" s="274">
        <f t="shared" si="10"/>
        <v>107</v>
      </c>
      <c r="C122" s="304">
        <f t="shared" ca="1" si="11"/>
        <v>-179.01379496665322</v>
      </c>
      <c r="D122" s="304">
        <f ca="1">IF(ROUND(E121,0)&lt;&gt;0, IF(ROUND(D121,0)&lt;&gt;0, 'Career Comparison'!$F$28-C122, 0), 0)</f>
        <v>426.80884261392066</v>
      </c>
      <c r="E122" s="304">
        <f ca="1">IF(G$7&gt;=B122, E121*(1+'Government Figures'!$D$8/12)-'Career Comparison'!$F$28, 0)</f>
        <v>115273.53315152458</v>
      </c>
      <c r="F122" s="312">
        <f>'College Schedule'!$L$8*(1+'Government Figures'!$B$8/12)^B122</f>
        <v>2436.2956490666884</v>
      </c>
      <c r="G122" s="278">
        <v>1</v>
      </c>
      <c r="H122" s="279">
        <f t="shared" ca="1" si="14"/>
        <v>0.17320110972991043</v>
      </c>
      <c r="I122" s="304">
        <f>G122*('College Schedule'!$L$9)*(1+'Government Figures'!$B$8/12)^B122</f>
        <v>5425.5139253866118</v>
      </c>
      <c r="J122" s="304">
        <f t="shared" ca="1" si="12"/>
        <v>1801.7181959406121</v>
      </c>
      <c r="K122" s="304">
        <f t="shared" ca="1" si="8"/>
        <v>1261.961457683705</v>
      </c>
      <c r="L122" s="278">
        <v>1</v>
      </c>
      <c r="M122" s="279">
        <f t="shared" si="15"/>
        <v>0.13735784313725496</v>
      </c>
      <c r="N122" s="304">
        <f>L122*('College Schedule'!$L$10)*(1+'Government Figures'!$B$8/12)^B122</f>
        <v>3255.3083552319677</v>
      </c>
      <c r="O122" s="304">
        <f t="shared" si="13"/>
        <v>371.87057174393112</v>
      </c>
      <c r="P122" s="304">
        <f t="shared" si="9"/>
        <v>260.46599842582299</v>
      </c>
      <c r="Q122" s="277"/>
      <c r="R122" s="281"/>
      <c r="S122" s="281"/>
      <c r="T122" s="281"/>
      <c r="U122" s="281"/>
      <c r="V122" s="281"/>
      <c r="W122" s="281"/>
      <c r="X122" s="281"/>
      <c r="Y122" s="281"/>
      <c r="Z122" s="281"/>
      <c r="AA122" s="281"/>
      <c r="AB122" s="281"/>
      <c r="AC122" s="281"/>
      <c r="AD122" s="281"/>
    </row>
    <row r="123" spans="1:30" s="288" customFormat="1" x14ac:dyDescent="0.25">
      <c r="A123" s="287"/>
      <c r="B123" s="274">
        <f t="shared" si="10"/>
        <v>108</v>
      </c>
      <c r="C123" s="304">
        <f t="shared" ca="1" si="11"/>
        <v>-179.67763778964581</v>
      </c>
      <c r="D123" s="304">
        <f ca="1">IF(ROUND(E122,0)&lt;&gt;0, IF(ROUND(D122,0)&lt;&gt;0, 'Career Comparison'!$F$28-C123, 0), 0)</f>
        <v>427.47268543691325</v>
      </c>
      <c r="E123" s="304">
        <f ca="1">IF(G$7&gt;=B123, E122*(1+'Government Figures'!$D$8/12)-'Career Comparison'!$F$28, 0)</f>
        <v>115453.21078931422</v>
      </c>
      <c r="F123" s="312">
        <f>'College Schedule'!$L$8*(1+'Government Figures'!$B$8/12)^B123</f>
        <v>2440.3561418151326</v>
      </c>
      <c r="G123" s="278">
        <v>1</v>
      </c>
      <c r="H123" s="279">
        <f t="shared" ca="1" si="14"/>
        <v>0.17320110972991043</v>
      </c>
      <c r="I123" s="304">
        <f>G123*('College Schedule'!$L$9)*(1+'Government Figures'!$B$8/12)^B123</f>
        <v>5434.5564485955892</v>
      </c>
      <c r="J123" s="304">
        <f t="shared" ca="1" si="12"/>
        <v>1805.1340513465921</v>
      </c>
      <c r="K123" s="304">
        <f t="shared" ca="1" si="8"/>
        <v>1260.1534833057999</v>
      </c>
      <c r="L123" s="278">
        <v>1</v>
      </c>
      <c r="M123" s="279">
        <f t="shared" si="15"/>
        <v>0.13735784313725496</v>
      </c>
      <c r="N123" s="304">
        <f>L123*('College Schedule'!$L$10)*(1+'Government Figures'!$B$8/12)^B123</f>
        <v>3260.7338691573541</v>
      </c>
      <c r="O123" s="304">
        <f t="shared" si="13"/>
        <v>372.49035603017137</v>
      </c>
      <c r="P123" s="304">
        <f t="shared" si="9"/>
        <v>260.0333306543518</v>
      </c>
      <c r="Q123" s="277"/>
      <c r="R123" s="281"/>
      <c r="S123" s="281"/>
      <c r="T123" s="281"/>
      <c r="U123" s="281"/>
      <c r="V123" s="281"/>
      <c r="W123" s="281"/>
      <c r="X123" s="281"/>
      <c r="Y123" s="281"/>
      <c r="Z123" s="281"/>
      <c r="AA123" s="281"/>
      <c r="AB123" s="281"/>
      <c r="AC123" s="281"/>
      <c r="AD123" s="281"/>
    </row>
    <row r="124" spans="1:30" s="288" customFormat="1" x14ac:dyDescent="0.25">
      <c r="A124" s="287"/>
      <c r="B124" s="274">
        <f t="shared" si="10"/>
        <v>109</v>
      </c>
      <c r="C124" s="304">
        <f t="shared" ca="1" si="11"/>
        <v>-180.34394236312073</v>
      </c>
      <c r="D124" s="304">
        <f ca="1">IF(ROUND(E123,0)&lt;&gt;0, IF(ROUND(D123,0)&lt;&gt;0, 'Career Comparison'!$F$28-C124, 0), 0)</f>
        <v>428.13899001038817</v>
      </c>
      <c r="E124" s="304">
        <f ca="1">IF(G$7&gt;=B124, E123*(1+'Government Figures'!$D$8/12)-'Career Comparison'!$F$28, 0)</f>
        <v>115633.55473167734</v>
      </c>
      <c r="F124" s="312">
        <f>'College Schedule'!$L$8*(1+'Government Figures'!$B$8/12)^B124</f>
        <v>2444.4234020514918</v>
      </c>
      <c r="G124" s="278">
        <v>1</v>
      </c>
      <c r="H124" s="279">
        <f t="shared" ca="1" si="14"/>
        <v>0.17320110972991043</v>
      </c>
      <c r="I124" s="304">
        <f>G124*('College Schedule'!$L$9)*(1+'Government Figures'!$B$8/12)^B124</f>
        <v>5443.6140426765833</v>
      </c>
      <c r="J124" s="304">
        <f t="shared" ca="1" si="12"/>
        <v>1808.5555998449154</v>
      </c>
      <c r="K124" s="304">
        <f t="shared" ca="1" si="8"/>
        <v>1258.3475543766513</v>
      </c>
      <c r="L124" s="278">
        <v>1</v>
      </c>
      <c r="M124" s="279">
        <f t="shared" si="15"/>
        <v>0.13735784313725496</v>
      </c>
      <c r="N124" s="304">
        <f>L124*('College Schedule'!$L$10)*(1+'Government Figures'!$B$8/12)^B124</f>
        <v>3266.1684256059502</v>
      </c>
      <c r="O124" s="304">
        <f t="shared" si="13"/>
        <v>373.11117329022136</v>
      </c>
      <c r="P124" s="304">
        <f t="shared" si="9"/>
        <v>259.60138160010848</v>
      </c>
      <c r="Q124" s="277"/>
      <c r="R124" s="281"/>
      <c r="S124" s="281"/>
      <c r="T124" s="281"/>
      <c r="U124" s="281"/>
      <c r="V124" s="281"/>
      <c r="W124" s="281"/>
      <c r="X124" s="281"/>
      <c r="Y124" s="281"/>
      <c r="Z124" s="281"/>
      <c r="AA124" s="281"/>
      <c r="AB124" s="281"/>
      <c r="AC124" s="281"/>
      <c r="AD124" s="281"/>
    </row>
    <row r="125" spans="1:30" s="288" customFormat="1" x14ac:dyDescent="0.25">
      <c r="A125" s="287"/>
      <c r="B125" s="274">
        <f t="shared" si="10"/>
        <v>110</v>
      </c>
      <c r="C125" s="304">
        <f t="shared" ca="1" si="11"/>
        <v>-181.01271781604737</v>
      </c>
      <c r="D125" s="304">
        <f ca="1">IF(ROUND(E124,0)&lt;&gt;0, IF(ROUND(D124,0)&lt;&gt;0, 'Career Comparison'!$F$28-C125, 0), 0)</f>
        <v>428.80776546331481</v>
      </c>
      <c r="E125" s="304">
        <f ca="1">IF(G$7&gt;=B125, E124*(1+'Government Figures'!$D$8/12)-'Career Comparison'!$F$28, 0)</f>
        <v>115814.56744949339</v>
      </c>
      <c r="F125" s="312">
        <f>'College Schedule'!$L$8*(1+'Government Figures'!$B$8/12)^B125</f>
        <v>2448.4974410549112</v>
      </c>
      <c r="G125" s="278">
        <v>1</v>
      </c>
      <c r="H125" s="279">
        <f t="shared" ca="1" si="14"/>
        <v>0.17320110972991043</v>
      </c>
      <c r="I125" s="304">
        <f>G125*('College Schedule'!$L$9)*(1+'Government Figures'!$B$8/12)^B125</f>
        <v>5452.6867327477112</v>
      </c>
      <c r="J125" s="304">
        <f t="shared" ca="1" si="12"/>
        <v>1811.9828509240692</v>
      </c>
      <c r="K125" s="304">
        <f t="shared" ca="1" si="8"/>
        <v>1256.5436706806659</v>
      </c>
      <c r="L125" s="278">
        <v>1</v>
      </c>
      <c r="M125" s="279">
        <f t="shared" si="15"/>
        <v>0.13735784313725496</v>
      </c>
      <c r="N125" s="304">
        <f>L125*('College Schedule'!$L$10)*(1+'Government Figures'!$B$8/12)^B125</f>
        <v>3271.6120396486276</v>
      </c>
      <c r="O125" s="304">
        <f t="shared" si="13"/>
        <v>373.73302524570545</v>
      </c>
      <c r="P125" s="304">
        <f t="shared" si="9"/>
        <v>259.1701500692115</v>
      </c>
      <c r="Q125" s="277"/>
      <c r="R125" s="281"/>
      <c r="S125" s="281"/>
      <c r="T125" s="281"/>
      <c r="U125" s="281"/>
      <c r="V125" s="281"/>
      <c r="W125" s="281"/>
      <c r="X125" s="281"/>
      <c r="Y125" s="281"/>
      <c r="Z125" s="281"/>
      <c r="AA125" s="281"/>
      <c r="AB125" s="281"/>
      <c r="AC125" s="281"/>
      <c r="AD125" s="281"/>
    </row>
    <row r="126" spans="1:30" s="288" customFormat="1" x14ac:dyDescent="0.25">
      <c r="A126" s="287"/>
      <c r="B126" s="274">
        <f t="shared" si="10"/>
        <v>111</v>
      </c>
      <c r="C126" s="304">
        <f t="shared" ca="1" si="11"/>
        <v>-181.68397331128654</v>
      </c>
      <c r="D126" s="304">
        <f ca="1">IF(ROUND(E125,0)&lt;&gt;0, IF(ROUND(D125,0)&lt;&gt;0, 'Career Comparison'!$F$28-C126, 0), 0)</f>
        <v>429.47902095855397</v>
      </c>
      <c r="E126" s="304">
        <f ca="1">IF(G$7&gt;=B126, E125*(1+'Government Figures'!$D$8/12)-'Career Comparison'!$F$28, 0)</f>
        <v>115996.25142280468</v>
      </c>
      <c r="F126" s="312">
        <f>'College Schedule'!$L$8*(1+'Government Figures'!$B$8/12)^B126</f>
        <v>2452.5782701233361</v>
      </c>
      <c r="G126" s="278">
        <v>1</v>
      </c>
      <c r="H126" s="279">
        <f t="shared" ca="1" si="14"/>
        <v>0.17320110972991043</v>
      </c>
      <c r="I126" s="304">
        <f>G126*('College Schedule'!$L$9)*(1+'Government Figures'!$B$8/12)^B126</f>
        <v>5461.7745439689579</v>
      </c>
      <c r="J126" s="304">
        <f t="shared" ca="1" si="12"/>
        <v>1815.4158140883555</v>
      </c>
      <c r="K126" s="304">
        <f t="shared" ca="1" si="8"/>
        <v>1254.741831992038</v>
      </c>
      <c r="L126" s="278">
        <v>1</v>
      </c>
      <c r="M126" s="279">
        <f t="shared" si="15"/>
        <v>0.13735784313725496</v>
      </c>
      <c r="N126" s="304">
        <f>L126*('College Schedule'!$L$10)*(1+'Government Figures'!$B$8/12)^B126</f>
        <v>3277.0647263813753</v>
      </c>
      <c r="O126" s="304">
        <f t="shared" si="13"/>
        <v>374.35591362111472</v>
      </c>
      <c r="P126" s="304">
        <f t="shared" si="9"/>
        <v>258.73963486976078</v>
      </c>
      <c r="Q126" s="277"/>
      <c r="R126" s="281"/>
      <c r="S126" s="281"/>
      <c r="T126" s="281"/>
      <c r="U126" s="281"/>
      <c r="V126" s="281"/>
      <c r="W126" s="281"/>
      <c r="X126" s="281"/>
      <c r="Y126" s="281"/>
      <c r="Z126" s="281"/>
      <c r="AA126" s="281"/>
      <c r="AB126" s="281"/>
      <c r="AC126" s="281"/>
      <c r="AD126" s="281"/>
    </row>
    <row r="127" spans="1:30" s="288" customFormat="1" x14ac:dyDescent="0.25">
      <c r="A127" s="287"/>
      <c r="B127" s="274">
        <f t="shared" si="10"/>
        <v>112</v>
      </c>
      <c r="C127" s="304">
        <f t="shared" ca="1" si="11"/>
        <v>-182.35771804564865</v>
      </c>
      <c r="D127" s="304">
        <f ca="1">IF(ROUND(E126,0)&lt;&gt;0, IF(ROUND(D126,0)&lt;&gt;0, 'Career Comparison'!$F$28-C127, 0), 0)</f>
        <v>430.15276569291609</v>
      </c>
      <c r="E127" s="304">
        <f ca="1">IF(G$7&gt;=B127, E126*(1+'Government Figures'!$D$8/12)-'Career Comparison'!$F$28, 0)</f>
        <v>116178.60914085033</v>
      </c>
      <c r="F127" s="312">
        <f>'College Schedule'!$L$8*(1+'Government Figures'!$B$8/12)^B127</f>
        <v>2456.6659005735419</v>
      </c>
      <c r="G127" s="278">
        <v>1</v>
      </c>
      <c r="H127" s="279">
        <f t="shared" ca="1" si="14"/>
        <v>0.17320110972991043</v>
      </c>
      <c r="I127" s="304">
        <f>G127*('College Schedule'!$L$9)*(1+'Government Figures'!$B$8/12)^B127</f>
        <v>5470.8775015422398</v>
      </c>
      <c r="J127" s="304">
        <f t="shared" ca="1" si="12"/>
        <v>1818.8544988579147</v>
      </c>
      <c r="K127" s="304">
        <f t="shared" ca="1" si="8"/>
        <v>1252.9420380747981</v>
      </c>
      <c r="L127" s="278">
        <v>1</v>
      </c>
      <c r="M127" s="279">
        <f t="shared" si="15"/>
        <v>0.13735784313725496</v>
      </c>
      <c r="N127" s="304">
        <f>L127*('College Schedule'!$L$10)*(1+'Government Figures'!$B$8/12)^B127</f>
        <v>3282.5265009253444</v>
      </c>
      <c r="O127" s="304">
        <f t="shared" si="13"/>
        <v>374.97984014381655</v>
      </c>
      <c r="P127" s="304">
        <f t="shared" si="9"/>
        <v>258.30983481183756</v>
      </c>
      <c r="Q127" s="277"/>
      <c r="R127" s="281"/>
      <c r="S127" s="281"/>
      <c r="T127" s="281"/>
      <c r="U127" s="281"/>
      <c r="V127" s="281"/>
      <c r="W127" s="281"/>
      <c r="X127" s="281"/>
      <c r="Y127" s="281"/>
      <c r="Z127" s="281"/>
      <c r="AA127" s="281"/>
      <c r="AB127" s="281"/>
      <c r="AC127" s="281"/>
      <c r="AD127" s="281"/>
    </row>
    <row r="128" spans="1:30" s="288" customFormat="1" x14ac:dyDescent="0.25">
      <c r="A128" s="287"/>
      <c r="B128" s="274">
        <f t="shared" si="10"/>
        <v>113</v>
      </c>
      <c r="C128" s="304">
        <f t="shared" ca="1" si="11"/>
        <v>-183.03396125006839</v>
      </c>
      <c r="D128" s="304">
        <f ca="1">IF(ROUND(E127,0)&lt;&gt;0, IF(ROUND(D127,0)&lt;&gt;0, 'Career Comparison'!$F$28-C128, 0), 0)</f>
        <v>430.82900889733583</v>
      </c>
      <c r="E128" s="304">
        <f ca="1">IF(G$7&gt;=B128, E127*(1+'Government Figures'!$D$8/12)-'Career Comparison'!$F$28, 0)</f>
        <v>116361.6431021004</v>
      </c>
      <c r="F128" s="312">
        <f>'College Schedule'!$L$8*(1+'Government Figures'!$B$8/12)^B128</f>
        <v>2460.7603437411644</v>
      </c>
      <c r="G128" s="278">
        <v>1</v>
      </c>
      <c r="H128" s="279">
        <f t="shared" ca="1" si="14"/>
        <v>0.17320110972991043</v>
      </c>
      <c r="I128" s="304">
        <f>G128*('College Schedule'!$L$9)*(1+'Government Figures'!$B$8/12)^B128</f>
        <v>5479.9956307114771</v>
      </c>
      <c r="J128" s="304">
        <f t="shared" ca="1" si="12"/>
        <v>1822.2989147687572</v>
      </c>
      <c r="K128" s="304">
        <f t="shared" ca="1" si="8"/>
        <v>1251.144288682869</v>
      </c>
      <c r="L128" s="278">
        <v>1</v>
      </c>
      <c r="M128" s="279">
        <f t="shared" si="15"/>
        <v>0.13735784313725496</v>
      </c>
      <c r="N128" s="304">
        <f>L128*('College Schedule'!$L$10)*(1+'Government Figures'!$B$8/12)^B128</f>
        <v>3287.9973784268868</v>
      </c>
      <c r="O128" s="304">
        <f t="shared" si="13"/>
        <v>375.60480654405637</v>
      </c>
      <c r="P128" s="304">
        <f t="shared" si="9"/>
        <v>257.88074870749904</v>
      </c>
      <c r="Q128" s="277"/>
      <c r="R128" s="281"/>
      <c r="S128" s="281"/>
      <c r="T128" s="281"/>
      <c r="U128" s="281"/>
      <c r="V128" s="281"/>
      <c r="W128" s="281"/>
      <c r="X128" s="281"/>
      <c r="Y128" s="281"/>
      <c r="Z128" s="281"/>
      <c r="AA128" s="281"/>
      <c r="AB128" s="281"/>
      <c r="AC128" s="281"/>
      <c r="AD128" s="281"/>
    </row>
    <row r="129" spans="1:30" s="288" customFormat="1" x14ac:dyDescent="0.25">
      <c r="A129" s="287"/>
      <c r="B129" s="274">
        <f t="shared" si="10"/>
        <v>114</v>
      </c>
      <c r="C129" s="304">
        <f t="shared" ca="1" si="11"/>
        <v>-183.71271218970651</v>
      </c>
      <c r="D129" s="304">
        <f ca="1">IF(ROUND(E128,0)&lt;&gt;0, IF(ROUND(D128,0)&lt;&gt;0, 'Career Comparison'!$F$28-C129, 0), 0)</f>
        <v>431.50775983697395</v>
      </c>
      <c r="E129" s="304">
        <f ca="1">IF(G$7&gt;=B129, E128*(1+'Government Figures'!$D$8/12)-'Career Comparison'!$F$28, 0)</f>
        <v>116545.3558142901</v>
      </c>
      <c r="F129" s="312">
        <f>'College Schedule'!$L$8*(1+'Government Figures'!$B$8/12)^B129</f>
        <v>2464.8616109807331</v>
      </c>
      <c r="G129" s="278">
        <v>1</v>
      </c>
      <c r="H129" s="279">
        <f t="shared" ca="1" si="14"/>
        <v>0.17320110972991043</v>
      </c>
      <c r="I129" s="304">
        <f>G129*('College Schedule'!$L$9)*(1+'Government Figures'!$B$8/12)^B129</f>
        <v>5489.1289567626627</v>
      </c>
      <c r="J129" s="304">
        <f t="shared" ca="1" si="12"/>
        <v>1825.7490713727839</v>
      </c>
      <c r="K129" s="304">
        <f t="shared" ca="1" si="8"/>
        <v>1249.3485835601134</v>
      </c>
      <c r="L129" s="278">
        <v>1</v>
      </c>
      <c r="M129" s="279">
        <f t="shared" si="15"/>
        <v>0.13735784313725496</v>
      </c>
      <c r="N129" s="304">
        <f>L129*('College Schedule'!$L$10)*(1+'Government Figures'!$B$8/12)^B129</f>
        <v>3293.4773740575984</v>
      </c>
      <c r="O129" s="304">
        <f t="shared" si="13"/>
        <v>376.23081455496322</v>
      </c>
      <c r="P129" s="304">
        <f t="shared" si="9"/>
        <v>257.45237537077566</v>
      </c>
      <c r="Q129" s="277"/>
      <c r="R129" s="281"/>
      <c r="S129" s="281"/>
      <c r="T129" s="281"/>
      <c r="U129" s="281"/>
      <c r="V129" s="281"/>
      <c r="W129" s="281"/>
      <c r="X129" s="281"/>
      <c r="Y129" s="281"/>
      <c r="Z129" s="281"/>
      <c r="AA129" s="281"/>
      <c r="AB129" s="281"/>
      <c r="AC129" s="281"/>
      <c r="AD129" s="281"/>
    </row>
    <row r="130" spans="1:30" s="288" customFormat="1" x14ac:dyDescent="0.25">
      <c r="A130" s="287"/>
      <c r="B130" s="274">
        <f t="shared" si="10"/>
        <v>115</v>
      </c>
      <c r="C130" s="304">
        <f t="shared" ca="1" si="11"/>
        <v>-184.39398016408086</v>
      </c>
      <c r="D130" s="304">
        <f ca="1">IF(ROUND(E129,0)&lt;&gt;0, IF(ROUND(D129,0)&lt;&gt;0, 'Career Comparison'!$F$28-C130, 0), 0)</f>
        <v>432.1890278113483</v>
      </c>
      <c r="E130" s="304">
        <f ca="1">IF(G$7&gt;=B130, E129*(1+'Government Figures'!$D$8/12)-'Career Comparison'!$F$28, 0)</f>
        <v>116729.74979445418</v>
      </c>
      <c r="F130" s="312">
        <f>'College Schedule'!$L$8*(1+'Government Figures'!$B$8/12)^B130</f>
        <v>2468.9697136657014</v>
      </c>
      <c r="G130" s="278">
        <v>1</v>
      </c>
      <c r="H130" s="279">
        <f t="shared" ca="1" si="14"/>
        <v>0.17320110972991043</v>
      </c>
      <c r="I130" s="304">
        <f>G130*('College Schedule'!$L$9)*(1+'Government Figures'!$B$8/12)^B130</f>
        <v>5498.2775050239352</v>
      </c>
      <c r="J130" s="304">
        <f t="shared" ca="1" si="12"/>
        <v>1829.2049782378176</v>
      </c>
      <c r="K130" s="304">
        <f t="shared" ca="1" si="8"/>
        <v>1247.5549224403883</v>
      </c>
      <c r="L130" s="278">
        <v>1</v>
      </c>
      <c r="M130" s="279">
        <f t="shared" si="15"/>
        <v>0.13735784313725496</v>
      </c>
      <c r="N130" s="304">
        <f>L130*('College Schedule'!$L$10)*(1+'Government Figures'!$B$8/12)^B130</f>
        <v>3298.9665030143619</v>
      </c>
      <c r="O130" s="304">
        <f t="shared" si="13"/>
        <v>376.8578659125551</v>
      </c>
      <c r="P130" s="304">
        <f t="shared" si="9"/>
        <v>257.02471361766817</v>
      </c>
      <c r="Q130" s="277"/>
      <c r="R130" s="281"/>
      <c r="S130" s="281"/>
      <c r="T130" s="281"/>
      <c r="U130" s="281"/>
      <c r="V130" s="281"/>
      <c r="W130" s="281"/>
      <c r="X130" s="281"/>
      <c r="Y130" s="281"/>
      <c r="Z130" s="281"/>
      <c r="AA130" s="281"/>
      <c r="AB130" s="281"/>
      <c r="AC130" s="281"/>
      <c r="AD130" s="281"/>
    </row>
    <row r="131" spans="1:30" s="288" customFormat="1" x14ac:dyDescent="0.25">
      <c r="A131" s="287"/>
      <c r="B131" s="274">
        <f t="shared" si="10"/>
        <v>116</v>
      </c>
      <c r="C131" s="304">
        <f t="shared" ca="1" si="11"/>
        <v>-185.07777450718277</v>
      </c>
      <c r="D131" s="304">
        <f ca="1">IF(ROUND(E130,0)&lt;&gt;0, IF(ROUND(D130,0)&lt;&gt;0, 'Career Comparison'!$F$28-C131, 0), 0)</f>
        <v>432.8728221544502</v>
      </c>
      <c r="E131" s="304">
        <f ca="1">IF(G$7&gt;=B131, E130*(1+'Government Figures'!$D$8/12)-'Career Comparison'!$F$28, 0)</f>
        <v>116914.82756896137</v>
      </c>
      <c r="F131" s="312">
        <f>'College Schedule'!$L$8*(1+'Government Figures'!$B$8/12)^B131</f>
        <v>2473.0846631884779</v>
      </c>
      <c r="G131" s="278">
        <v>1</v>
      </c>
      <c r="H131" s="279">
        <f t="shared" ca="1" si="14"/>
        <v>0.17320110972991043</v>
      </c>
      <c r="I131" s="304">
        <f>G131*('College Schedule'!$L$9)*(1+'Government Figures'!$B$8/12)^B131</f>
        <v>5507.441300865642</v>
      </c>
      <c r="J131" s="304">
        <f t="shared" ca="1" si="12"/>
        <v>1832.6666449476256</v>
      </c>
      <c r="K131" s="304">
        <f t="shared" ca="1" si="8"/>
        <v>1245.7633050475954</v>
      </c>
      <c r="L131" s="278">
        <v>1</v>
      </c>
      <c r="M131" s="279">
        <f t="shared" si="15"/>
        <v>0.13735784313725496</v>
      </c>
      <c r="N131" s="304">
        <f>L131*('College Schedule'!$L$10)*(1+'Government Figures'!$B$8/12)^B131</f>
        <v>3304.4647805193858</v>
      </c>
      <c r="O131" s="304">
        <f t="shared" si="13"/>
        <v>377.48596235574269</v>
      </c>
      <c r="P131" s="304">
        <f t="shared" si="9"/>
        <v>256.59776226614377</v>
      </c>
      <c r="Q131" s="277"/>
      <c r="R131" s="281"/>
      <c r="S131" s="281"/>
      <c r="T131" s="281"/>
      <c r="U131" s="281"/>
      <c r="V131" s="281"/>
      <c r="W131" s="281"/>
      <c r="X131" s="281"/>
      <c r="Y131" s="281"/>
      <c r="Z131" s="281"/>
      <c r="AA131" s="281"/>
      <c r="AB131" s="281"/>
      <c r="AC131" s="281"/>
      <c r="AD131" s="281"/>
    </row>
    <row r="132" spans="1:30" s="288" customFormat="1" x14ac:dyDescent="0.25">
      <c r="A132" s="287"/>
      <c r="B132" s="274">
        <f t="shared" si="10"/>
        <v>117</v>
      </c>
      <c r="C132" s="304">
        <f t="shared" ca="1" si="11"/>
        <v>-185.76410458765167</v>
      </c>
      <c r="D132" s="304">
        <f ca="1">IF(ROUND(E131,0)&lt;&gt;0, IF(ROUND(D131,0)&lt;&gt;0, 'Career Comparison'!$F$28-C132, 0), 0)</f>
        <v>433.55915223491911</v>
      </c>
      <c r="E132" s="304">
        <f ca="1">IF(G$7&gt;=B132, E131*(1+'Government Figures'!$D$8/12)-'Career Comparison'!$F$28, 0)</f>
        <v>117100.59167354902</v>
      </c>
      <c r="F132" s="312">
        <f>'College Schedule'!$L$8*(1+'Government Figures'!$B$8/12)^B132</f>
        <v>2477.2064709604588</v>
      </c>
      <c r="G132" s="278">
        <v>1</v>
      </c>
      <c r="H132" s="279">
        <f t="shared" ca="1" si="14"/>
        <v>0.17320110972991043</v>
      </c>
      <c r="I132" s="304">
        <f>G132*('College Schedule'!$L$9)*(1+'Government Figures'!$B$8/12)^B132</f>
        <v>5516.6203697004185</v>
      </c>
      <c r="J132" s="304">
        <f t="shared" ca="1" si="12"/>
        <v>1836.1340811019509</v>
      </c>
      <c r="K132" s="304">
        <f t="shared" ca="1" si="8"/>
        <v>1243.9737310957321</v>
      </c>
      <c r="L132" s="278">
        <v>1</v>
      </c>
      <c r="M132" s="279">
        <f t="shared" si="15"/>
        <v>0.13735784313725496</v>
      </c>
      <c r="N132" s="304">
        <f>L132*('College Schedule'!$L$10)*(1+'Government Figures'!$B$8/12)^B132</f>
        <v>3309.9722218202519</v>
      </c>
      <c r="O132" s="304">
        <f t="shared" si="13"/>
        <v>378.11510562633566</v>
      </c>
      <c r="P132" s="304">
        <f t="shared" si="9"/>
        <v>256.17152013613367</v>
      </c>
      <c r="Q132" s="277"/>
      <c r="R132" s="281"/>
      <c r="S132" s="281"/>
      <c r="T132" s="281"/>
      <c r="U132" s="281"/>
      <c r="V132" s="281"/>
      <c r="W132" s="281"/>
      <c r="X132" s="281"/>
      <c r="Y132" s="281"/>
      <c r="Z132" s="281"/>
      <c r="AA132" s="281"/>
      <c r="AB132" s="281"/>
      <c r="AC132" s="281"/>
      <c r="AD132" s="281"/>
    </row>
    <row r="133" spans="1:30" s="288" customFormat="1" x14ac:dyDescent="0.25">
      <c r="A133" s="287"/>
      <c r="B133" s="274">
        <f t="shared" si="10"/>
        <v>118</v>
      </c>
      <c r="C133" s="304">
        <f t="shared" ca="1" si="11"/>
        <v>-186.45297980883333</v>
      </c>
      <c r="D133" s="304">
        <f ca="1">IF(ROUND(E132,0)&lt;&gt;0, IF(ROUND(D132,0)&lt;&gt;0, 'Career Comparison'!$F$28-C133, 0), 0)</f>
        <v>434.24802745610077</v>
      </c>
      <c r="E133" s="304">
        <f ca="1">IF(G$7&gt;=B133, E132*(1+'Government Figures'!$D$8/12)-'Career Comparison'!$F$28, 0)</f>
        <v>117287.04465335785</v>
      </c>
      <c r="F133" s="312">
        <f>'College Schedule'!$L$8*(1+'Government Figures'!$B$8/12)^B133</f>
        <v>2481.3351484120594</v>
      </c>
      <c r="G133" s="278">
        <v>1</v>
      </c>
      <c r="H133" s="279">
        <f t="shared" ca="1" si="14"/>
        <v>0.17320110972991043</v>
      </c>
      <c r="I133" s="304">
        <f>G133*('College Schedule'!$L$9)*(1+'Government Figures'!$B$8/12)^B133</f>
        <v>5525.8147369832523</v>
      </c>
      <c r="J133" s="304">
        <f t="shared" ca="1" si="12"/>
        <v>1839.6072963165329</v>
      </c>
      <c r="K133" s="304">
        <f t="shared" ca="1" si="8"/>
        <v>1242.1862002889411</v>
      </c>
      <c r="L133" s="278">
        <v>1</v>
      </c>
      <c r="M133" s="279">
        <f t="shared" si="15"/>
        <v>0.13735784313725496</v>
      </c>
      <c r="N133" s="304">
        <f>L133*('College Schedule'!$L$10)*(1+'Government Figures'!$B$8/12)^B133</f>
        <v>3315.4888421899518</v>
      </c>
      <c r="O133" s="304">
        <f t="shared" si="13"/>
        <v>378.74529746904591</v>
      </c>
      <c r="P133" s="304">
        <f t="shared" si="9"/>
        <v>255.74598604952848</v>
      </c>
      <c r="Q133" s="277"/>
      <c r="R133" s="281"/>
      <c r="S133" s="281"/>
      <c r="T133" s="281"/>
      <c r="U133" s="281"/>
      <c r="V133" s="281"/>
      <c r="W133" s="281"/>
      <c r="X133" s="281"/>
      <c r="Y133" s="281"/>
      <c r="Z133" s="281"/>
      <c r="AA133" s="281"/>
      <c r="AB133" s="281"/>
      <c r="AC133" s="281"/>
      <c r="AD133" s="281"/>
    </row>
    <row r="134" spans="1:30" s="288" customFormat="1" x14ac:dyDescent="0.25">
      <c r="A134" s="287"/>
      <c r="B134" s="274">
        <f t="shared" si="10"/>
        <v>119</v>
      </c>
      <c r="C134" s="304">
        <f t="shared" ca="1" si="11"/>
        <v>-187.14440960895445</v>
      </c>
      <c r="D134" s="304">
        <f ca="1">IF(ROUND(E133,0)&lt;&gt;0, IF(ROUND(D133,0)&lt;&gt;0, 'Career Comparison'!$F$28-C134, 0), 0)</f>
        <v>434.93945725622189</v>
      </c>
      <c r="E134" s="304">
        <f ca="1">IF(G$7&gt;=B134, E133*(1+'Government Figures'!$D$8/12)-'Career Comparison'!$F$28, 0)</f>
        <v>117474.18906296681</v>
      </c>
      <c r="F134" s="312">
        <f>'College Schedule'!$L$8*(1+'Government Figures'!$B$8/12)^B134</f>
        <v>2485.4707069927463</v>
      </c>
      <c r="G134" s="278">
        <v>1</v>
      </c>
      <c r="H134" s="279">
        <f t="shared" ca="1" si="14"/>
        <v>0.17320110972991043</v>
      </c>
      <c r="I134" s="304">
        <f>G134*('College Schedule'!$L$9)*(1+'Government Figures'!$B$8/12)^B134</f>
        <v>5535.0244282115582</v>
      </c>
      <c r="J134" s="304">
        <f t="shared" ca="1" si="12"/>
        <v>1843.0863002231395</v>
      </c>
      <c r="K134" s="304">
        <f t="shared" ca="1" si="8"/>
        <v>1240.400712321564</v>
      </c>
      <c r="L134" s="278">
        <v>1</v>
      </c>
      <c r="M134" s="279">
        <f t="shared" si="15"/>
        <v>0.13735784313725496</v>
      </c>
      <c r="N134" s="304">
        <f>L134*('College Schedule'!$L$10)*(1+'Government Figures'!$B$8/12)^B134</f>
        <v>3321.0146569269355</v>
      </c>
      <c r="O134" s="304">
        <f t="shared" si="13"/>
        <v>379.37653963149478</v>
      </c>
      <c r="P134" s="304">
        <f t="shared" si="9"/>
        <v>255.32115883017741</v>
      </c>
      <c r="Q134" s="277"/>
      <c r="R134" s="281"/>
      <c r="S134" s="281"/>
      <c r="T134" s="281"/>
      <c r="U134" s="281"/>
      <c r="V134" s="281"/>
      <c r="W134" s="281"/>
      <c r="X134" s="281"/>
      <c r="Y134" s="281"/>
      <c r="Z134" s="281"/>
      <c r="AA134" s="281"/>
      <c r="AB134" s="281"/>
      <c r="AC134" s="281"/>
      <c r="AD134" s="281"/>
    </row>
    <row r="135" spans="1:30" s="288" customFormat="1" x14ac:dyDescent="0.25">
      <c r="A135" s="287"/>
      <c r="B135" s="274">
        <f t="shared" si="10"/>
        <v>120</v>
      </c>
      <c r="C135" s="304">
        <f t="shared" ca="1" si="11"/>
        <v>-187.83840346125362</v>
      </c>
      <c r="D135" s="304">
        <f ca="1">IF(ROUND(E134,0)&lt;&gt;0, IF(ROUND(D134,0)&lt;&gt;0, 'Career Comparison'!$F$28-C135, 0), 0)</f>
        <v>435.63345110852106</v>
      </c>
      <c r="E135" s="304">
        <f ca="1">IF(G$7&gt;=B135, E134*(1+'Government Figures'!$D$8/12)-'Career Comparison'!$F$28, 0)</f>
        <v>117662.02746642806</v>
      </c>
      <c r="F135" s="312">
        <f>'College Schedule'!$L$8*(1+'Government Figures'!$B$8/12)^B135</f>
        <v>2489.6131581710683</v>
      </c>
      <c r="G135" s="278">
        <v>1</v>
      </c>
      <c r="H135" s="279">
        <f t="shared" ca="1" si="14"/>
        <v>0.17320110972991043</v>
      </c>
      <c r="I135" s="304">
        <f>G135*('College Schedule'!$L$9)*(1+'Government Figures'!$B$8/12)^B135</f>
        <v>5544.2494689252453</v>
      </c>
      <c r="J135" s="304">
        <f t="shared" ca="1" si="12"/>
        <v>1846.5711024695902</v>
      </c>
      <c r="K135" s="304">
        <f t="shared" ca="1" si="8"/>
        <v>1238.6172668781894</v>
      </c>
      <c r="L135" s="278">
        <v>1</v>
      </c>
      <c r="M135" s="279">
        <f t="shared" si="15"/>
        <v>0.13735784313725496</v>
      </c>
      <c r="N135" s="304">
        <f>L135*('College Schedule'!$L$10)*(1+'Government Figures'!$B$8/12)^B135</f>
        <v>3326.5496813551476</v>
      </c>
      <c r="O135" s="304">
        <f t="shared" si="13"/>
        <v>380.00883386421356</v>
      </c>
      <c r="P135" s="304">
        <f t="shared" si="9"/>
        <v>254.89703730388118</v>
      </c>
      <c r="Q135" s="277"/>
      <c r="R135" s="281"/>
      <c r="S135" s="281"/>
      <c r="T135" s="281"/>
      <c r="U135" s="281"/>
      <c r="V135" s="281"/>
      <c r="W135" s="281"/>
      <c r="X135" s="281"/>
      <c r="Y135" s="281"/>
      <c r="Z135" s="281"/>
      <c r="AA135" s="281"/>
      <c r="AB135" s="281"/>
      <c r="AC135" s="281"/>
      <c r="AD135" s="281"/>
    </row>
    <row r="136" spans="1:30" s="288" customFormat="1" x14ac:dyDescent="0.25">
      <c r="A136" s="287"/>
      <c r="B136" s="274">
        <f t="shared" si="10"/>
        <v>121</v>
      </c>
      <c r="C136" s="304">
        <f t="shared" ca="1" si="11"/>
        <v>-188.53497087408323</v>
      </c>
      <c r="D136" s="304">
        <f ca="1">IF(ROUND(E135,0)&lt;&gt;0, IF(ROUND(D135,0)&lt;&gt;0, 'Career Comparison'!$F$28-C136, 0), 0)</f>
        <v>436.33001852135067</v>
      </c>
      <c r="E136" s="304">
        <f ca="1">IF(G$7&gt;=B136, E135*(1+'Government Figures'!$D$8/12)-'Career Comparison'!$F$28, 0)</f>
        <v>117850.56243730214</v>
      </c>
      <c r="F136" s="312">
        <f>'College Schedule'!$L$8*(1+'Government Figures'!$B$8/12)^B136</f>
        <v>2493.7625134346868</v>
      </c>
      <c r="G136" s="278">
        <v>1</v>
      </c>
      <c r="H136" s="279">
        <f t="shared" ca="1" si="14"/>
        <v>0.17320110972991043</v>
      </c>
      <c r="I136" s="304">
        <f>G136*('College Schedule'!$L$9)*(1+'Government Figures'!$B$8/12)^B136</f>
        <v>5553.4898847067871</v>
      </c>
      <c r="J136" s="304">
        <f t="shared" ca="1" si="12"/>
        <v>1850.0617127197847</v>
      </c>
      <c r="K136" s="304">
        <f t="shared" ca="1" si="8"/>
        <v>1236.835863633703</v>
      </c>
      <c r="L136" s="278">
        <v>1</v>
      </c>
      <c r="M136" s="279">
        <f t="shared" si="15"/>
        <v>0.13735784313725496</v>
      </c>
      <c r="N136" s="304">
        <f>L136*('College Schedule'!$L$10)*(1+'Government Figures'!$B$8/12)^B136</f>
        <v>3332.0939308240731</v>
      </c>
      <c r="O136" s="304">
        <f t="shared" si="13"/>
        <v>380.64218192065391</v>
      </c>
      <c r="P136" s="304">
        <f t="shared" si="9"/>
        <v>254.47362029839297</v>
      </c>
      <c r="Q136" s="277"/>
      <c r="R136" s="281"/>
      <c r="S136" s="281"/>
      <c r="T136" s="281"/>
      <c r="U136" s="281"/>
      <c r="V136" s="281"/>
      <c r="W136" s="281"/>
      <c r="X136" s="281"/>
      <c r="Y136" s="281"/>
      <c r="Z136" s="281"/>
      <c r="AA136" s="281"/>
      <c r="AB136" s="281"/>
      <c r="AC136" s="281"/>
      <c r="AD136" s="281"/>
    </row>
    <row r="137" spans="1:30" s="288" customFormat="1" x14ac:dyDescent="0.25">
      <c r="A137" s="287"/>
      <c r="B137" s="274">
        <f t="shared" si="10"/>
        <v>122</v>
      </c>
      <c r="C137" s="304">
        <f t="shared" ca="1" si="11"/>
        <v>-189.23412139108405</v>
      </c>
      <c r="D137" s="304">
        <f ca="1">IF(ROUND(E136,0)&lt;&gt;0, IF(ROUND(D136,0)&lt;&gt;0, 'Career Comparison'!$F$28-C137, 0), 0)</f>
        <v>437.02916903835148</v>
      </c>
      <c r="E137" s="304">
        <f ca="1">IF(G$7&gt;=B137, E136*(1+'Government Figures'!$D$8/12)-'Career Comparison'!$F$28, 0)</f>
        <v>118039.79655869323</v>
      </c>
      <c r="F137" s="312">
        <f>'College Schedule'!$L$8*(1+'Government Figures'!$B$8/12)^B137</f>
        <v>2497.9187842904112</v>
      </c>
      <c r="G137" s="278">
        <v>1</v>
      </c>
      <c r="H137" s="279">
        <f t="shared" ca="1" si="14"/>
        <v>0.17320110972991043</v>
      </c>
      <c r="I137" s="304">
        <f>G137*('College Schedule'!$L$9)*(1+'Government Figures'!$B$8/12)^B137</f>
        <v>5562.7457011812985</v>
      </c>
      <c r="J137" s="304">
        <f t="shared" ca="1" si="12"/>
        <v>1853.5581406537299</v>
      </c>
      <c r="K137" s="304">
        <f t="shared" ca="1" si="8"/>
        <v>1235.0565022533403</v>
      </c>
      <c r="L137" s="278">
        <v>1</v>
      </c>
      <c r="M137" s="279">
        <f t="shared" si="15"/>
        <v>0.13735784313725496</v>
      </c>
      <c r="N137" s="304">
        <f>L137*('College Schedule'!$L$10)*(1+'Government Figures'!$B$8/12)^B137</f>
        <v>3337.6474207087799</v>
      </c>
      <c r="O137" s="304">
        <f t="shared" si="13"/>
        <v>381.27658555718835</v>
      </c>
      <c r="P137" s="304">
        <f t="shared" si="9"/>
        <v>254.05090664341228</v>
      </c>
      <c r="Q137" s="277"/>
      <c r="R137" s="281"/>
      <c r="S137" s="281"/>
      <c r="T137" s="281"/>
      <c r="U137" s="281"/>
      <c r="V137" s="281"/>
      <c r="W137" s="281"/>
      <c r="X137" s="281"/>
      <c r="Y137" s="281"/>
      <c r="Z137" s="281"/>
      <c r="AA137" s="281"/>
      <c r="AB137" s="281"/>
      <c r="AC137" s="281"/>
      <c r="AD137" s="281"/>
    </row>
    <row r="138" spans="1:30" s="288" customFormat="1" x14ac:dyDescent="0.25">
      <c r="A138" s="287"/>
      <c r="B138" s="274">
        <f t="shared" si="10"/>
        <v>123</v>
      </c>
      <c r="C138" s="304">
        <f t="shared" ca="1" si="11"/>
        <v>-189.93586459124344</v>
      </c>
      <c r="D138" s="304">
        <f ca="1">IF(ROUND(E137,0)&lt;&gt;0, IF(ROUND(D137,0)&lt;&gt;0, 'Career Comparison'!$F$28-C138, 0), 0)</f>
        <v>437.73091223851088</v>
      </c>
      <c r="E138" s="304">
        <f ca="1">IF(G$7&gt;=B138, E137*(1+'Government Figures'!$D$8/12)-'Career Comparison'!$F$28, 0)</f>
        <v>118229.73242328447</v>
      </c>
      <c r="F138" s="312">
        <f>'College Schedule'!$L$8*(1+'Government Figures'!$B$8/12)^B138</f>
        <v>2502.0819822642288</v>
      </c>
      <c r="G138" s="278">
        <v>1</v>
      </c>
      <c r="H138" s="279">
        <f t="shared" ca="1" si="14"/>
        <v>0.17320110972991043</v>
      </c>
      <c r="I138" s="304">
        <f>G138*('College Schedule'!$L$9)*(1+'Government Figures'!$B$8/12)^B138</f>
        <v>5572.0169440166019</v>
      </c>
      <c r="J138" s="304">
        <f t="shared" ca="1" si="12"/>
        <v>1857.0603959675659</v>
      </c>
      <c r="K138" s="304">
        <f t="shared" ca="1" si="8"/>
        <v>1233.2791823927344</v>
      </c>
      <c r="L138" s="278">
        <v>1</v>
      </c>
      <c r="M138" s="279">
        <f t="shared" si="15"/>
        <v>0.13735784313725496</v>
      </c>
      <c r="N138" s="304">
        <f>L138*('College Schedule'!$L$10)*(1+'Government Figures'!$B$8/12)^B138</f>
        <v>3343.2101664099614</v>
      </c>
      <c r="O138" s="304">
        <f t="shared" si="13"/>
        <v>381.91204653311706</v>
      </c>
      <c r="P138" s="304">
        <f t="shared" si="9"/>
        <v>253.62889517058269</v>
      </c>
      <c r="Q138" s="277"/>
      <c r="R138" s="281"/>
      <c r="S138" s="281"/>
      <c r="T138" s="281"/>
      <c r="U138" s="281"/>
      <c r="V138" s="281"/>
      <c r="W138" s="281"/>
      <c r="X138" s="281"/>
      <c r="Y138" s="281"/>
      <c r="Z138" s="281"/>
      <c r="AA138" s="281"/>
      <c r="AB138" s="281"/>
      <c r="AC138" s="281"/>
      <c r="AD138" s="281"/>
    </row>
    <row r="139" spans="1:30" s="288" customFormat="1" x14ac:dyDescent="0.25">
      <c r="A139" s="287"/>
      <c r="B139" s="274">
        <f t="shared" si="10"/>
        <v>124</v>
      </c>
      <c r="C139" s="304">
        <f t="shared" ca="1" si="11"/>
        <v>-190.64021008909913</v>
      </c>
      <c r="D139" s="304">
        <f ca="1">IF(ROUND(E138,0)&lt;&gt;0, IF(ROUND(D138,0)&lt;&gt;0, 'Career Comparison'!$F$28-C139, 0), 0)</f>
        <v>438.43525773636657</v>
      </c>
      <c r="E139" s="304">
        <f ca="1">IF(G$7&gt;=B139, E138*(1+'Government Figures'!$D$8/12)-'Career Comparison'!$F$28, 0)</f>
        <v>118420.37263337357</v>
      </c>
      <c r="F139" s="312">
        <f>'College Schedule'!$L$8*(1+'Government Figures'!$B$8/12)^B139</f>
        <v>2506.2521189013355</v>
      </c>
      <c r="G139" s="278">
        <v>1</v>
      </c>
      <c r="H139" s="279">
        <f t="shared" ca="1" si="14"/>
        <v>0.17320110972991043</v>
      </c>
      <c r="I139" s="304">
        <f>G139*('College Schedule'!$L$9)*(1+'Government Figures'!$B$8/12)^B139</f>
        <v>5581.3036389232948</v>
      </c>
      <c r="J139" s="304">
        <f t="shared" ca="1" si="12"/>
        <v>1860.5684883735903</v>
      </c>
      <c r="K139" s="304">
        <f t="shared" ca="1" si="8"/>
        <v>1231.5039036979638</v>
      </c>
      <c r="L139" s="278">
        <v>1</v>
      </c>
      <c r="M139" s="279">
        <f t="shared" si="15"/>
        <v>0.13735784313725496</v>
      </c>
      <c r="N139" s="304">
        <f>L139*('College Schedule'!$L$10)*(1+'Government Figures'!$B$8/12)^B139</f>
        <v>3348.7821833539779</v>
      </c>
      <c r="O139" s="304">
        <f t="shared" si="13"/>
        <v>382.54856661067242</v>
      </c>
      <c r="P139" s="304">
        <f t="shared" si="9"/>
        <v>253.20758471348876</v>
      </c>
      <c r="Q139" s="277"/>
      <c r="R139" s="281"/>
      <c r="S139" s="281"/>
      <c r="T139" s="281"/>
      <c r="U139" s="281"/>
      <c r="V139" s="281"/>
      <c r="W139" s="281"/>
      <c r="X139" s="281"/>
      <c r="Y139" s="281"/>
      <c r="Z139" s="281"/>
      <c r="AA139" s="281"/>
      <c r="AB139" s="281"/>
      <c r="AC139" s="281"/>
      <c r="AD139" s="281"/>
    </row>
    <row r="140" spans="1:30" s="288" customFormat="1" x14ac:dyDescent="0.25">
      <c r="A140" s="287"/>
      <c r="B140" s="274">
        <f t="shared" si="10"/>
        <v>125</v>
      </c>
      <c r="C140" s="304">
        <f t="shared" ca="1" si="11"/>
        <v>-191.34716753484099</v>
      </c>
      <c r="D140" s="304">
        <f ca="1">IF(ROUND(E139,0)&lt;&gt;0, IF(ROUND(D139,0)&lt;&gt;0, 'Career Comparison'!$F$28-C140, 0), 0)</f>
        <v>439.14221518210843</v>
      </c>
      <c r="E140" s="304">
        <f ca="1">IF(G$7&gt;=B140, E139*(1+'Government Figures'!$D$8/12)-'Career Comparison'!$F$28, 0)</f>
        <v>118611.71980090841</v>
      </c>
      <c r="F140" s="312">
        <f>'College Schedule'!$L$8*(1+'Government Figures'!$B$8/12)^B140</f>
        <v>2510.4292057661719</v>
      </c>
      <c r="G140" s="278">
        <v>1</v>
      </c>
      <c r="H140" s="279">
        <f t="shared" ca="1" si="14"/>
        <v>0.17320110972991043</v>
      </c>
      <c r="I140" s="304">
        <f>G140*('College Schedule'!$L$9)*(1+'Government Figures'!$B$8/12)^B140</f>
        <v>5590.6058116548356</v>
      </c>
      <c r="J140" s="304">
        <f t="shared" ca="1" si="12"/>
        <v>1864.0824276002922</v>
      </c>
      <c r="K140" s="304">
        <f t="shared" ca="1" si="8"/>
        <v>1229.7306658056079</v>
      </c>
      <c r="L140" s="278">
        <v>1</v>
      </c>
      <c r="M140" s="279">
        <f t="shared" si="15"/>
        <v>0.13735784313725496</v>
      </c>
      <c r="N140" s="304">
        <f>L140*('College Schedule'!$L$10)*(1+'Government Figures'!$B$8/12)^B140</f>
        <v>3354.3634869929019</v>
      </c>
      <c r="O140" s="304">
        <f t="shared" si="13"/>
        <v>383.18614755502358</v>
      </c>
      <c r="P140" s="304">
        <f t="shared" si="9"/>
        <v>252.7869741076525</v>
      </c>
      <c r="Q140" s="277"/>
      <c r="R140" s="281"/>
      <c r="S140" s="281"/>
      <c r="T140" s="281"/>
      <c r="U140" s="281"/>
      <c r="V140" s="281"/>
      <c r="W140" s="281"/>
      <c r="X140" s="281"/>
      <c r="Y140" s="281"/>
      <c r="Z140" s="281"/>
      <c r="AA140" s="281"/>
      <c r="AB140" s="281"/>
      <c r="AC140" s="281"/>
      <c r="AD140" s="281"/>
    </row>
    <row r="141" spans="1:30" s="288" customFormat="1" x14ac:dyDescent="0.25">
      <c r="A141" s="287"/>
      <c r="B141" s="274">
        <f t="shared" si="10"/>
        <v>126</v>
      </c>
      <c r="C141" s="304">
        <f t="shared" ca="1" si="11"/>
        <v>-192.05674661445664</v>
      </c>
      <c r="D141" s="304">
        <f ca="1">IF(ROUND(E140,0)&lt;&gt;0, IF(ROUND(D140,0)&lt;&gt;0, 'Career Comparison'!$F$28-C141, 0), 0)</f>
        <v>439.85179426172408</v>
      </c>
      <c r="E141" s="304">
        <f ca="1">IF(G$7&gt;=B141, E140*(1+'Government Figures'!$D$8/12)-'Career Comparison'!$F$28, 0)</f>
        <v>118803.77654752287</v>
      </c>
      <c r="F141" s="312">
        <f>'College Schedule'!$L$8*(1+'Government Figures'!$B$8/12)^B141</f>
        <v>2514.6132544424486</v>
      </c>
      <c r="G141" s="278">
        <v>1</v>
      </c>
      <c r="H141" s="279">
        <f t="shared" ca="1" si="14"/>
        <v>0.17320110972991043</v>
      </c>
      <c r="I141" s="304">
        <f>G141*('College Schedule'!$L$9)*(1+'Government Figures'!$B$8/12)^B141</f>
        <v>5599.9234880075928</v>
      </c>
      <c r="J141" s="304">
        <f t="shared" ca="1" si="12"/>
        <v>1867.6022233923713</v>
      </c>
      <c r="K141" s="304">
        <f t="shared" ca="1" si="8"/>
        <v>1227.9594683427888</v>
      </c>
      <c r="L141" s="278">
        <v>1</v>
      </c>
      <c r="M141" s="279">
        <f t="shared" si="15"/>
        <v>0.13735784313725496</v>
      </c>
      <c r="N141" s="304">
        <f>L141*('College Schedule'!$L$10)*(1+'Government Figures'!$B$8/12)^B141</f>
        <v>3359.9540928045562</v>
      </c>
      <c r="O141" s="304">
        <f t="shared" si="13"/>
        <v>383.82479113428144</v>
      </c>
      <c r="P141" s="304">
        <f t="shared" si="9"/>
        <v>252.36706219052974</v>
      </c>
      <c r="Q141" s="277"/>
      <c r="R141" s="281"/>
      <c r="S141" s="281"/>
      <c r="T141" s="281"/>
      <c r="U141" s="281"/>
      <c r="V141" s="281"/>
      <c r="W141" s="281"/>
      <c r="X141" s="281"/>
      <c r="Y141" s="281"/>
      <c r="Z141" s="281"/>
      <c r="AA141" s="281"/>
      <c r="AB141" s="281"/>
      <c r="AC141" s="281"/>
      <c r="AD141" s="281"/>
    </row>
    <row r="142" spans="1:30" s="288" customFormat="1" x14ac:dyDescent="0.25">
      <c r="A142" s="287"/>
      <c r="B142" s="274">
        <f t="shared" si="10"/>
        <v>127</v>
      </c>
      <c r="C142" s="304">
        <f t="shared" ca="1" si="11"/>
        <v>-192.76895704981871</v>
      </c>
      <c r="D142" s="304">
        <f ca="1">IF(ROUND(E141,0)&lt;&gt;0, IF(ROUND(D141,0)&lt;&gt;0, 'Career Comparison'!$F$28-C142, 0), 0)</f>
        <v>440.56400469708615</v>
      </c>
      <c r="E142" s="304">
        <f ca="1">IF(G$7&gt;=B142, E141*(1+'Government Figures'!$D$8/12)-'Career Comparison'!$F$28, 0)</f>
        <v>118996.54550457268</v>
      </c>
      <c r="F142" s="312">
        <f>'College Schedule'!$L$8*(1+'Government Figures'!$B$8/12)^B142</f>
        <v>2518.8042765331866</v>
      </c>
      <c r="G142" s="278">
        <v>1</v>
      </c>
      <c r="H142" s="279">
        <f t="shared" ca="1" si="14"/>
        <v>0.17320110972991043</v>
      </c>
      <c r="I142" s="304">
        <f>G142*('College Schedule'!$L$9)*(1+'Government Figures'!$B$8/12)^B142</f>
        <v>5609.2566938209411</v>
      </c>
      <c r="J142" s="304">
        <f t="shared" ca="1" si="12"/>
        <v>1871.1278855107716</v>
      </c>
      <c r="K142" s="304">
        <f t="shared" ca="1" si="8"/>
        <v>1226.1903109272278</v>
      </c>
      <c r="L142" s="278">
        <v>1</v>
      </c>
      <c r="M142" s="279">
        <f t="shared" si="15"/>
        <v>0.13735784313725496</v>
      </c>
      <c r="N142" s="304">
        <f>L142*('College Schedule'!$L$10)*(1+'Government Figures'!$B$8/12)^B142</f>
        <v>3365.5540162925649</v>
      </c>
      <c r="O142" s="304">
        <f t="shared" si="13"/>
        <v>384.46449911950594</v>
      </c>
      <c r="P142" s="304">
        <f t="shared" si="9"/>
        <v>251.94784780150934</v>
      </c>
      <c r="Q142" s="277"/>
      <c r="R142" s="281"/>
      <c r="S142" s="281"/>
      <c r="T142" s="281"/>
      <c r="U142" s="281"/>
      <c r="V142" s="281"/>
      <c r="W142" s="281"/>
      <c r="X142" s="281"/>
      <c r="Y142" s="281"/>
      <c r="Z142" s="281"/>
      <c r="AA142" s="281"/>
      <c r="AB142" s="281"/>
      <c r="AC142" s="281"/>
      <c r="AD142" s="281"/>
    </row>
    <row r="143" spans="1:30" s="288" customFormat="1" x14ac:dyDescent="0.25">
      <c r="A143" s="287"/>
      <c r="B143" s="274">
        <f t="shared" si="10"/>
        <v>128</v>
      </c>
      <c r="C143" s="304">
        <f t="shared" ca="1" si="11"/>
        <v>-193.48380859887402</v>
      </c>
      <c r="D143" s="304">
        <f ca="1">IF(ROUND(E142,0)&lt;&gt;0, IF(ROUND(D142,0)&lt;&gt;0, 'Career Comparison'!$F$28-C143, 0), 0)</f>
        <v>441.27885624614146</v>
      </c>
      <c r="E143" s="304">
        <f ca="1">IF(G$7&gt;=B143, E142*(1+'Government Figures'!$D$8/12)-'Career Comparison'!$F$28, 0)</f>
        <v>119190.02931317156</v>
      </c>
      <c r="F143" s="312">
        <f>'College Schedule'!$L$8*(1+'Government Figures'!$B$8/12)^B143</f>
        <v>2523.0022836607423</v>
      </c>
      <c r="G143" s="278">
        <v>1</v>
      </c>
      <c r="H143" s="279">
        <f t="shared" ca="1" si="14"/>
        <v>0.17320110972991043</v>
      </c>
      <c r="I143" s="304">
        <f>G143*('College Schedule'!$L$9)*(1+'Government Figures'!$B$8/12)^B143</f>
        <v>5618.6054549773098</v>
      </c>
      <c r="J143" s="304">
        <f t="shared" ca="1" si="12"/>
        <v>1874.6594237327022</v>
      </c>
      <c r="K143" s="304">
        <f t="shared" ref="K143:K206" ca="1" si="16">J143/(1+($G$9/12))^B143</f>
        <v>1224.423193167288</v>
      </c>
      <c r="L143" s="278">
        <v>1</v>
      </c>
      <c r="M143" s="279">
        <f t="shared" si="15"/>
        <v>0.13735784313725496</v>
      </c>
      <c r="N143" s="304">
        <f>L143*('College Schedule'!$L$10)*(1+'Government Figures'!$B$8/12)^B143</f>
        <v>3371.1632729863863</v>
      </c>
      <c r="O143" s="304">
        <f t="shared" si="13"/>
        <v>385.10527328470516</v>
      </c>
      <c r="P143" s="304">
        <f t="shared" ref="P143:P206" si="17">O143/(1+($G$9/12))^B143</f>
        <v>251.52932978190549</v>
      </c>
      <c r="Q143" s="277"/>
      <c r="R143" s="281"/>
      <c r="S143" s="281"/>
      <c r="T143" s="281"/>
      <c r="U143" s="281"/>
      <c r="V143" s="281"/>
      <c r="W143" s="281"/>
      <c r="X143" s="281"/>
      <c r="Y143" s="281"/>
      <c r="Z143" s="281"/>
      <c r="AA143" s="281"/>
      <c r="AB143" s="281"/>
      <c r="AC143" s="281"/>
      <c r="AD143" s="281"/>
    </row>
    <row r="144" spans="1:30" s="288" customFormat="1" x14ac:dyDescent="0.25">
      <c r="A144" s="287"/>
      <c r="B144" s="274">
        <f t="shared" ref="B144:B207" si="18">B143+1</f>
        <v>129</v>
      </c>
      <c r="C144" s="304">
        <f t="shared" ref="C144:C207" ca="1" si="19">E143-E144</f>
        <v>-194.20131105576002</v>
      </c>
      <c r="D144" s="304">
        <f ca="1">IF(ROUND(E143,0)&lt;&gt;0, IF(ROUND(D143,0)&lt;&gt;0, 'Career Comparison'!$F$28-C144, 0), 0)</f>
        <v>441.99635870302745</v>
      </c>
      <c r="E144" s="304">
        <f ca="1">IF(G$7&gt;=B144, E143*(1+'Government Figures'!$D$8/12)-'Career Comparison'!$F$28, 0)</f>
        <v>119384.23062422732</v>
      </c>
      <c r="F144" s="312">
        <f>'College Schedule'!$L$8*(1+'Government Figures'!$B$8/12)^B144</f>
        <v>2527.2072874668434</v>
      </c>
      <c r="G144" s="278">
        <v>1</v>
      </c>
      <c r="H144" s="279">
        <f t="shared" ca="1" si="14"/>
        <v>0.17320110972991043</v>
      </c>
      <c r="I144" s="304">
        <f>G144*('College Schedule'!$L$9)*(1+'Government Figures'!$B$8/12)^B144</f>
        <v>5627.969797402272</v>
      </c>
      <c r="J144" s="304">
        <f t="shared" ref="J144:J207" ca="1" si="20">I144*(1-H144)-F144-C144-D144</f>
        <v>1878.1968478516683</v>
      </c>
      <c r="K144" s="304">
        <f t="shared" ca="1" si="16"/>
        <v>1222.6581146620263</v>
      </c>
      <c r="L144" s="278">
        <v>1</v>
      </c>
      <c r="M144" s="279">
        <f t="shared" si="15"/>
        <v>0.13735784313725496</v>
      </c>
      <c r="N144" s="304">
        <f>L144*('College Schedule'!$L$10)*(1+'Government Figures'!$B$8/12)^B144</f>
        <v>3376.7818784413639</v>
      </c>
      <c r="O144" s="304">
        <f t="shared" ref="O144:O207" si="21">N144*(1-M144)-F144</f>
        <v>385.74711540684666</v>
      </c>
      <c r="P144" s="304">
        <f t="shared" si="17"/>
        <v>251.11150697495898</v>
      </c>
      <c r="Q144" s="277"/>
      <c r="R144" s="281"/>
      <c r="S144" s="281"/>
      <c r="T144" s="281"/>
      <c r="U144" s="281"/>
      <c r="V144" s="281"/>
      <c r="W144" s="281"/>
      <c r="X144" s="281"/>
      <c r="Y144" s="281"/>
      <c r="Z144" s="281"/>
      <c r="AA144" s="281"/>
      <c r="AB144" s="281"/>
      <c r="AC144" s="281"/>
      <c r="AD144" s="281"/>
    </row>
    <row r="145" spans="1:30" s="288" customFormat="1" x14ac:dyDescent="0.25">
      <c r="A145" s="287"/>
      <c r="B145" s="274">
        <f t="shared" si="18"/>
        <v>130</v>
      </c>
      <c r="C145" s="304">
        <f t="shared" ca="1" si="19"/>
        <v>-194.92147425092116</v>
      </c>
      <c r="D145" s="304">
        <f ca="1">IF(ROUND(E144,0)&lt;&gt;0, IF(ROUND(D144,0)&lt;&gt;0, 'Career Comparison'!$F$28-C145, 0), 0)</f>
        <v>442.7165218981886</v>
      </c>
      <c r="E145" s="304">
        <f ca="1">IF(G$7&gt;=B145, E144*(1+'Government Figures'!$D$8/12)-'Career Comparison'!$F$28, 0)</f>
        <v>119579.15209847824</v>
      </c>
      <c r="F145" s="312">
        <f>'College Schedule'!$L$8*(1+'Government Figures'!$B$8/12)^B145</f>
        <v>2531.4192996126217</v>
      </c>
      <c r="G145" s="278">
        <v>1</v>
      </c>
      <c r="H145" s="279">
        <f t="shared" ca="1" si="14"/>
        <v>0.17320110972991043</v>
      </c>
      <c r="I145" s="304">
        <f>G145*('College Schedule'!$L$9)*(1+'Government Figures'!$B$8/12)^B145</f>
        <v>5637.3497470646089</v>
      </c>
      <c r="J145" s="304">
        <f t="shared" ca="1" si="20"/>
        <v>1881.7401676774998</v>
      </c>
      <c r="K145" s="304">
        <f t="shared" ca="1" si="16"/>
        <v>1220.8950750012427</v>
      </c>
      <c r="L145" s="278">
        <v>1</v>
      </c>
      <c r="M145" s="279">
        <f t="shared" si="15"/>
        <v>0.13735784313725496</v>
      </c>
      <c r="N145" s="304">
        <f>L145*('College Schedule'!$L$10)*(1+'Government Figures'!$B$8/12)^B145</f>
        <v>3382.4098482387658</v>
      </c>
      <c r="O145" s="304">
        <f t="shared" si="21"/>
        <v>386.3900272658575</v>
      </c>
      <c r="P145" s="304">
        <f t="shared" si="17"/>
        <v>250.69437822583075</v>
      </c>
      <c r="Q145" s="277"/>
      <c r="R145" s="281"/>
      <c r="S145" s="281"/>
      <c r="T145" s="281"/>
      <c r="U145" s="281"/>
      <c r="V145" s="281"/>
      <c r="W145" s="281"/>
      <c r="X145" s="281"/>
      <c r="Y145" s="281"/>
      <c r="Z145" s="281"/>
      <c r="AA145" s="281"/>
      <c r="AB145" s="281"/>
      <c r="AC145" s="281"/>
      <c r="AD145" s="281"/>
    </row>
    <row r="146" spans="1:30" s="288" customFormat="1" x14ac:dyDescent="0.25">
      <c r="A146" s="287"/>
      <c r="B146" s="274">
        <f t="shared" si="18"/>
        <v>131</v>
      </c>
      <c r="C146" s="304">
        <f t="shared" ca="1" si="19"/>
        <v>-195.64430805126904</v>
      </c>
      <c r="D146" s="304">
        <f ca="1">IF(ROUND(E145,0)&lt;&gt;0, IF(ROUND(D145,0)&lt;&gt;0, 'Career Comparison'!$F$28-C146, 0), 0)</f>
        <v>443.43935569853647</v>
      </c>
      <c r="E146" s="304">
        <f ca="1">IF(G$7&gt;=B146, E145*(1+'Government Figures'!$D$8/12)-'Career Comparison'!$F$28, 0)</f>
        <v>119774.79640652951</v>
      </c>
      <c r="F146" s="312">
        <f>'College Schedule'!$L$8*(1+'Government Figures'!$B$8/12)^B146</f>
        <v>2535.6383317786426</v>
      </c>
      <c r="G146" s="278">
        <v>1</v>
      </c>
      <c r="H146" s="279">
        <f t="shared" ref="H146:H209" ca="1" si="22">H145</f>
        <v>0.17320110972991043</v>
      </c>
      <c r="I146" s="304">
        <f>G146*('College Schedule'!$L$9)*(1+'Government Figures'!$B$8/12)^B146</f>
        <v>5646.7453299763838</v>
      </c>
      <c r="J146" s="304">
        <f t="shared" ca="1" si="20"/>
        <v>1885.2893930363753</v>
      </c>
      <c r="K146" s="304">
        <f t="shared" ca="1" si="16"/>
        <v>1219.1340737655269</v>
      </c>
      <c r="L146" s="278">
        <v>1</v>
      </c>
      <c r="M146" s="279">
        <f t="shared" ref="M146:M209" si="23">M145</f>
        <v>0.13735784313725496</v>
      </c>
      <c r="N146" s="304">
        <f>L146*('College Schedule'!$L$10)*(1+'Government Figures'!$B$8/12)^B146</f>
        <v>3388.0471979858307</v>
      </c>
      <c r="O146" s="304">
        <f t="shared" si="21"/>
        <v>387.03401064463424</v>
      </c>
      <c r="P146" s="304">
        <f t="shared" si="17"/>
        <v>250.27794238160197</v>
      </c>
      <c r="Q146" s="277"/>
      <c r="R146" s="281"/>
      <c r="S146" s="281"/>
      <c r="T146" s="281"/>
      <c r="U146" s="281"/>
      <c r="V146" s="281"/>
      <c r="W146" s="281"/>
      <c r="X146" s="281"/>
      <c r="Y146" s="281"/>
      <c r="Z146" s="281"/>
      <c r="AA146" s="281"/>
      <c r="AB146" s="281"/>
      <c r="AC146" s="281"/>
      <c r="AD146" s="281"/>
    </row>
    <row r="147" spans="1:30" s="288" customFormat="1" x14ac:dyDescent="0.25">
      <c r="A147" s="287"/>
      <c r="B147" s="274">
        <f t="shared" si="18"/>
        <v>132</v>
      </c>
      <c r="C147" s="304">
        <f t="shared" ca="1" si="19"/>
        <v>-196.36982236029871</v>
      </c>
      <c r="D147" s="304">
        <f ca="1">IF(ROUND(E146,0)&lt;&gt;0, IF(ROUND(D146,0)&lt;&gt;0, 'Career Comparison'!$F$28-C147, 0), 0)</f>
        <v>444.16487000756615</v>
      </c>
      <c r="E147" s="304">
        <f ca="1">IF(G$7&gt;=B147, E146*(1+'Government Figures'!$D$8/12)-'Career Comparison'!$F$28, 0)</f>
        <v>119971.16622888981</v>
      </c>
      <c r="F147" s="312">
        <f>'College Schedule'!$L$8*(1+'Government Figures'!$B$8/12)^B147</f>
        <v>2539.8643956649412</v>
      </c>
      <c r="G147" s="278">
        <v>1</v>
      </c>
      <c r="H147" s="279">
        <f t="shared" ca="1" si="22"/>
        <v>0.17320110972991043</v>
      </c>
      <c r="I147" s="304">
        <f>G147*('College Schedule'!$L$9)*(1+'Government Figures'!$B$8/12)^B147</f>
        <v>5656.1565721930119</v>
      </c>
      <c r="J147" s="304">
        <f t="shared" ca="1" si="20"/>
        <v>1888.8445337708476</v>
      </c>
      <c r="K147" s="304">
        <f t="shared" ca="1" si="16"/>
        <v>1217.3751105263054</v>
      </c>
      <c r="L147" s="278">
        <v>1</v>
      </c>
      <c r="M147" s="279">
        <f t="shared" si="23"/>
        <v>0.13735784313725496</v>
      </c>
      <c r="N147" s="304">
        <f>L147*('College Schedule'!$L$10)*(1+'Government Figures'!$B$8/12)^B147</f>
        <v>3393.6939433158077</v>
      </c>
      <c r="O147" s="304">
        <f t="shared" si="21"/>
        <v>387.67906732904157</v>
      </c>
      <c r="P147" s="304">
        <f t="shared" si="17"/>
        <v>249.86219829126682</v>
      </c>
      <c r="Q147" s="277"/>
      <c r="R147" s="281"/>
      <c r="S147" s="281"/>
      <c r="T147" s="281"/>
      <c r="U147" s="281"/>
      <c r="V147" s="281"/>
      <c r="W147" s="281"/>
      <c r="X147" s="281"/>
      <c r="Y147" s="281"/>
      <c r="Z147" s="281"/>
      <c r="AA147" s="281"/>
      <c r="AB147" s="281"/>
      <c r="AC147" s="281"/>
      <c r="AD147" s="281"/>
    </row>
    <row r="148" spans="1:30" s="288" customFormat="1" x14ac:dyDescent="0.25">
      <c r="A148" s="287"/>
      <c r="B148" s="274">
        <f t="shared" si="18"/>
        <v>133</v>
      </c>
      <c r="C148" s="304">
        <f t="shared" ca="1" si="19"/>
        <v>-197.09802711821976</v>
      </c>
      <c r="D148" s="304">
        <f ca="1">IF(ROUND(E147,0)&lt;&gt;0, IF(ROUND(D147,0)&lt;&gt;0, 'Career Comparison'!$F$28-C148, 0), 0)</f>
        <v>444.8930747654872</v>
      </c>
      <c r="E148" s="304">
        <f ca="1">IF(G$7&gt;=B148, E147*(1+'Government Figures'!$D$8/12)-'Career Comparison'!$F$28, 0)</f>
        <v>120168.26425600803</v>
      </c>
      <c r="F148" s="312">
        <f>'College Schedule'!$L$8*(1+'Government Figures'!$B$8/12)^B148</f>
        <v>2544.0975029910487</v>
      </c>
      <c r="G148" s="278">
        <v>1</v>
      </c>
      <c r="H148" s="279">
        <f t="shared" ca="1" si="22"/>
        <v>0.17320110972991043</v>
      </c>
      <c r="I148" s="304">
        <f>G148*('College Schedule'!$L$9)*(1+'Government Figures'!$B$8/12)^B148</f>
        <v>5665.5834998133332</v>
      </c>
      <c r="J148" s="304">
        <f t="shared" ca="1" si="20"/>
        <v>1892.4055997398777</v>
      </c>
      <c r="K148" s="304">
        <f t="shared" ca="1" si="16"/>
        <v>1215.6181848458925</v>
      </c>
      <c r="L148" s="278">
        <v>1</v>
      </c>
      <c r="M148" s="279">
        <f t="shared" si="23"/>
        <v>0.13735784313725496</v>
      </c>
      <c r="N148" s="304">
        <f>L148*('College Schedule'!$L$10)*(1+'Government Figures'!$B$8/12)^B148</f>
        <v>3399.3500998880004</v>
      </c>
      <c r="O148" s="304">
        <f t="shared" si="21"/>
        <v>388.32519910792371</v>
      </c>
      <c r="P148" s="304">
        <f t="shared" si="17"/>
        <v>249.44714480573342</v>
      </c>
      <c r="Q148" s="277"/>
      <c r="R148" s="281"/>
      <c r="S148" s="281"/>
      <c r="T148" s="281"/>
      <c r="U148" s="281"/>
      <c r="V148" s="281"/>
      <c r="W148" s="281"/>
      <c r="X148" s="281"/>
      <c r="Y148" s="281"/>
      <c r="Z148" s="281"/>
      <c r="AA148" s="281"/>
      <c r="AB148" s="281"/>
      <c r="AC148" s="281"/>
      <c r="AD148" s="281"/>
    </row>
    <row r="149" spans="1:30" s="288" customFormat="1" x14ac:dyDescent="0.25">
      <c r="A149" s="287"/>
      <c r="B149" s="274">
        <f t="shared" si="18"/>
        <v>134</v>
      </c>
      <c r="C149" s="304">
        <f t="shared" ca="1" si="19"/>
        <v>-197.8289323021163</v>
      </c>
      <c r="D149" s="304">
        <f ca="1">IF(ROUND(E148,0)&lt;&gt;0, IF(ROUND(D148,0)&lt;&gt;0, 'Career Comparison'!$F$28-C149, 0), 0)</f>
        <v>445.62397994938374</v>
      </c>
      <c r="E149" s="304">
        <f ca="1">IF(G$7&gt;=B149, E148*(1+'Government Figures'!$D$8/12)-'Career Comparison'!$F$28, 0)</f>
        <v>120366.09318831014</v>
      </c>
      <c r="F149" s="312">
        <f>'College Schedule'!$L$8*(1+'Government Figures'!$B$8/12)^B149</f>
        <v>2548.3376654960343</v>
      </c>
      <c r="G149" s="278">
        <v>1</v>
      </c>
      <c r="H149" s="279">
        <f t="shared" ca="1" si="22"/>
        <v>0.17320110972991043</v>
      </c>
      <c r="I149" s="304">
        <f>G149*('College Schedule'!$L$9)*(1+'Government Figures'!$B$8/12)^B149</f>
        <v>5675.0261389796888</v>
      </c>
      <c r="J149" s="304">
        <f t="shared" ca="1" si="20"/>
        <v>1895.9726008188563</v>
      </c>
      <c r="K149" s="304">
        <f t="shared" ca="1" si="16"/>
        <v>1213.8632962775364</v>
      </c>
      <c r="L149" s="278">
        <v>1</v>
      </c>
      <c r="M149" s="279">
        <f t="shared" si="23"/>
        <v>0.13735784313725496</v>
      </c>
      <c r="N149" s="304">
        <f>L149*('College Schedule'!$L$10)*(1+'Government Figures'!$B$8/12)^B149</f>
        <v>3405.0156833878141</v>
      </c>
      <c r="O149" s="304">
        <f t="shared" si="21"/>
        <v>388.97240777310344</v>
      </c>
      <c r="P149" s="304">
        <f t="shared" si="17"/>
        <v>249.03278077781678</v>
      </c>
      <c r="Q149" s="277"/>
      <c r="R149" s="281"/>
      <c r="S149" s="281"/>
      <c r="T149" s="281"/>
      <c r="U149" s="281"/>
      <c r="V149" s="281"/>
      <c r="W149" s="281"/>
      <c r="X149" s="281"/>
      <c r="Y149" s="281"/>
      <c r="Z149" s="281"/>
      <c r="AA149" s="281"/>
      <c r="AB149" s="281"/>
      <c r="AC149" s="281"/>
      <c r="AD149" s="281"/>
    </row>
    <row r="150" spans="1:30" s="288" customFormat="1" x14ac:dyDescent="0.25">
      <c r="A150" s="287"/>
      <c r="B150" s="274">
        <f t="shared" si="18"/>
        <v>135</v>
      </c>
      <c r="C150" s="304">
        <f t="shared" ca="1" si="19"/>
        <v>-198.56254792606342</v>
      </c>
      <c r="D150" s="304">
        <f ca="1">IF(ROUND(E149,0)&lt;&gt;0, IF(ROUND(D149,0)&lt;&gt;0, 'Career Comparison'!$F$28-C150, 0), 0)</f>
        <v>446.35759557333085</v>
      </c>
      <c r="E150" s="304">
        <f ca="1">IF(G$7&gt;=B150, E149*(1+'Government Figures'!$D$8/12)-'Career Comparison'!$F$28, 0)</f>
        <v>120564.65573623621</v>
      </c>
      <c r="F150" s="312">
        <f>'College Schedule'!$L$8*(1+'Government Figures'!$B$8/12)^B150</f>
        <v>2552.5848949385277</v>
      </c>
      <c r="G150" s="278">
        <v>1</v>
      </c>
      <c r="H150" s="279">
        <f t="shared" ca="1" si="22"/>
        <v>0.17320110972991043</v>
      </c>
      <c r="I150" s="304">
        <f>G150*('College Schedule'!$L$9)*(1+'Government Figures'!$B$8/12)^B150</f>
        <v>5684.484515877989</v>
      </c>
      <c r="J150" s="304">
        <f t="shared" ca="1" si="20"/>
        <v>1899.5455468996333</v>
      </c>
      <c r="K150" s="304">
        <f t="shared" ca="1" si="16"/>
        <v>1212.1104443654665</v>
      </c>
      <c r="L150" s="278">
        <v>1</v>
      </c>
      <c r="M150" s="279">
        <f t="shared" si="23"/>
        <v>0.13735784313725496</v>
      </c>
      <c r="N150" s="304">
        <f>L150*('College Schedule'!$L$10)*(1+'Government Figures'!$B$8/12)^B150</f>
        <v>3410.6907095267939</v>
      </c>
      <c r="O150" s="304">
        <f t="shared" si="21"/>
        <v>389.62069511939217</v>
      </c>
      <c r="P150" s="304">
        <f t="shared" si="17"/>
        <v>248.6191050622391</v>
      </c>
      <c r="Q150" s="277"/>
      <c r="R150" s="281"/>
      <c r="S150" s="281"/>
      <c r="T150" s="281"/>
      <c r="U150" s="281"/>
      <c r="V150" s="281"/>
      <c r="W150" s="281"/>
      <c r="X150" s="281"/>
      <c r="Y150" s="281"/>
      <c r="Z150" s="281"/>
      <c r="AA150" s="281"/>
      <c r="AB150" s="281"/>
      <c r="AC150" s="281"/>
      <c r="AD150" s="281"/>
    </row>
    <row r="151" spans="1:30" s="288" customFormat="1" x14ac:dyDescent="0.25">
      <c r="A151" s="287"/>
      <c r="B151" s="274">
        <f t="shared" si="18"/>
        <v>136</v>
      </c>
      <c r="C151" s="304">
        <f t="shared" ca="1" si="19"/>
        <v>-199.29888404128724</v>
      </c>
      <c r="D151" s="304">
        <f ca="1">IF(ROUND(E150,0)&lt;&gt;0, IF(ROUND(D150,0)&lt;&gt;0, 'Career Comparison'!$F$28-C151, 0), 0)</f>
        <v>447.09393168855468</v>
      </c>
      <c r="E151" s="304">
        <f ca="1">IF(G$7&gt;=B151, E150*(1+'Government Figures'!$D$8/12)-'Career Comparison'!$F$28, 0)</f>
        <v>120763.95462027749</v>
      </c>
      <c r="F151" s="312">
        <f>'College Schedule'!$L$8*(1+'Government Figures'!$B$8/12)^B151</f>
        <v>2556.8392030967593</v>
      </c>
      <c r="G151" s="278">
        <v>1</v>
      </c>
      <c r="H151" s="279">
        <f t="shared" ca="1" si="22"/>
        <v>0.17320110972991043</v>
      </c>
      <c r="I151" s="304">
        <f>G151*('College Schedule'!$L$9)*(1+'Government Figures'!$B$8/12)^B151</f>
        <v>5693.9586567377864</v>
      </c>
      <c r="J151" s="304">
        <f t="shared" ca="1" si="20"/>
        <v>1903.1244478905446</v>
      </c>
      <c r="K151" s="304">
        <f t="shared" ca="1" si="16"/>
        <v>1210.3596286449415</v>
      </c>
      <c r="L151" s="278">
        <v>1</v>
      </c>
      <c r="M151" s="279">
        <f t="shared" si="23"/>
        <v>0.13735784313725496</v>
      </c>
      <c r="N151" s="304">
        <f>L151*('College Schedule'!$L$10)*(1+'Government Figures'!$B$8/12)^B151</f>
        <v>3416.3751940426728</v>
      </c>
      <c r="O151" s="304">
        <f t="shared" si="21"/>
        <v>390.27006294459079</v>
      </c>
      <c r="P151" s="304">
        <f t="shared" si="17"/>
        <v>248.20611651562388</v>
      </c>
      <c r="Q151" s="277"/>
      <c r="R151" s="281"/>
      <c r="S151" s="281"/>
      <c r="T151" s="281"/>
      <c r="U151" s="281"/>
      <c r="V151" s="281"/>
      <c r="W151" s="281"/>
      <c r="X151" s="281"/>
      <c r="Y151" s="281"/>
      <c r="Z151" s="281"/>
      <c r="AA151" s="281"/>
      <c r="AB151" s="281"/>
      <c r="AC151" s="281"/>
      <c r="AD151" s="281"/>
    </row>
    <row r="152" spans="1:30" s="288" customFormat="1" x14ac:dyDescent="0.25">
      <c r="A152" s="287"/>
      <c r="B152" s="274">
        <f t="shared" si="18"/>
        <v>137</v>
      </c>
      <c r="C152" s="304">
        <f t="shared" ca="1" si="19"/>
        <v>-200.03795073628135</v>
      </c>
      <c r="D152" s="304">
        <f ca="1">IF(ROUND(E151,0)&lt;&gt;0, IF(ROUND(D151,0)&lt;&gt;0, 'Career Comparison'!$F$28-C152, 0), 0)</f>
        <v>447.83299838354878</v>
      </c>
      <c r="E152" s="304">
        <f ca="1">IF(G$7&gt;=B152, E151*(1+'Government Figures'!$D$8/12)-'Career Comparison'!$F$28, 0)</f>
        <v>120963.99257101378</v>
      </c>
      <c r="F152" s="312">
        <f>'College Schedule'!$L$8*(1+'Government Figures'!$B$8/12)^B152</f>
        <v>2561.1006017685868</v>
      </c>
      <c r="G152" s="278">
        <v>1</v>
      </c>
      <c r="H152" s="279">
        <f t="shared" ca="1" si="22"/>
        <v>0.17320110972991043</v>
      </c>
      <c r="I152" s="304">
        <f>G152*('College Schedule'!$L$9)*(1+'Government Figures'!$B$8/12)^B152</f>
        <v>5703.4485878323494</v>
      </c>
      <c r="J152" s="304">
        <f t="shared" ca="1" si="20"/>
        <v>1906.7093137164416</v>
      </c>
      <c r="K152" s="304">
        <f t="shared" ca="1" si="16"/>
        <v>1208.610848642297</v>
      </c>
      <c r="L152" s="278">
        <v>1</v>
      </c>
      <c r="M152" s="279">
        <f t="shared" si="23"/>
        <v>0.13735784313725496</v>
      </c>
      <c r="N152" s="304">
        <f>L152*('College Schedule'!$L$10)*(1+'Government Figures'!$B$8/12)^B152</f>
        <v>3422.0691526994101</v>
      </c>
      <c r="O152" s="304">
        <f t="shared" si="21"/>
        <v>390.92051304949882</v>
      </c>
      <c r="P152" s="304">
        <f t="shared" si="17"/>
        <v>247.79381399649517</v>
      </c>
      <c r="Q152" s="277"/>
      <c r="R152" s="281"/>
      <c r="S152" s="281"/>
      <c r="T152" s="281"/>
      <c r="U152" s="281"/>
      <c r="V152" s="281"/>
      <c r="W152" s="281"/>
      <c r="X152" s="281"/>
      <c r="Y152" s="281"/>
      <c r="Z152" s="281"/>
      <c r="AA152" s="281"/>
      <c r="AB152" s="281"/>
      <c r="AC152" s="281"/>
      <c r="AD152" s="281"/>
    </row>
    <row r="153" spans="1:30" s="288" customFormat="1" x14ac:dyDescent="0.25">
      <c r="A153" s="287"/>
      <c r="B153" s="274">
        <f t="shared" si="18"/>
        <v>138</v>
      </c>
      <c r="C153" s="304">
        <f t="shared" ca="1" si="19"/>
        <v>-200.77975813692319</v>
      </c>
      <c r="D153" s="304">
        <f ca="1">IF(ROUND(E152,0)&lt;&gt;0, IF(ROUND(D152,0)&lt;&gt;0, 'Career Comparison'!$F$28-C153, 0), 0)</f>
        <v>448.57480578419063</v>
      </c>
      <c r="E153" s="304">
        <f ca="1">IF(G$7&gt;=B153, E152*(1+'Government Figures'!$D$8/12)-'Career Comparison'!$F$28, 0)</f>
        <v>121164.7723291507</v>
      </c>
      <c r="F153" s="312">
        <f>'College Schedule'!$L$8*(1+'Government Figures'!$B$8/12)^B153</f>
        <v>2565.3691027715349</v>
      </c>
      <c r="G153" s="278">
        <v>1</v>
      </c>
      <c r="H153" s="279">
        <f t="shared" ca="1" si="22"/>
        <v>0.17320110972991043</v>
      </c>
      <c r="I153" s="304">
        <f>G153*('College Schedule'!$L$9)*(1+'Government Figures'!$B$8/12)^B153</f>
        <v>5712.9543354787374</v>
      </c>
      <c r="J153" s="304">
        <f t="shared" ca="1" si="20"/>
        <v>1910.3001543187152</v>
      </c>
      <c r="K153" s="304">
        <f t="shared" ca="1" si="16"/>
        <v>1206.8641038749902</v>
      </c>
      <c r="L153" s="278">
        <v>1</v>
      </c>
      <c r="M153" s="279">
        <f t="shared" si="23"/>
        <v>0.13735784313725496</v>
      </c>
      <c r="N153" s="304">
        <f>L153*('College Schedule'!$L$10)*(1+'Government Figures'!$B$8/12)^B153</f>
        <v>3427.7726012872431</v>
      </c>
      <c r="O153" s="304">
        <f t="shared" si="21"/>
        <v>391.57204723791483</v>
      </c>
      <c r="P153" s="304">
        <f t="shared" si="17"/>
        <v>247.3821963652718</v>
      </c>
      <c r="Q153" s="277"/>
      <c r="R153" s="281"/>
      <c r="S153" s="281"/>
      <c r="T153" s="281"/>
      <c r="U153" s="281"/>
      <c r="V153" s="281"/>
      <c r="W153" s="281"/>
      <c r="X153" s="281"/>
      <c r="Y153" s="281"/>
      <c r="Z153" s="281"/>
      <c r="AA153" s="281"/>
      <c r="AB153" s="281"/>
      <c r="AC153" s="281"/>
      <c r="AD153" s="281"/>
    </row>
    <row r="154" spans="1:30" s="288" customFormat="1" x14ac:dyDescent="0.25">
      <c r="A154" s="287"/>
      <c r="B154" s="274">
        <f t="shared" si="18"/>
        <v>139</v>
      </c>
      <c r="C154" s="304">
        <f t="shared" ca="1" si="19"/>
        <v>-201.52431640667783</v>
      </c>
      <c r="D154" s="304">
        <f ca="1">IF(ROUND(E153,0)&lt;&gt;0, IF(ROUND(D153,0)&lt;&gt;0, 'Career Comparison'!$F$28-C154, 0), 0)</f>
        <v>449.31936405394526</v>
      </c>
      <c r="E154" s="304">
        <f ca="1">IF(G$7&gt;=B154, E153*(1+'Government Figures'!$D$8/12)-'Career Comparison'!$F$28, 0)</f>
        <v>121366.29664555738</v>
      </c>
      <c r="F154" s="312">
        <f>'College Schedule'!$L$8*(1+'Government Figures'!$B$8/12)^B154</f>
        <v>2569.644717942821</v>
      </c>
      <c r="G154" s="278">
        <v>1</v>
      </c>
      <c r="H154" s="279">
        <f t="shared" ca="1" si="22"/>
        <v>0.17320110972991043</v>
      </c>
      <c r="I154" s="304">
        <f>G154*('College Schedule'!$L$9)*(1+'Government Figures'!$B$8/12)^B154</f>
        <v>5722.4759260378696</v>
      </c>
      <c r="J154" s="304">
        <f t="shared" ca="1" si="20"/>
        <v>1913.8969796553256</v>
      </c>
      <c r="K154" s="304">
        <f t="shared" ca="1" si="16"/>
        <v>1205.1193938516501</v>
      </c>
      <c r="L154" s="278">
        <v>1</v>
      </c>
      <c r="M154" s="279">
        <f t="shared" si="23"/>
        <v>0.13735784313725496</v>
      </c>
      <c r="N154" s="304">
        <f>L154*('College Schedule'!$L$10)*(1+'Government Figures'!$B$8/12)^B154</f>
        <v>3433.4855556227221</v>
      </c>
      <c r="O154" s="304">
        <f t="shared" si="21"/>
        <v>392.22466731664463</v>
      </c>
      <c r="P154" s="304">
        <f t="shared" si="17"/>
        <v>246.97126248426628</v>
      </c>
      <c r="Q154" s="277"/>
      <c r="R154" s="281"/>
      <c r="S154" s="281"/>
      <c r="T154" s="281"/>
      <c r="U154" s="281"/>
      <c r="V154" s="281"/>
      <c r="W154" s="281"/>
      <c r="X154" s="281"/>
      <c r="Y154" s="281"/>
      <c r="Z154" s="281"/>
      <c r="AA154" s="281"/>
      <c r="AB154" s="281"/>
      <c r="AC154" s="281"/>
      <c r="AD154" s="281"/>
    </row>
    <row r="155" spans="1:30" s="288" customFormat="1" x14ac:dyDescent="0.25">
      <c r="A155" s="287"/>
      <c r="B155" s="274">
        <f t="shared" si="18"/>
        <v>140</v>
      </c>
      <c r="C155" s="304">
        <f t="shared" ca="1" si="19"/>
        <v>-202.27163574668521</v>
      </c>
      <c r="D155" s="304">
        <f ca="1">IF(ROUND(E154,0)&lt;&gt;0, IF(ROUND(D154,0)&lt;&gt;0, 'Career Comparison'!$F$28-C155, 0), 0)</f>
        <v>450.06668339395264</v>
      </c>
      <c r="E155" s="304">
        <f ca="1">IF(G$7&gt;=B155, E154*(1+'Government Figures'!$D$8/12)-'Career Comparison'!$F$28, 0)</f>
        <v>121568.56828130406</v>
      </c>
      <c r="F155" s="312">
        <f>'College Schedule'!$L$8*(1+'Government Figures'!$B$8/12)^B155</f>
        <v>2573.9274591393923</v>
      </c>
      <c r="G155" s="278">
        <v>1</v>
      </c>
      <c r="H155" s="279">
        <f t="shared" ca="1" si="22"/>
        <v>0.17320110972991043</v>
      </c>
      <c r="I155" s="304">
        <f>G155*('College Schedule'!$L$9)*(1+'Government Figures'!$B$8/12)^B155</f>
        <v>5732.013385914599</v>
      </c>
      <c r="J155" s="304">
        <f t="shared" ca="1" si="20"/>
        <v>1917.499799700829</v>
      </c>
      <c r="K155" s="304">
        <f t="shared" ca="1" si="16"/>
        <v>1203.3767180721211</v>
      </c>
      <c r="L155" s="278">
        <v>1</v>
      </c>
      <c r="M155" s="279">
        <f t="shared" si="23"/>
        <v>0.13735784313725496</v>
      </c>
      <c r="N155" s="304">
        <f>L155*('College Schedule'!$L$10)*(1+'Government Figures'!$B$8/12)^B155</f>
        <v>3439.2080315487597</v>
      </c>
      <c r="O155" s="304">
        <f t="shared" si="21"/>
        <v>392.87837509550536</v>
      </c>
      <c r="P155" s="304">
        <f t="shared" si="17"/>
        <v>246.56101121768089</v>
      </c>
      <c r="Q155" s="277"/>
      <c r="R155" s="281"/>
      <c r="S155" s="281"/>
      <c r="T155" s="281"/>
      <c r="U155" s="281"/>
      <c r="V155" s="281"/>
      <c r="W155" s="281"/>
      <c r="X155" s="281"/>
      <c r="Y155" s="281"/>
      <c r="Z155" s="281"/>
      <c r="AA155" s="281"/>
      <c r="AB155" s="281"/>
      <c r="AC155" s="281"/>
      <c r="AD155" s="281"/>
    </row>
    <row r="156" spans="1:30" s="288" customFormat="1" x14ac:dyDescent="0.25">
      <c r="A156" s="287"/>
      <c r="B156" s="274">
        <f t="shared" si="18"/>
        <v>141</v>
      </c>
      <c r="C156" s="304">
        <f t="shared" ca="1" si="19"/>
        <v>-203.02172639592027</v>
      </c>
      <c r="D156" s="304">
        <f ca="1">IF(ROUND(E155,0)&lt;&gt;0, IF(ROUND(D155,0)&lt;&gt;0, 'Career Comparison'!$F$28-C156, 0), 0)</f>
        <v>450.81677404318771</v>
      </c>
      <c r="E156" s="304">
        <f ca="1">IF(G$7&gt;=B156, E155*(1+'Government Figures'!$D$8/12)-'Career Comparison'!$F$28, 0)</f>
        <v>121771.59000769998</v>
      </c>
      <c r="F156" s="312">
        <f>'College Schedule'!$L$8*(1+'Government Figures'!$B$8/12)^B156</f>
        <v>2578.2173382379583</v>
      </c>
      <c r="G156" s="278">
        <v>1</v>
      </c>
      <c r="H156" s="279">
        <f t="shared" ca="1" si="22"/>
        <v>0.17320110972991043</v>
      </c>
      <c r="I156" s="304">
        <f>G156*('College Schedule'!$L$9)*(1+'Government Figures'!$B$8/12)^B156</f>
        <v>5741.56674155779</v>
      </c>
      <c r="J156" s="304">
        <f t="shared" ca="1" si="20"/>
        <v>1921.1086244464095</v>
      </c>
      <c r="K156" s="304">
        <f t="shared" ca="1" si="16"/>
        <v>1201.6360760275136</v>
      </c>
      <c r="L156" s="278">
        <v>1</v>
      </c>
      <c r="M156" s="279">
        <f t="shared" si="23"/>
        <v>0.13735784313725496</v>
      </c>
      <c r="N156" s="304">
        <f>L156*('College Schedule'!$L$10)*(1+'Government Figures'!$B$8/12)^B156</f>
        <v>3444.9400449346745</v>
      </c>
      <c r="O156" s="304">
        <f t="shared" si="21"/>
        <v>393.53317238733098</v>
      </c>
      <c r="P156" s="304">
        <f t="shared" si="17"/>
        <v>246.15144143160489</v>
      </c>
      <c r="Q156" s="277"/>
      <c r="R156" s="281"/>
      <c r="S156" s="281"/>
      <c r="T156" s="281"/>
      <c r="U156" s="281"/>
      <c r="V156" s="281"/>
      <c r="W156" s="281"/>
      <c r="X156" s="281"/>
      <c r="Y156" s="281"/>
      <c r="Z156" s="281"/>
      <c r="AA156" s="281"/>
      <c r="AB156" s="281"/>
      <c r="AC156" s="281"/>
      <c r="AD156" s="281"/>
    </row>
    <row r="157" spans="1:30" s="288" customFormat="1" x14ac:dyDescent="0.25">
      <c r="A157" s="287"/>
      <c r="B157" s="274">
        <f t="shared" si="18"/>
        <v>142</v>
      </c>
      <c r="C157" s="304">
        <f t="shared" ca="1" si="19"/>
        <v>-203.77459863130935</v>
      </c>
      <c r="D157" s="304">
        <f ca="1">IF(ROUND(E156,0)&lt;&gt;0, IF(ROUND(D156,0)&lt;&gt;0, 'Career Comparison'!$F$28-C157, 0), 0)</f>
        <v>451.56964627857678</v>
      </c>
      <c r="E157" s="304">
        <f ca="1">IF(G$7&gt;=B157, E156*(1+'Government Figures'!$D$8/12)-'Career Comparison'!$F$28, 0)</f>
        <v>121975.36460633129</v>
      </c>
      <c r="F157" s="312">
        <f>'College Schedule'!$L$8*(1+'Government Figures'!$B$8/12)^B157</f>
        <v>2582.514367135022</v>
      </c>
      <c r="G157" s="278">
        <v>1</v>
      </c>
      <c r="H157" s="279">
        <f t="shared" ca="1" si="22"/>
        <v>0.17320110972991043</v>
      </c>
      <c r="I157" s="304">
        <f>G157*('College Schedule'!$L$9)*(1+'Government Figures'!$B$8/12)^B157</f>
        <v>5751.1360194603876</v>
      </c>
      <c r="J157" s="304">
        <f t="shared" ca="1" si="20"/>
        <v>1924.7234638998989</v>
      </c>
      <c r="K157" s="304">
        <f t="shared" ca="1" si="16"/>
        <v>1199.8974672002441</v>
      </c>
      <c r="L157" s="278">
        <v>1</v>
      </c>
      <c r="M157" s="279">
        <f t="shared" si="23"/>
        <v>0.13735784313725496</v>
      </c>
      <c r="N157" s="304">
        <f>L157*('College Schedule'!$L$10)*(1+'Government Figures'!$B$8/12)^B157</f>
        <v>3450.6816116762334</v>
      </c>
      <c r="O157" s="304">
        <f t="shared" si="21"/>
        <v>394.18906100797722</v>
      </c>
      <c r="P157" s="304">
        <f t="shared" si="17"/>
        <v>245.74255199401128</v>
      </c>
      <c r="Q157" s="277"/>
      <c r="R157" s="281"/>
      <c r="S157" s="281"/>
      <c r="T157" s="281"/>
      <c r="U157" s="281"/>
      <c r="V157" s="281"/>
      <c r="W157" s="281"/>
      <c r="X157" s="281"/>
      <c r="Y157" s="281"/>
      <c r="Z157" s="281"/>
      <c r="AA157" s="281"/>
      <c r="AB157" s="281"/>
      <c r="AC157" s="281"/>
      <c r="AD157" s="281"/>
    </row>
    <row r="158" spans="1:30" s="288" customFormat="1" x14ac:dyDescent="0.25">
      <c r="A158" s="287"/>
      <c r="B158" s="274">
        <f t="shared" si="18"/>
        <v>143</v>
      </c>
      <c r="C158" s="304">
        <f t="shared" ca="1" si="19"/>
        <v>-204.53026276789024</v>
      </c>
      <c r="D158" s="304">
        <f ca="1">IF(ROUND(E157,0)&lt;&gt;0, IF(ROUND(D157,0)&lt;&gt;0, 'Career Comparison'!$F$28-C158, 0), 0)</f>
        <v>452.32531041515767</v>
      </c>
      <c r="E158" s="304">
        <f ca="1">IF(G$7&gt;=B158, E157*(1+'Government Figures'!$D$8/12)-'Career Comparison'!$F$28, 0)</f>
        <v>122179.89486909918</v>
      </c>
      <c r="F158" s="312">
        <f>'College Schedule'!$L$8*(1+'Government Figures'!$B$8/12)^B158</f>
        <v>2586.8185577469135</v>
      </c>
      <c r="G158" s="278">
        <v>1</v>
      </c>
      <c r="H158" s="279">
        <f t="shared" ca="1" si="22"/>
        <v>0.17320110972991043</v>
      </c>
      <c r="I158" s="304">
        <f>G158*('College Schedule'!$L$9)*(1+'Government Figures'!$B$8/12)^B158</f>
        <v>5760.7212461594881</v>
      </c>
      <c r="J158" s="304">
        <f t="shared" ca="1" si="20"/>
        <v>1928.344328085811</v>
      </c>
      <c r="K158" s="304">
        <f t="shared" ca="1" si="16"/>
        <v>1198.1608910640873</v>
      </c>
      <c r="L158" s="278">
        <v>1</v>
      </c>
      <c r="M158" s="279">
        <f t="shared" si="23"/>
        <v>0.13735784313725496</v>
      </c>
      <c r="N158" s="304">
        <f>L158*('College Schedule'!$L$10)*(1+'Government Figures'!$B$8/12)^B158</f>
        <v>3456.4327476956933</v>
      </c>
      <c r="O158" s="304">
        <f t="shared" si="21"/>
        <v>394.84604277632343</v>
      </c>
      <c r="P158" s="304">
        <f t="shared" si="17"/>
        <v>245.33434177475181</v>
      </c>
      <c r="Q158" s="277"/>
      <c r="R158" s="281"/>
      <c r="S158" s="281"/>
      <c r="T158" s="281"/>
      <c r="U158" s="281"/>
      <c r="V158" s="281"/>
      <c r="W158" s="281"/>
      <c r="X158" s="281"/>
      <c r="Y158" s="281"/>
      <c r="Z158" s="281"/>
      <c r="AA158" s="281"/>
      <c r="AB158" s="281"/>
      <c r="AC158" s="281"/>
      <c r="AD158" s="281"/>
    </row>
    <row r="159" spans="1:30" s="288" customFormat="1" x14ac:dyDescent="0.25">
      <c r="A159" s="287"/>
      <c r="B159" s="274">
        <f t="shared" si="18"/>
        <v>144</v>
      </c>
      <c r="C159" s="304">
        <f t="shared" ca="1" si="19"/>
        <v>-205.28872915898683</v>
      </c>
      <c r="D159" s="304">
        <f ca="1">IF(ROUND(E158,0)&lt;&gt;0, IF(ROUND(D158,0)&lt;&gt;0, 'Career Comparison'!$F$28-C159, 0), 0)</f>
        <v>453.08377680625426</v>
      </c>
      <c r="E159" s="304">
        <f ca="1">IF(G$7&gt;=B159, E158*(1+'Government Figures'!$D$8/12)-'Career Comparison'!$F$28, 0)</f>
        <v>122385.18359825817</v>
      </c>
      <c r="F159" s="312">
        <f>'College Schedule'!$L$8*(1+'Government Figures'!$B$8/12)^B159</f>
        <v>2591.1299220098258</v>
      </c>
      <c r="G159" s="278">
        <v>1</v>
      </c>
      <c r="H159" s="279">
        <f t="shared" ca="1" si="22"/>
        <v>0.17320110972991043</v>
      </c>
      <c r="I159" s="304">
        <f>G159*('College Schedule'!$L$9)*(1+'Government Figures'!$B$8/12)^B159</f>
        <v>5770.3224482364212</v>
      </c>
      <c r="J159" s="304">
        <f t="shared" ca="1" si="20"/>
        <v>1931.9712270453665</v>
      </c>
      <c r="K159" s="304">
        <f t="shared" ca="1" si="16"/>
        <v>1196.4263470842195</v>
      </c>
      <c r="L159" s="278">
        <v>1</v>
      </c>
      <c r="M159" s="279">
        <f t="shared" si="23"/>
        <v>0.13735784313725496</v>
      </c>
      <c r="N159" s="304">
        <f>L159*('College Schedule'!$L$10)*(1+'Government Figures'!$B$8/12)^B159</f>
        <v>3462.1934689418536</v>
      </c>
      <c r="O159" s="304">
        <f t="shared" si="21"/>
        <v>395.50411951428396</v>
      </c>
      <c r="P159" s="304">
        <f t="shared" si="17"/>
        <v>244.92680964555788</v>
      </c>
      <c r="Q159" s="277"/>
      <c r="R159" s="281"/>
      <c r="S159" s="281"/>
      <c r="T159" s="281"/>
      <c r="U159" s="281"/>
      <c r="V159" s="281"/>
      <c r="W159" s="281"/>
      <c r="X159" s="281"/>
      <c r="Y159" s="281"/>
      <c r="Z159" s="281"/>
      <c r="AA159" s="281"/>
      <c r="AB159" s="281"/>
      <c r="AC159" s="281"/>
      <c r="AD159" s="281"/>
    </row>
    <row r="160" spans="1:30" s="288" customFormat="1" x14ac:dyDescent="0.25">
      <c r="A160" s="287"/>
      <c r="B160" s="274">
        <f t="shared" si="18"/>
        <v>145</v>
      </c>
      <c r="C160" s="304">
        <f t="shared" ca="1" si="19"/>
        <v>-206.0500081962964</v>
      </c>
      <c r="D160" s="304">
        <f ca="1">IF(ROUND(E159,0)&lt;&gt;0, IF(ROUND(D159,0)&lt;&gt;0, 'Career Comparison'!$F$28-C160, 0), 0)</f>
        <v>453.84505584356384</v>
      </c>
      <c r="E160" s="304">
        <f ca="1">IF(G$7&gt;=B160, E159*(1+'Government Figures'!$D$8/12)-'Career Comparison'!$F$28, 0)</f>
        <v>122591.23360645447</v>
      </c>
      <c r="F160" s="312">
        <f>'College Schedule'!$L$8*(1+'Government Figures'!$B$8/12)^B160</f>
        <v>2595.4484718798421</v>
      </c>
      <c r="G160" s="278">
        <v>1</v>
      </c>
      <c r="H160" s="279">
        <f t="shared" ca="1" si="22"/>
        <v>0.17320110972991043</v>
      </c>
      <c r="I160" s="304">
        <f>G160*('College Schedule'!$L$9)*(1+'Government Figures'!$B$8/12)^B160</f>
        <v>5779.9396523168152</v>
      </c>
      <c r="J160" s="304">
        <f t="shared" ca="1" si="20"/>
        <v>1935.6041708365206</v>
      </c>
      <c r="K160" s="304">
        <f t="shared" ca="1" si="16"/>
        <v>1194.693834717262</v>
      </c>
      <c r="L160" s="278">
        <v>1</v>
      </c>
      <c r="M160" s="279">
        <f t="shared" si="23"/>
        <v>0.13735784313725496</v>
      </c>
      <c r="N160" s="304">
        <f>L160*('College Schedule'!$L$10)*(1+'Government Figures'!$B$8/12)^B160</f>
        <v>3467.9637913900901</v>
      </c>
      <c r="O160" s="304">
        <f t="shared" si="21"/>
        <v>396.16329304680812</v>
      </c>
      <c r="P160" s="304">
        <f t="shared" si="17"/>
        <v>244.51995448003385</v>
      </c>
      <c r="Q160" s="277"/>
      <c r="R160" s="281"/>
      <c r="S160" s="281"/>
      <c r="T160" s="281"/>
      <c r="U160" s="281"/>
      <c r="V160" s="281"/>
      <c r="W160" s="281"/>
      <c r="X160" s="281"/>
      <c r="Y160" s="281"/>
      <c r="Z160" s="281"/>
      <c r="AA160" s="281"/>
      <c r="AB160" s="281"/>
      <c r="AC160" s="281"/>
      <c r="AD160" s="281"/>
    </row>
    <row r="161" spans="1:30" s="288" customFormat="1" x14ac:dyDescent="0.25">
      <c r="A161" s="287"/>
      <c r="B161" s="274">
        <f t="shared" si="18"/>
        <v>146</v>
      </c>
      <c r="C161" s="304">
        <f t="shared" ca="1" si="19"/>
        <v>-206.81411031002062</v>
      </c>
      <c r="D161" s="304">
        <f ca="1">IF(ROUND(E160,0)&lt;&gt;0, IF(ROUND(D160,0)&lt;&gt;0, 'Career Comparison'!$F$28-C161, 0), 0)</f>
        <v>454.60915795728806</v>
      </c>
      <c r="E161" s="304">
        <f ca="1">IF(G$7&gt;=B161, E160*(1+'Government Figures'!$D$8/12)-'Career Comparison'!$F$28, 0)</f>
        <v>122798.04771676449</v>
      </c>
      <c r="F161" s="312">
        <f>'College Schedule'!$L$8*(1+'Government Figures'!$B$8/12)^B161</f>
        <v>2599.774219332975</v>
      </c>
      <c r="G161" s="278">
        <v>1</v>
      </c>
      <c r="H161" s="279">
        <f t="shared" ca="1" si="22"/>
        <v>0.17320110972991043</v>
      </c>
      <c r="I161" s="304">
        <f>G161*('College Schedule'!$L$9)*(1+'Government Figures'!$B$8/12)^B161</f>
        <v>5789.5728850706773</v>
      </c>
      <c r="J161" s="304">
        <f t="shared" ca="1" si="20"/>
        <v>1939.2431695339942</v>
      </c>
      <c r="K161" s="304">
        <f t="shared" ca="1" si="16"/>
        <v>1192.9633534113329</v>
      </c>
      <c r="L161" s="278">
        <v>1</v>
      </c>
      <c r="M161" s="279">
        <f t="shared" si="23"/>
        <v>0.13735784313725496</v>
      </c>
      <c r="N161" s="304">
        <f>L161*('College Schedule'!$L$10)*(1+'Government Figures'!$B$8/12)^B161</f>
        <v>3473.743731042407</v>
      </c>
      <c r="O161" s="304">
        <f t="shared" si="21"/>
        <v>396.82356520188614</v>
      </c>
      <c r="P161" s="304">
        <f t="shared" si="17"/>
        <v>244.11377515365504</v>
      </c>
      <c r="Q161" s="277"/>
      <c r="R161" s="281"/>
      <c r="S161" s="281"/>
      <c r="T161" s="281"/>
      <c r="U161" s="281"/>
      <c r="V161" s="281"/>
      <c r="W161" s="281"/>
      <c r="X161" s="281"/>
      <c r="Y161" s="281"/>
      <c r="Z161" s="281"/>
      <c r="AA161" s="281"/>
      <c r="AB161" s="281"/>
      <c r="AC161" s="281"/>
      <c r="AD161" s="281"/>
    </row>
    <row r="162" spans="1:30" s="288" customFormat="1" x14ac:dyDescent="0.25">
      <c r="A162" s="287"/>
      <c r="B162" s="274">
        <f t="shared" si="18"/>
        <v>147</v>
      </c>
      <c r="C162" s="304">
        <f t="shared" ca="1" si="19"/>
        <v>-207.58104596908379</v>
      </c>
      <c r="D162" s="304">
        <f ca="1">IF(ROUND(E161,0)&lt;&gt;0, IF(ROUND(D161,0)&lt;&gt;0, 'Career Comparison'!$F$28-C162, 0), 0)</f>
        <v>455.37609361635123</v>
      </c>
      <c r="E162" s="304">
        <f ca="1">IF(G$7&gt;=B162, E161*(1+'Government Figures'!$D$8/12)-'Career Comparison'!$F$28, 0)</f>
        <v>123005.62876273357</v>
      </c>
      <c r="F162" s="312">
        <f>'College Schedule'!$L$8*(1+'Government Figures'!$B$8/12)^B162</f>
        <v>2604.1071763651971</v>
      </c>
      <c r="G162" s="278">
        <v>1</v>
      </c>
      <c r="H162" s="279">
        <f t="shared" ca="1" si="22"/>
        <v>0.17320110972991043</v>
      </c>
      <c r="I162" s="304">
        <f>G162*('College Schedule'!$L$9)*(1+'Government Figures'!$B$8/12)^B162</f>
        <v>5799.2221732124626</v>
      </c>
      <c r="J162" s="304">
        <f t="shared" ca="1" si="20"/>
        <v>1942.8882332292965</v>
      </c>
      <c r="K162" s="304">
        <f t="shared" ca="1" si="16"/>
        <v>1191.2349026060851</v>
      </c>
      <c r="L162" s="278">
        <v>1</v>
      </c>
      <c r="M162" s="279">
        <f t="shared" si="23"/>
        <v>0.13735784313725496</v>
      </c>
      <c r="N162" s="304">
        <f>L162*('College Schedule'!$L$10)*(1+'Government Figures'!$B$8/12)^B162</f>
        <v>3479.5333039274783</v>
      </c>
      <c r="O162" s="304">
        <f t="shared" si="21"/>
        <v>397.48493781055595</v>
      </c>
      <c r="P162" s="304">
        <f t="shared" si="17"/>
        <v>243.70827054376522</v>
      </c>
      <c r="Q162" s="277"/>
      <c r="R162" s="281"/>
      <c r="S162" s="281"/>
      <c r="T162" s="281"/>
      <c r="U162" s="281"/>
      <c r="V162" s="281"/>
      <c r="W162" s="281"/>
      <c r="X162" s="281"/>
      <c r="Y162" s="281"/>
      <c r="Z162" s="281"/>
      <c r="AA162" s="281"/>
      <c r="AB162" s="281"/>
      <c r="AC162" s="281"/>
      <c r="AD162" s="281"/>
    </row>
    <row r="163" spans="1:30" s="288" customFormat="1" x14ac:dyDescent="0.25">
      <c r="A163" s="287"/>
      <c r="B163" s="274">
        <f t="shared" si="18"/>
        <v>148</v>
      </c>
      <c r="C163" s="304">
        <f t="shared" ca="1" si="19"/>
        <v>-208.35082568122016</v>
      </c>
      <c r="D163" s="304">
        <f ca="1">IF(ROUND(E162,0)&lt;&gt;0, IF(ROUND(D162,0)&lt;&gt;0, 'Career Comparison'!$F$28-C163, 0), 0)</f>
        <v>456.1458733284876</v>
      </c>
      <c r="E163" s="304">
        <f ca="1">IF(G$7&gt;=B163, E162*(1+'Government Figures'!$D$8/12)-'Career Comparison'!$F$28, 0)</f>
        <v>123213.97958841479</v>
      </c>
      <c r="F163" s="312">
        <f>'College Schedule'!$L$8*(1+'Government Figures'!$B$8/12)^B163</f>
        <v>2608.4473549924724</v>
      </c>
      <c r="G163" s="278">
        <v>1</v>
      </c>
      <c r="H163" s="279">
        <f t="shared" ca="1" si="22"/>
        <v>0.17320110972991043</v>
      </c>
      <c r="I163" s="304">
        <f>G163*('College Schedule'!$L$9)*(1+'Government Figures'!$B$8/12)^B163</f>
        <v>5808.8875435011496</v>
      </c>
      <c r="J163" s="304">
        <f t="shared" ca="1" si="20"/>
        <v>1946.539372030757</v>
      </c>
      <c r="K163" s="304">
        <f t="shared" ca="1" si="16"/>
        <v>1189.5084817327568</v>
      </c>
      <c r="L163" s="278">
        <v>1</v>
      </c>
      <c r="M163" s="279">
        <f t="shared" si="23"/>
        <v>0.13735784313725496</v>
      </c>
      <c r="N163" s="304">
        <f>L163*('College Schedule'!$L$10)*(1+'Government Figures'!$B$8/12)^B163</f>
        <v>3485.3325261006903</v>
      </c>
      <c r="O163" s="304">
        <f t="shared" si="21"/>
        <v>398.14741270690683</v>
      </c>
      <c r="P163" s="304">
        <f t="shared" si="17"/>
        <v>243.30343952957287</v>
      </c>
      <c r="Q163" s="277"/>
      <c r="R163" s="281"/>
      <c r="S163" s="281"/>
      <c r="T163" s="281"/>
      <c r="U163" s="281"/>
      <c r="V163" s="281"/>
      <c r="W163" s="281"/>
      <c r="X163" s="281"/>
      <c r="Y163" s="281"/>
      <c r="Z163" s="281"/>
      <c r="AA163" s="281"/>
      <c r="AB163" s="281"/>
      <c r="AC163" s="281"/>
      <c r="AD163" s="281"/>
    </row>
    <row r="164" spans="1:30" s="288" customFormat="1" x14ac:dyDescent="0.25">
      <c r="A164" s="287"/>
      <c r="B164" s="274">
        <f t="shared" si="18"/>
        <v>149</v>
      </c>
      <c r="C164" s="304">
        <f t="shared" ca="1" si="19"/>
        <v>-209.12345999311947</v>
      </c>
      <c r="D164" s="304">
        <f ca="1">IF(ROUND(E163,0)&lt;&gt;0, IF(ROUND(D163,0)&lt;&gt;0, 'Career Comparison'!$F$28-C164, 0), 0)</f>
        <v>456.91850764038691</v>
      </c>
      <c r="E164" s="304">
        <f ca="1">IF(G$7&gt;=B164, E163*(1+'Government Figures'!$D$8/12)-'Career Comparison'!$F$28, 0)</f>
        <v>123423.10304840791</v>
      </c>
      <c r="F164" s="312">
        <f>'College Schedule'!$L$8*(1+'Government Figures'!$B$8/12)^B164</f>
        <v>2612.7947672507939</v>
      </c>
      <c r="G164" s="278">
        <v>1</v>
      </c>
      <c r="H164" s="279">
        <f t="shared" ca="1" si="22"/>
        <v>0.17320110972991043</v>
      </c>
      <c r="I164" s="304">
        <f>G164*('College Schedule'!$L$9)*(1+'Government Figures'!$B$8/12)^B164</f>
        <v>5818.5690227403193</v>
      </c>
      <c r="J164" s="304">
        <f t="shared" ca="1" si="20"/>
        <v>1950.1965960635544</v>
      </c>
      <c r="K164" s="304">
        <f t="shared" ca="1" si="16"/>
        <v>1187.7840902142157</v>
      </c>
      <c r="L164" s="278">
        <v>1</v>
      </c>
      <c r="M164" s="279">
        <f t="shared" si="23"/>
        <v>0.13735784313725496</v>
      </c>
      <c r="N164" s="304">
        <f>L164*('College Schedule'!$L$10)*(1+'Government Figures'!$B$8/12)^B164</f>
        <v>3491.1414136441922</v>
      </c>
      <c r="O164" s="304">
        <f t="shared" si="21"/>
        <v>398.8109917280849</v>
      </c>
      <c r="P164" s="304">
        <f t="shared" si="17"/>
        <v>242.89928099214831</v>
      </c>
      <c r="Q164" s="277"/>
      <c r="R164" s="281"/>
      <c r="S164" s="281"/>
      <c r="T164" s="281"/>
      <c r="U164" s="281"/>
      <c r="V164" s="281"/>
      <c r="W164" s="281"/>
      <c r="X164" s="281"/>
      <c r="Y164" s="281"/>
      <c r="Z164" s="281"/>
      <c r="AA164" s="281"/>
      <c r="AB164" s="281"/>
      <c r="AC164" s="281"/>
      <c r="AD164" s="281"/>
    </row>
    <row r="165" spans="1:30" s="288" customFormat="1" x14ac:dyDescent="0.25">
      <c r="A165" s="287"/>
      <c r="B165" s="274">
        <f t="shared" si="18"/>
        <v>150</v>
      </c>
      <c r="C165" s="304">
        <f t="shared" ca="1" si="19"/>
        <v>-209.89895949060156</v>
      </c>
      <c r="D165" s="304">
        <f ca="1">IF(ROUND(E164,0)&lt;&gt;0, IF(ROUND(D164,0)&lt;&gt;0, 'Career Comparison'!$F$28-C165, 0), 0)</f>
        <v>457.69400713786899</v>
      </c>
      <c r="E165" s="304">
        <f ca="1">IF(G$7&gt;=B165, E164*(1+'Government Figures'!$D$8/12)-'Career Comparison'!$F$28, 0)</f>
        <v>123633.00200789851</v>
      </c>
      <c r="F165" s="312">
        <f>'College Schedule'!$L$8*(1+'Government Figures'!$B$8/12)^B165</f>
        <v>2617.1494251962113</v>
      </c>
      <c r="G165" s="278">
        <v>1</v>
      </c>
      <c r="H165" s="279">
        <f t="shared" ca="1" si="22"/>
        <v>0.17320110972991043</v>
      </c>
      <c r="I165" s="304">
        <f>G165*('College Schedule'!$L$9)*(1+'Government Figures'!$B$8/12)^B165</f>
        <v>5828.2666377782198</v>
      </c>
      <c r="J165" s="304">
        <f t="shared" ca="1" si="20"/>
        <v>1953.8599154697399</v>
      </c>
      <c r="K165" s="304">
        <f t="shared" ca="1" si="16"/>
        <v>1186.0617274650008</v>
      </c>
      <c r="L165" s="278">
        <v>1</v>
      </c>
      <c r="M165" s="279">
        <f t="shared" si="23"/>
        <v>0.13735784313725496</v>
      </c>
      <c r="N165" s="304">
        <f>L165*('College Schedule'!$L$10)*(1+'Government Figures'!$B$8/12)^B165</f>
        <v>3496.9599826669323</v>
      </c>
      <c r="O165" s="304">
        <f t="shared" si="21"/>
        <v>399.47567671429852</v>
      </c>
      <c r="P165" s="304">
        <f t="shared" si="17"/>
        <v>242.49579381442047</v>
      </c>
      <c r="Q165" s="277"/>
      <c r="R165" s="281"/>
      <c r="S165" s="281"/>
      <c r="T165" s="281"/>
      <c r="U165" s="281"/>
      <c r="V165" s="281"/>
      <c r="W165" s="281"/>
      <c r="X165" s="281"/>
      <c r="Y165" s="281"/>
      <c r="Z165" s="281"/>
      <c r="AA165" s="281"/>
      <c r="AB165" s="281"/>
      <c r="AC165" s="281"/>
      <c r="AD165" s="281"/>
    </row>
    <row r="166" spans="1:30" s="288" customFormat="1" x14ac:dyDescent="0.25">
      <c r="A166" s="287"/>
      <c r="B166" s="274">
        <f t="shared" si="18"/>
        <v>151</v>
      </c>
      <c r="C166" s="304">
        <f t="shared" ca="1" si="19"/>
        <v>-210.67733479870367</v>
      </c>
      <c r="D166" s="304">
        <f ca="1">IF(ROUND(E165,0)&lt;&gt;0, IF(ROUND(D165,0)&lt;&gt;0, 'Career Comparison'!$F$28-C166, 0), 0)</f>
        <v>458.47238244597111</v>
      </c>
      <c r="E166" s="304">
        <f ca="1">IF(G$7&gt;=B166, E165*(1+'Government Figures'!$D$8/12)-'Career Comparison'!$F$28, 0)</f>
        <v>123843.67934269721</v>
      </c>
      <c r="F166" s="312">
        <f>'College Schedule'!$L$8*(1+'Government Figures'!$B$8/12)^B166</f>
        <v>2621.5113409048722</v>
      </c>
      <c r="G166" s="278">
        <v>1</v>
      </c>
      <c r="H166" s="279">
        <f t="shared" ca="1" si="22"/>
        <v>0.17320110972991043</v>
      </c>
      <c r="I166" s="304">
        <f>G166*('College Schedule'!$L$9)*(1+'Government Figures'!$B$8/12)^B166</f>
        <v>5837.98041550785</v>
      </c>
      <c r="J166" s="304">
        <f t="shared" ca="1" si="20"/>
        <v>1957.5293404082668</v>
      </c>
      <c r="K166" s="304">
        <f t="shared" ca="1" si="16"/>
        <v>1184.3413928913697</v>
      </c>
      <c r="L166" s="278">
        <v>1</v>
      </c>
      <c r="M166" s="279">
        <f t="shared" si="23"/>
        <v>0.13735784313725496</v>
      </c>
      <c r="N166" s="304">
        <f>L166*('College Schedule'!$L$10)*(1+'Government Figures'!$B$8/12)^B166</f>
        <v>3502.7882493047109</v>
      </c>
      <c r="O166" s="304">
        <f t="shared" si="21"/>
        <v>400.14146950882241</v>
      </c>
      <c r="P166" s="304">
        <f t="shared" si="17"/>
        <v>242.09297688117397</v>
      </c>
      <c r="Q166" s="277"/>
      <c r="R166" s="281"/>
      <c r="S166" s="281"/>
      <c r="T166" s="281"/>
      <c r="U166" s="281"/>
      <c r="V166" s="281"/>
      <c r="W166" s="281"/>
      <c r="X166" s="281"/>
      <c r="Y166" s="281"/>
      <c r="Z166" s="281"/>
      <c r="AA166" s="281"/>
      <c r="AB166" s="281"/>
      <c r="AC166" s="281"/>
      <c r="AD166" s="281"/>
    </row>
    <row r="167" spans="1:30" s="288" customFormat="1" x14ac:dyDescent="0.25">
      <c r="A167" s="287"/>
      <c r="B167" s="274">
        <f t="shared" si="18"/>
        <v>152</v>
      </c>
      <c r="C167" s="304">
        <f t="shared" ca="1" si="19"/>
        <v>-211.4585965819133</v>
      </c>
      <c r="D167" s="304">
        <f ca="1">IF(ROUND(E166,0)&lt;&gt;0, IF(ROUND(D166,0)&lt;&gt;0, 'Career Comparison'!$F$28-C167, 0), 0)</f>
        <v>459.25364422918074</v>
      </c>
      <c r="E167" s="304">
        <f ca="1">IF(G$7&gt;=B167, E166*(1+'Government Figures'!$D$8/12)-'Career Comparison'!$F$28, 0)</f>
        <v>124055.13793927913</v>
      </c>
      <c r="F167" s="312">
        <f>'College Schedule'!$L$8*(1+'Government Figures'!$B$8/12)^B167</f>
        <v>2625.8805264730477</v>
      </c>
      <c r="G167" s="278">
        <v>1</v>
      </c>
      <c r="H167" s="279">
        <f t="shared" ca="1" si="22"/>
        <v>0.17320110972991043</v>
      </c>
      <c r="I167" s="304">
        <f>G167*('College Schedule'!$L$9)*(1+'Government Figures'!$B$8/12)^B167</f>
        <v>5847.7103828670315</v>
      </c>
      <c r="J167" s="304">
        <f t="shared" ca="1" si="20"/>
        <v>1961.2048810550268</v>
      </c>
      <c r="K167" s="304">
        <f t="shared" ca="1" si="16"/>
        <v>1182.6230858913457</v>
      </c>
      <c r="L167" s="278">
        <v>1</v>
      </c>
      <c r="M167" s="279">
        <f t="shared" si="23"/>
        <v>0.13735784313725496</v>
      </c>
      <c r="N167" s="304">
        <f>L167*('College Schedule'!$L$10)*(1+'Government Figures'!$B$8/12)^B167</f>
        <v>3508.6262297202197</v>
      </c>
      <c r="O167" s="304">
        <f t="shared" si="21"/>
        <v>400.80837195800359</v>
      </c>
      <c r="P167" s="304">
        <f t="shared" si="17"/>
        <v>241.69082907904564</v>
      </c>
      <c r="Q167" s="277"/>
      <c r="R167" s="281"/>
      <c r="S167" s="281"/>
      <c r="T167" s="281"/>
      <c r="U167" s="281"/>
      <c r="V167" s="281"/>
      <c r="W167" s="281"/>
      <c r="X167" s="281"/>
      <c r="Y167" s="281"/>
      <c r="Z167" s="281"/>
      <c r="AA167" s="281"/>
      <c r="AB167" s="281"/>
      <c r="AC167" s="281"/>
      <c r="AD167" s="281"/>
    </row>
    <row r="168" spans="1:30" s="288" customFormat="1" x14ac:dyDescent="0.25">
      <c r="A168" s="287"/>
      <c r="B168" s="274">
        <f t="shared" si="18"/>
        <v>153</v>
      </c>
      <c r="C168" s="304">
        <f t="shared" ca="1" si="19"/>
        <v>-212.24275554424094</v>
      </c>
      <c r="D168" s="304">
        <f ca="1">IF(ROUND(E167,0)&lt;&gt;0, IF(ROUND(D167,0)&lt;&gt;0, 'Career Comparison'!$F$28-C168, 0), 0)</f>
        <v>460.03780319150837</v>
      </c>
      <c r="E168" s="304">
        <f ca="1">IF(G$7&gt;=B168, E167*(1+'Government Figures'!$D$8/12)-'Career Comparison'!$F$28, 0)</f>
        <v>124267.38069482337</v>
      </c>
      <c r="F168" s="312">
        <f>'College Schedule'!$L$8*(1+'Government Figures'!$B$8/12)^B168</f>
        <v>2630.2569940171688</v>
      </c>
      <c r="G168" s="278">
        <v>1</v>
      </c>
      <c r="H168" s="279">
        <f t="shared" ca="1" si="22"/>
        <v>0.17320110972991043</v>
      </c>
      <c r="I168" s="304">
        <f>G168*('College Schedule'!$L$9)*(1+'Government Figures'!$B$8/12)^B168</f>
        <v>5857.4565668384757</v>
      </c>
      <c r="J168" s="304">
        <f t="shared" ca="1" si="20"/>
        <v>1964.8865476028645</v>
      </c>
      <c r="K168" s="304">
        <f t="shared" ca="1" si="16"/>
        <v>1180.9068058547555</v>
      </c>
      <c r="L168" s="278">
        <v>1</v>
      </c>
      <c r="M168" s="279">
        <f t="shared" si="23"/>
        <v>0.13735784313725496</v>
      </c>
      <c r="N168" s="304">
        <f>L168*('College Schedule'!$L$10)*(1+'Government Figures'!$B$8/12)^B168</f>
        <v>3514.4739401030861</v>
      </c>
      <c r="O168" s="304">
        <f t="shared" si="21"/>
        <v>401.47638591126724</v>
      </c>
      <c r="P168" s="304">
        <f t="shared" si="17"/>
        <v>241.28934929652249</v>
      </c>
      <c r="Q168" s="277"/>
      <c r="R168" s="281"/>
      <c r="S168" s="281"/>
      <c r="T168" s="281"/>
      <c r="U168" s="281"/>
      <c r="V168" s="281"/>
      <c r="W168" s="281"/>
      <c r="X168" s="281"/>
      <c r="Y168" s="281"/>
      <c r="Z168" s="281"/>
      <c r="AA168" s="281"/>
      <c r="AB168" s="281"/>
      <c r="AC168" s="281"/>
      <c r="AD168" s="281"/>
    </row>
    <row r="169" spans="1:30" s="288" customFormat="1" x14ac:dyDescent="0.25">
      <c r="A169" s="287"/>
      <c r="B169" s="274">
        <f t="shared" si="18"/>
        <v>154</v>
      </c>
      <c r="C169" s="304">
        <f t="shared" ca="1" si="19"/>
        <v>-213.02982242938015</v>
      </c>
      <c r="D169" s="304">
        <f ca="1">IF(ROUND(E168,0)&lt;&gt;0, IF(ROUND(D168,0)&lt;&gt;0, 'Career Comparison'!$F$28-C169, 0), 0)</f>
        <v>460.82487007664758</v>
      </c>
      <c r="E169" s="304">
        <f ca="1">IF(G$7&gt;=B169, E168*(1+'Government Figures'!$D$8/12)-'Career Comparison'!$F$28, 0)</f>
        <v>124480.41051725275</v>
      </c>
      <c r="F169" s="312">
        <f>'College Schedule'!$L$8*(1+'Government Figures'!$B$8/12)^B169</f>
        <v>2634.6407556738645</v>
      </c>
      <c r="G169" s="278">
        <v>1</v>
      </c>
      <c r="H169" s="279">
        <f t="shared" ca="1" si="22"/>
        <v>0.17320110972991043</v>
      </c>
      <c r="I169" s="304">
        <f>G169*('College Schedule'!$L$9)*(1+'Government Figures'!$B$8/12)^B169</f>
        <v>5867.2189944498741</v>
      </c>
      <c r="J169" s="304">
        <f t="shared" ca="1" si="20"/>
        <v>1968.5743502616151</v>
      </c>
      <c r="K169" s="304">
        <f t="shared" ca="1" si="16"/>
        <v>1179.1925521632779</v>
      </c>
      <c r="L169" s="278">
        <v>1</v>
      </c>
      <c r="M169" s="279">
        <f t="shared" si="23"/>
        <v>0.13735784313725496</v>
      </c>
      <c r="N169" s="304">
        <f>L169*('College Schedule'!$L$10)*(1+'Government Figures'!$B$8/12)^B169</f>
        <v>3520.3313966699247</v>
      </c>
      <c r="O169" s="304">
        <f t="shared" si="21"/>
        <v>402.14551322111902</v>
      </c>
      <c r="P169" s="304">
        <f t="shared" si="17"/>
        <v>240.8885364239367</v>
      </c>
      <c r="Q169" s="277"/>
      <c r="R169" s="281"/>
      <c r="S169" s="281"/>
      <c r="T169" s="281"/>
      <c r="U169" s="281"/>
      <c r="V169" s="281"/>
      <c r="W169" s="281"/>
      <c r="X169" s="281"/>
      <c r="Y169" s="281"/>
      <c r="Z169" s="281"/>
      <c r="AA169" s="281"/>
      <c r="AB169" s="281"/>
      <c r="AC169" s="281"/>
      <c r="AD169" s="281"/>
    </row>
    <row r="170" spans="1:30" s="288" customFormat="1" x14ac:dyDescent="0.25">
      <c r="A170" s="287"/>
      <c r="B170" s="274">
        <f t="shared" si="18"/>
        <v>155</v>
      </c>
      <c r="C170" s="304">
        <f t="shared" ca="1" si="19"/>
        <v>-213.81980802089674</v>
      </c>
      <c r="D170" s="304">
        <f ca="1">IF(ROUND(E169,0)&lt;&gt;0, IF(ROUND(D169,0)&lt;&gt;0, 'Career Comparison'!$F$28-C170, 0), 0)</f>
        <v>461.61485566816418</v>
      </c>
      <c r="E170" s="304">
        <f ca="1">IF(G$7&gt;=B170, E169*(1+'Government Figures'!$D$8/12)-'Career Comparison'!$F$28, 0)</f>
        <v>124694.23032527365</v>
      </c>
      <c r="F170" s="312">
        <f>'College Schedule'!$L$8*(1+'Government Figures'!$B$8/12)^B170</f>
        <v>2639.031823599988</v>
      </c>
      <c r="G170" s="278">
        <v>1</v>
      </c>
      <c r="H170" s="279">
        <f t="shared" ca="1" si="22"/>
        <v>0.17320110972991043</v>
      </c>
      <c r="I170" s="304">
        <f>G170*('College Schedule'!$L$9)*(1+'Government Figures'!$B$8/12)^B170</f>
        <v>5876.9976927739581</v>
      </c>
      <c r="J170" s="304">
        <f t="shared" ca="1" si="20"/>
        <v>1972.2682992581304</v>
      </c>
      <c r="K170" s="304">
        <f t="shared" ca="1" si="16"/>
        <v>1177.4803241904876</v>
      </c>
      <c r="L170" s="278">
        <v>1</v>
      </c>
      <c r="M170" s="279">
        <f t="shared" si="23"/>
        <v>0.13735784313725496</v>
      </c>
      <c r="N170" s="304">
        <f>L170*('College Schedule'!$L$10)*(1+'Government Figures'!$B$8/12)^B170</f>
        <v>3526.1986156643752</v>
      </c>
      <c r="O170" s="304">
        <f t="shared" si="21"/>
        <v>402.81575574315457</v>
      </c>
      <c r="P170" s="304">
        <f t="shared" si="17"/>
        <v>240.48838935346521</v>
      </c>
      <c r="Q170" s="277"/>
      <c r="R170" s="281"/>
      <c r="S170" s="281"/>
      <c r="T170" s="281"/>
      <c r="U170" s="281"/>
      <c r="V170" s="281"/>
      <c r="W170" s="281"/>
      <c r="X170" s="281"/>
      <c r="Y170" s="281"/>
      <c r="Z170" s="281"/>
      <c r="AA170" s="281"/>
      <c r="AB170" s="281"/>
      <c r="AC170" s="281"/>
      <c r="AD170" s="281"/>
    </row>
    <row r="171" spans="1:30" s="288" customFormat="1" x14ac:dyDescent="0.25">
      <c r="A171" s="287"/>
      <c r="B171" s="274">
        <f t="shared" si="18"/>
        <v>156</v>
      </c>
      <c r="C171" s="304">
        <f t="shared" ca="1" si="19"/>
        <v>-214.61272314230155</v>
      </c>
      <c r="D171" s="304">
        <f ca="1">IF(ROUND(E170,0)&lt;&gt;0, IF(ROUND(D170,0)&lt;&gt;0, 'Career Comparison'!$F$28-C171, 0), 0)</f>
        <v>462.40777078956899</v>
      </c>
      <c r="E171" s="304">
        <f ca="1">IF(G$7&gt;=B171, E170*(1+'Government Figures'!$D$8/12)-'Career Comparison'!$F$28, 0)</f>
        <v>124908.84304841595</v>
      </c>
      <c r="F171" s="312">
        <f>'College Schedule'!$L$8*(1+'Government Figures'!$B$8/12)^B171</f>
        <v>2643.4302099726542</v>
      </c>
      <c r="G171" s="278">
        <v>1</v>
      </c>
      <c r="H171" s="279">
        <f t="shared" ca="1" si="22"/>
        <v>0.17320110972991043</v>
      </c>
      <c r="I171" s="304">
        <f>G171*('College Schedule'!$L$9)*(1+'Government Figures'!$B$8/12)^B171</f>
        <v>5886.7926889285809</v>
      </c>
      <c r="J171" s="304">
        <f t="shared" ca="1" si="20"/>
        <v>1975.968404836306</v>
      </c>
      <c r="K171" s="304">
        <f t="shared" ca="1" si="16"/>
        <v>1175.7701213018972</v>
      </c>
      <c r="L171" s="278">
        <v>1</v>
      </c>
      <c r="M171" s="279">
        <f t="shared" si="23"/>
        <v>0.13735784313725496</v>
      </c>
      <c r="N171" s="304">
        <f>L171*('College Schedule'!$L$10)*(1+'Government Figures'!$B$8/12)^B171</f>
        <v>3532.075613357149</v>
      </c>
      <c r="O171" s="304">
        <f t="shared" si="21"/>
        <v>403.48711533606001</v>
      </c>
      <c r="P171" s="304">
        <f t="shared" si="17"/>
        <v>240.08890697912398</v>
      </c>
      <c r="Q171" s="277"/>
      <c r="R171" s="281"/>
      <c r="S171" s="281"/>
      <c r="T171" s="281"/>
      <c r="U171" s="281"/>
      <c r="V171" s="281"/>
      <c r="W171" s="281"/>
      <c r="X171" s="281"/>
      <c r="Y171" s="281"/>
      <c r="Z171" s="281"/>
      <c r="AA171" s="281"/>
      <c r="AB171" s="281"/>
      <c r="AC171" s="281"/>
      <c r="AD171" s="281"/>
    </row>
    <row r="172" spans="1:30" s="288" customFormat="1" x14ac:dyDescent="0.25">
      <c r="A172" s="287"/>
      <c r="B172" s="274">
        <f t="shared" si="18"/>
        <v>157</v>
      </c>
      <c r="C172" s="304">
        <f t="shared" ca="1" si="19"/>
        <v>-215.40857865729777</v>
      </c>
      <c r="D172" s="304">
        <f ca="1">IF(ROUND(E171,0)&lt;&gt;0, IF(ROUND(D171,0)&lt;&gt;0, 'Career Comparison'!$F$28-C172, 0), 0)</f>
        <v>463.2036263045652</v>
      </c>
      <c r="E172" s="304">
        <f ca="1">IF(G$7&gt;=B172, E171*(1+'Government Figures'!$D$8/12)-'Career Comparison'!$F$28, 0)</f>
        <v>125124.25162707324</v>
      </c>
      <c r="F172" s="312">
        <f>'College Schedule'!$L$8*(1+'Government Figures'!$B$8/12)^B172</f>
        <v>2647.8359269892762</v>
      </c>
      <c r="G172" s="278">
        <v>1</v>
      </c>
      <c r="H172" s="279">
        <f t="shared" ca="1" si="22"/>
        <v>0.17320110972991043</v>
      </c>
      <c r="I172" s="304">
        <f>G172*('College Schedule'!$L$9)*(1+'Government Figures'!$B$8/12)^B172</f>
        <v>5896.6040100767968</v>
      </c>
      <c r="J172" s="304">
        <f t="shared" ca="1" si="20"/>
        <v>1979.6746772571119</v>
      </c>
      <c r="K172" s="304">
        <f t="shared" ca="1" si="16"/>
        <v>1174.0619428550031</v>
      </c>
      <c r="L172" s="278">
        <v>1</v>
      </c>
      <c r="M172" s="279">
        <f t="shared" si="23"/>
        <v>0.13735784313725496</v>
      </c>
      <c r="N172" s="304">
        <f>L172*('College Schedule'!$L$10)*(1+'Government Figures'!$B$8/12)^B172</f>
        <v>3537.9624060460787</v>
      </c>
      <c r="O172" s="304">
        <f t="shared" si="21"/>
        <v>404.15959386162012</v>
      </c>
      <c r="P172" s="304">
        <f t="shared" si="17"/>
        <v>239.69008819676665</v>
      </c>
      <c r="Q172" s="277"/>
      <c r="R172" s="281"/>
      <c r="S172" s="281"/>
      <c r="T172" s="281"/>
      <c r="U172" s="281"/>
      <c r="V172" s="281"/>
      <c r="W172" s="281"/>
      <c r="X172" s="281"/>
      <c r="Y172" s="281"/>
      <c r="Z172" s="281"/>
      <c r="AA172" s="281"/>
      <c r="AB172" s="281"/>
      <c r="AC172" s="281"/>
      <c r="AD172" s="281"/>
    </row>
    <row r="173" spans="1:30" s="288" customFormat="1" x14ac:dyDescent="0.25">
      <c r="A173" s="287"/>
      <c r="B173" s="274">
        <f t="shared" si="18"/>
        <v>158</v>
      </c>
      <c r="C173" s="304">
        <f t="shared" ca="1" si="19"/>
        <v>-216.20738546981011</v>
      </c>
      <c r="D173" s="304">
        <f ca="1">IF(ROUND(E172,0)&lt;&gt;0, IF(ROUND(D172,0)&lt;&gt;0, 'Career Comparison'!$F$28-C173, 0), 0)</f>
        <v>464.00243311707754</v>
      </c>
      <c r="E173" s="304">
        <f ca="1">IF(G$7&gt;=B173, E172*(1+'Government Figures'!$D$8/12)-'Career Comparison'!$F$28, 0)</f>
        <v>125340.45901254305</v>
      </c>
      <c r="F173" s="312">
        <f>'College Schedule'!$L$8*(1+'Government Figures'!$B$8/12)^B173</f>
        <v>2652.2489868675912</v>
      </c>
      <c r="G173" s="278">
        <v>1</v>
      </c>
      <c r="H173" s="279">
        <f t="shared" ca="1" si="22"/>
        <v>0.17320110972991043</v>
      </c>
      <c r="I173" s="304">
        <f>G173*('College Schedule'!$L$9)*(1+'Government Figures'!$B$8/12)^B173</f>
        <v>5906.4316834269239</v>
      </c>
      <c r="J173" s="304">
        <f t="shared" ca="1" si="20"/>
        <v>1983.3871267986192</v>
      </c>
      <c r="K173" s="304">
        <f t="shared" ca="1" si="16"/>
        <v>1172.3557881993268</v>
      </c>
      <c r="L173" s="278">
        <v>1</v>
      </c>
      <c r="M173" s="279">
        <f t="shared" si="23"/>
        <v>0.13735784313725496</v>
      </c>
      <c r="N173" s="304">
        <f>L173*('College Schedule'!$L$10)*(1+'Government Figures'!$B$8/12)^B173</f>
        <v>3543.8590100561551</v>
      </c>
      <c r="O173" s="304">
        <f t="shared" si="21"/>
        <v>404.83319318472286</v>
      </c>
      <c r="P173" s="304">
        <f t="shared" si="17"/>
        <v>239.291931904081</v>
      </c>
      <c r="Q173" s="277"/>
      <c r="R173" s="281"/>
      <c r="S173" s="281"/>
      <c r="T173" s="281"/>
      <c r="U173" s="281"/>
      <c r="V173" s="281"/>
      <c r="W173" s="281"/>
      <c r="X173" s="281"/>
      <c r="Y173" s="281"/>
      <c r="Z173" s="281"/>
      <c r="AA173" s="281"/>
      <c r="AB173" s="281"/>
      <c r="AC173" s="281"/>
      <c r="AD173" s="281"/>
    </row>
    <row r="174" spans="1:30" s="288" customFormat="1" x14ac:dyDescent="0.25">
      <c r="A174" s="287"/>
      <c r="B174" s="274">
        <f t="shared" si="18"/>
        <v>159</v>
      </c>
      <c r="C174" s="304">
        <f t="shared" ca="1" si="19"/>
        <v>-217.00915452426125</v>
      </c>
      <c r="D174" s="304">
        <f ca="1">IF(ROUND(E173,0)&lt;&gt;0, IF(ROUND(D173,0)&lt;&gt;0, 'Career Comparison'!$F$28-C174, 0), 0)</f>
        <v>464.80420217152869</v>
      </c>
      <c r="E174" s="304">
        <f ca="1">IF(G$7&gt;=B174, E173*(1+'Government Figures'!$D$8/12)-'Career Comparison'!$F$28, 0)</f>
        <v>125557.46816706732</v>
      </c>
      <c r="F174" s="312">
        <f>'College Schedule'!$L$8*(1+'Government Figures'!$B$8/12)^B174</f>
        <v>2656.6694018457042</v>
      </c>
      <c r="G174" s="278">
        <v>1</v>
      </c>
      <c r="H174" s="279">
        <f t="shared" ca="1" si="22"/>
        <v>0.17320110972991043</v>
      </c>
      <c r="I174" s="304">
        <f>G174*('College Schedule'!$L$9)*(1+'Government Figures'!$B$8/12)^B174</f>
        <v>5916.2757362326365</v>
      </c>
      <c r="J174" s="304">
        <f t="shared" ca="1" si="20"/>
        <v>1987.1057637560298</v>
      </c>
      <c r="K174" s="304">
        <f t="shared" ca="1" si="16"/>
        <v>1170.6516566764592</v>
      </c>
      <c r="L174" s="278">
        <v>1</v>
      </c>
      <c r="M174" s="279">
        <f t="shared" si="23"/>
        <v>0.13735784313725496</v>
      </c>
      <c r="N174" s="304">
        <f>L174*('College Schedule'!$L$10)*(1+'Government Figures'!$B$8/12)^B174</f>
        <v>3549.7654417395825</v>
      </c>
      <c r="O174" s="304">
        <f t="shared" si="21"/>
        <v>405.50791517336393</v>
      </c>
      <c r="P174" s="304">
        <f t="shared" si="17"/>
        <v>238.89443700058573</v>
      </c>
      <c r="Q174" s="277"/>
      <c r="R174" s="281"/>
      <c r="S174" s="281"/>
      <c r="T174" s="281"/>
      <c r="U174" s="281"/>
      <c r="V174" s="281"/>
      <c r="W174" s="281"/>
      <c r="X174" s="281"/>
      <c r="Y174" s="281"/>
      <c r="Z174" s="281"/>
      <c r="AA174" s="281"/>
      <c r="AB174" s="281"/>
      <c r="AC174" s="281"/>
      <c r="AD174" s="281"/>
    </row>
    <row r="175" spans="1:30" s="288" customFormat="1" x14ac:dyDescent="0.25">
      <c r="A175" s="287"/>
      <c r="B175" s="274">
        <f t="shared" si="18"/>
        <v>160</v>
      </c>
      <c r="C175" s="304">
        <f t="shared" ca="1" si="19"/>
        <v>-217.81389680563007</v>
      </c>
      <c r="D175" s="304">
        <f ca="1">IF(ROUND(E174,0)&lt;&gt;0, IF(ROUND(D174,0)&lt;&gt;0, 'Career Comparison'!$F$28-C175, 0), 0)</f>
        <v>465.6089444528975</v>
      </c>
      <c r="E175" s="304">
        <f ca="1">IF(G$7&gt;=B175, E174*(1+'Government Figures'!$D$8/12)-'Career Comparison'!$F$28, 0)</f>
        <v>125775.28206387295</v>
      </c>
      <c r="F175" s="312">
        <f>'College Schedule'!$L$8*(1+'Government Figures'!$B$8/12)^B175</f>
        <v>2661.0971841821142</v>
      </c>
      <c r="G175" s="278">
        <v>1</v>
      </c>
      <c r="H175" s="279">
        <f t="shared" ca="1" si="22"/>
        <v>0.17320110972991043</v>
      </c>
      <c r="I175" s="304">
        <f>G175*('College Schedule'!$L$9)*(1+'Government Figures'!$B$8/12)^B175</f>
        <v>5926.1361957930249</v>
      </c>
      <c r="J175" s="304">
        <f t="shared" ca="1" si="20"/>
        <v>1990.8305984417011</v>
      </c>
      <c r="K175" s="304">
        <f t="shared" ca="1" si="16"/>
        <v>1168.9495476201034</v>
      </c>
      <c r="L175" s="278">
        <v>1</v>
      </c>
      <c r="M175" s="279">
        <f t="shared" si="23"/>
        <v>0.13735784313725496</v>
      </c>
      <c r="N175" s="304">
        <f>L175*('College Schedule'!$L$10)*(1+'Government Figures'!$B$8/12)^B175</f>
        <v>3555.6817174758157</v>
      </c>
      <c r="O175" s="304">
        <f t="shared" si="21"/>
        <v>406.18376169865314</v>
      </c>
      <c r="P175" s="304">
        <f t="shared" si="17"/>
        <v>238.49760238762809</v>
      </c>
      <c r="Q175" s="277"/>
      <c r="R175" s="281"/>
      <c r="S175" s="281"/>
      <c r="T175" s="281"/>
      <c r="U175" s="281"/>
      <c r="V175" s="281"/>
      <c r="W175" s="281"/>
      <c r="X175" s="281"/>
      <c r="Y175" s="281"/>
      <c r="Z175" s="281"/>
      <c r="AA175" s="281"/>
      <c r="AB175" s="281"/>
      <c r="AC175" s="281"/>
      <c r="AD175" s="281"/>
    </row>
    <row r="176" spans="1:30" s="288" customFormat="1" x14ac:dyDescent="0.25">
      <c r="A176" s="287"/>
      <c r="B176" s="274">
        <f t="shared" si="18"/>
        <v>161</v>
      </c>
      <c r="C176" s="304">
        <f t="shared" ca="1" si="19"/>
        <v>-218.62162333961169</v>
      </c>
      <c r="D176" s="304">
        <f ca="1">IF(ROUND(E175,0)&lt;&gt;0, IF(ROUND(D175,0)&lt;&gt;0, 'Career Comparison'!$F$28-C176, 0), 0)</f>
        <v>466.41667098687913</v>
      </c>
      <c r="E176" s="304">
        <f ca="1">IF(G$7&gt;=B176, E175*(1+'Government Figures'!$D$8/12)-'Career Comparison'!$F$28, 0)</f>
        <v>125993.90368721256</v>
      </c>
      <c r="F176" s="312">
        <f>'College Schedule'!$L$8*(1+'Government Figures'!$B$8/12)^B176</f>
        <v>2665.5323461557514</v>
      </c>
      <c r="G176" s="278">
        <v>1</v>
      </c>
      <c r="H176" s="279">
        <f t="shared" ca="1" si="22"/>
        <v>0.17320110972991043</v>
      </c>
      <c r="I176" s="304">
        <f>G176*('College Schedule'!$L$9)*(1+'Government Figures'!$B$8/12)^B176</f>
        <v>5936.013089452681</v>
      </c>
      <c r="J176" s="304">
        <f t="shared" ca="1" si="20"/>
        <v>1994.5616411851834</v>
      </c>
      <c r="K176" s="304">
        <f t="shared" ca="1" si="16"/>
        <v>1167.2494603561192</v>
      </c>
      <c r="L176" s="278">
        <v>1</v>
      </c>
      <c r="M176" s="279">
        <f t="shared" si="23"/>
        <v>0.13735784313725496</v>
      </c>
      <c r="N176" s="304">
        <f>L176*('College Schedule'!$L$10)*(1+'Government Figures'!$B$8/12)^B176</f>
        <v>3561.6078536716091</v>
      </c>
      <c r="O176" s="304">
        <f t="shared" si="21"/>
        <v>406.86073463481762</v>
      </c>
      <c r="P176" s="304">
        <f t="shared" si="17"/>
        <v>238.10142696837951</v>
      </c>
      <c r="Q176" s="277"/>
      <c r="R176" s="281"/>
      <c r="S176" s="281"/>
      <c r="T176" s="281"/>
      <c r="U176" s="281"/>
      <c r="V176" s="281"/>
      <c r="W176" s="281"/>
      <c r="X176" s="281"/>
      <c r="Y176" s="281"/>
      <c r="Z176" s="281"/>
      <c r="AA176" s="281"/>
      <c r="AB176" s="281"/>
      <c r="AC176" s="281"/>
      <c r="AD176" s="281"/>
    </row>
    <row r="177" spans="1:30" s="288" customFormat="1" x14ac:dyDescent="0.25">
      <c r="A177" s="287"/>
      <c r="B177" s="274">
        <f t="shared" si="18"/>
        <v>162</v>
      </c>
      <c r="C177" s="304">
        <f t="shared" ca="1" si="19"/>
        <v>-219.43234519283578</v>
      </c>
      <c r="D177" s="304">
        <f ca="1">IF(ROUND(E176,0)&lt;&gt;0, IF(ROUND(D176,0)&lt;&gt;0, 'Career Comparison'!$F$28-C177, 0), 0)</f>
        <v>467.22739284010322</v>
      </c>
      <c r="E177" s="304">
        <f ca="1">IF(G$7&gt;=B177, E176*(1+'Government Figures'!$D$8/12)-'Career Comparison'!$F$28, 0)</f>
        <v>126213.33603240539</v>
      </c>
      <c r="F177" s="312">
        <f>'College Schedule'!$L$8*(1+'Government Figures'!$B$8/12)^B177</f>
        <v>2669.9749000660108</v>
      </c>
      <c r="G177" s="278">
        <v>1</v>
      </c>
      <c r="H177" s="279">
        <f t="shared" ca="1" si="22"/>
        <v>0.17320110972991043</v>
      </c>
      <c r="I177" s="304">
        <f>G177*('College Schedule'!$L$9)*(1+'Government Figures'!$B$8/12)^B177</f>
        <v>5945.9064446017683</v>
      </c>
      <c r="J177" s="304">
        <f t="shared" ca="1" si="20"/>
        <v>1998.2989023332375</v>
      </c>
      <c r="K177" s="304">
        <f t="shared" ca="1" si="16"/>
        <v>1165.551394202563</v>
      </c>
      <c r="L177" s="278">
        <v>1</v>
      </c>
      <c r="M177" s="279">
        <f t="shared" si="23"/>
        <v>0.13735784313725496</v>
      </c>
      <c r="N177" s="304">
        <f>L177*('College Schedule'!$L$10)*(1+'Government Figures'!$B$8/12)^B177</f>
        <v>3567.5438667610615</v>
      </c>
      <c r="O177" s="304">
        <f t="shared" si="21"/>
        <v>407.53883585920858</v>
      </c>
      <c r="P177" s="304">
        <f t="shared" si="17"/>
        <v>237.70590964783378</v>
      </c>
      <c r="Q177" s="277"/>
      <c r="R177" s="281"/>
      <c r="S177" s="281"/>
      <c r="T177" s="281"/>
      <c r="U177" s="281"/>
      <c r="V177" s="281"/>
      <c r="W177" s="281"/>
      <c r="X177" s="281"/>
      <c r="Y177" s="281"/>
      <c r="Z177" s="281"/>
      <c r="AA177" s="281"/>
      <c r="AB177" s="281"/>
      <c r="AC177" s="281"/>
      <c r="AD177" s="281"/>
    </row>
    <row r="178" spans="1:30" s="288" customFormat="1" x14ac:dyDescent="0.25">
      <c r="A178" s="287"/>
      <c r="B178" s="274">
        <f t="shared" si="18"/>
        <v>163</v>
      </c>
      <c r="C178" s="304">
        <f t="shared" ca="1" si="19"/>
        <v>-220.24607347292476</v>
      </c>
      <c r="D178" s="304">
        <f ca="1">IF(ROUND(E177,0)&lt;&gt;0, IF(ROUND(D177,0)&lt;&gt;0, 'Career Comparison'!$F$28-C178, 0), 0)</f>
        <v>468.0411211201922</v>
      </c>
      <c r="E178" s="304">
        <f ca="1">IF(G$7&gt;=B178, E177*(1+'Government Figures'!$D$8/12)-'Career Comparison'!$F$28, 0)</f>
        <v>126433.58210587832</v>
      </c>
      <c r="F178" s="312">
        <f>'College Schedule'!$L$8*(1+'Government Figures'!$B$8/12)^B178</f>
        <v>2674.4248582327878</v>
      </c>
      <c r="G178" s="278">
        <v>1</v>
      </c>
      <c r="H178" s="279">
        <f t="shared" ca="1" si="22"/>
        <v>0.17320110972991043</v>
      </c>
      <c r="I178" s="304">
        <f>G178*('College Schedule'!$L$9)*(1+'Government Figures'!$B$8/12)^B178</f>
        <v>5955.8162886761056</v>
      </c>
      <c r="J178" s="304">
        <f t="shared" ca="1" si="20"/>
        <v>2002.0423922498721</v>
      </c>
      <c r="K178" s="304">
        <f t="shared" ca="1" si="16"/>
        <v>1163.855348469732</v>
      </c>
      <c r="L178" s="278">
        <v>1</v>
      </c>
      <c r="M178" s="279">
        <f t="shared" si="23"/>
        <v>0.13735784313725496</v>
      </c>
      <c r="N178" s="304">
        <f>L178*('College Schedule'!$L$10)*(1+'Government Figures'!$B$8/12)^B178</f>
        <v>3573.4897732056638</v>
      </c>
      <c r="O178" s="304">
        <f t="shared" si="21"/>
        <v>408.21806725230772</v>
      </c>
      <c r="P178" s="304">
        <f t="shared" si="17"/>
        <v>237.31104933280434</v>
      </c>
      <c r="Q178" s="277"/>
      <c r="R178" s="281"/>
      <c r="S178" s="281"/>
      <c r="T178" s="281"/>
      <c r="U178" s="281"/>
      <c r="V178" s="281"/>
      <c r="W178" s="281"/>
      <c r="X178" s="281"/>
      <c r="Y178" s="281"/>
      <c r="Z178" s="281"/>
      <c r="AA178" s="281"/>
      <c r="AB178" s="281"/>
      <c r="AC178" s="281"/>
      <c r="AD178" s="281"/>
    </row>
    <row r="179" spans="1:30" s="288" customFormat="1" x14ac:dyDescent="0.25">
      <c r="A179" s="287"/>
      <c r="B179" s="274">
        <f t="shared" si="18"/>
        <v>164</v>
      </c>
      <c r="C179" s="304">
        <f t="shared" ca="1" si="19"/>
        <v>-221.06281932871207</v>
      </c>
      <c r="D179" s="304">
        <f ca="1">IF(ROUND(E178,0)&lt;&gt;0, IF(ROUND(D178,0)&lt;&gt;0, 'Career Comparison'!$F$28-C179, 0), 0)</f>
        <v>468.8578669759795</v>
      </c>
      <c r="E179" s="304">
        <f ca="1">IF(G$7&gt;=B179, E178*(1+'Government Figures'!$D$8/12)-'Career Comparison'!$F$28, 0)</f>
        <v>126654.64492520703</v>
      </c>
      <c r="F179" s="312">
        <f>'College Schedule'!$L$8*(1+'Government Figures'!$B$8/12)^B179</f>
        <v>2678.8822329965096</v>
      </c>
      <c r="G179" s="278">
        <v>1</v>
      </c>
      <c r="H179" s="279">
        <f t="shared" ca="1" si="22"/>
        <v>0.17320110972991043</v>
      </c>
      <c r="I179" s="304">
        <f>G179*('College Schedule'!$L$9)*(1+'Government Figures'!$B$8/12)^B179</f>
        <v>5965.7426491572323</v>
      </c>
      <c r="J179" s="304">
        <f t="shared" ca="1" si="20"/>
        <v>2005.7921213163668</v>
      </c>
      <c r="K179" s="304">
        <f t="shared" ca="1" si="16"/>
        <v>1162.1613224602072</v>
      </c>
      <c r="L179" s="278">
        <v>1</v>
      </c>
      <c r="M179" s="279">
        <f t="shared" si="23"/>
        <v>0.13735784313725496</v>
      </c>
      <c r="N179" s="304">
        <f>L179*('College Schedule'!$L$10)*(1+'Government Figures'!$B$8/12)^B179</f>
        <v>3579.4455894943403</v>
      </c>
      <c r="O179" s="304">
        <f t="shared" si="21"/>
        <v>408.89843069772814</v>
      </c>
      <c r="P179" s="304">
        <f t="shared" si="17"/>
        <v>236.91684493191931</v>
      </c>
      <c r="Q179" s="277"/>
      <c r="R179" s="281"/>
      <c r="S179" s="281"/>
      <c r="T179" s="281"/>
      <c r="U179" s="281"/>
      <c r="V179" s="281"/>
      <c r="W179" s="281"/>
      <c r="X179" s="281"/>
      <c r="Y179" s="281"/>
      <c r="Z179" s="281"/>
      <c r="AA179" s="281"/>
      <c r="AB179" s="281"/>
      <c r="AC179" s="281"/>
      <c r="AD179" s="281"/>
    </row>
    <row r="180" spans="1:30" s="288" customFormat="1" x14ac:dyDescent="0.25">
      <c r="A180" s="287"/>
      <c r="B180" s="274">
        <f t="shared" si="18"/>
        <v>165</v>
      </c>
      <c r="C180" s="304">
        <f t="shared" ca="1" si="19"/>
        <v>-221.88259395038767</v>
      </c>
      <c r="D180" s="304">
        <f ca="1">IF(ROUND(E179,0)&lt;&gt;0, IF(ROUND(D179,0)&lt;&gt;0, 'Career Comparison'!$F$28-C180, 0), 0)</f>
        <v>469.67764159765511</v>
      </c>
      <c r="E180" s="304">
        <f ca="1">IF(G$7&gt;=B180, E179*(1+'Government Figures'!$D$8/12)-'Career Comparison'!$F$28, 0)</f>
        <v>126876.52751915742</v>
      </c>
      <c r="F180" s="312">
        <f>'College Schedule'!$L$8*(1+'Government Figures'!$B$8/12)^B180</f>
        <v>2683.3470367181708</v>
      </c>
      <c r="G180" s="278">
        <v>1</v>
      </c>
      <c r="H180" s="279">
        <f t="shared" ca="1" si="22"/>
        <v>0.17320110972991043</v>
      </c>
      <c r="I180" s="304">
        <f>G180*('College Schedule'!$L$9)*(1+'Government Figures'!$B$8/12)^B180</f>
        <v>5975.6855535724953</v>
      </c>
      <c r="J180" s="304">
        <f t="shared" ca="1" si="20"/>
        <v>2009.5480999313072</v>
      </c>
      <c r="K180" s="304">
        <f t="shared" ca="1" si="16"/>
        <v>1160.4693154688955</v>
      </c>
      <c r="L180" s="278">
        <v>1</v>
      </c>
      <c r="M180" s="279">
        <f t="shared" si="23"/>
        <v>0.13735784313725496</v>
      </c>
      <c r="N180" s="304">
        <f>L180*('College Schedule'!$L$10)*(1+'Government Figures'!$B$8/12)^B180</f>
        <v>3585.4113321434979</v>
      </c>
      <c r="O180" s="304">
        <f t="shared" si="21"/>
        <v>409.57992808222434</v>
      </c>
      <c r="P180" s="304">
        <f t="shared" si="17"/>
        <v>236.52329535562041</v>
      </c>
      <c r="Q180" s="277"/>
      <c r="R180" s="281"/>
      <c r="S180" s="281"/>
      <c r="T180" s="281"/>
      <c r="U180" s="281"/>
      <c r="V180" s="281"/>
      <c r="W180" s="281"/>
      <c r="X180" s="281"/>
      <c r="Y180" s="281"/>
      <c r="Z180" s="281"/>
      <c r="AA180" s="281"/>
      <c r="AB180" s="281"/>
      <c r="AC180" s="281"/>
      <c r="AD180" s="281"/>
    </row>
    <row r="181" spans="1:30" s="288" customFormat="1" x14ac:dyDescent="0.25">
      <c r="A181" s="287"/>
      <c r="B181" s="274">
        <f t="shared" si="18"/>
        <v>166</v>
      </c>
      <c r="C181" s="304">
        <f t="shared" ca="1" si="19"/>
        <v>-222.70540856962907</v>
      </c>
      <c r="D181" s="304">
        <f ca="1">IF(ROUND(E180,0)&lt;&gt;0, IF(ROUND(D180,0)&lt;&gt;0, 'Career Comparison'!$F$28-C181, 0), 0)</f>
        <v>470.50045621689651</v>
      </c>
      <c r="E181" s="304">
        <f ca="1">IF(G$7&gt;=B181, E180*(1+'Government Figures'!$D$8/12)-'Career Comparison'!$F$28, 0)</f>
        <v>127099.23292772705</v>
      </c>
      <c r="F181" s="312">
        <f>'College Schedule'!$L$8*(1+'Government Figures'!$B$8/12)^B181</f>
        <v>2687.8192817793674</v>
      </c>
      <c r="G181" s="278">
        <v>1</v>
      </c>
      <c r="H181" s="279">
        <f t="shared" ca="1" si="22"/>
        <v>0.17320110972991043</v>
      </c>
      <c r="I181" s="304">
        <f>G181*('College Schedule'!$L$9)*(1+'Government Figures'!$B$8/12)^B181</f>
        <v>5985.6450294951155</v>
      </c>
      <c r="J181" s="304">
        <f t="shared" ca="1" si="20"/>
        <v>2013.3103385106042</v>
      </c>
      <c r="K181" s="304">
        <f t="shared" ca="1" si="16"/>
        <v>1158.7793267830689</v>
      </c>
      <c r="L181" s="278">
        <v>1</v>
      </c>
      <c r="M181" s="279">
        <f t="shared" si="23"/>
        <v>0.13735784313725496</v>
      </c>
      <c r="N181" s="304">
        <f>L181*('College Schedule'!$L$10)*(1+'Government Figures'!$B$8/12)^B181</f>
        <v>3591.38701769707</v>
      </c>
      <c r="O181" s="304">
        <f t="shared" si="21"/>
        <v>410.26256129569447</v>
      </c>
      <c r="P181" s="304">
        <f t="shared" si="17"/>
        <v>236.13039951615903</v>
      </c>
      <c r="Q181" s="277"/>
      <c r="R181" s="281"/>
      <c r="S181" s="281"/>
      <c r="T181" s="281"/>
      <c r="U181" s="281"/>
      <c r="V181" s="281"/>
      <c r="W181" s="281"/>
      <c r="X181" s="281"/>
      <c r="Y181" s="281"/>
      <c r="Z181" s="281"/>
      <c r="AA181" s="281"/>
      <c r="AB181" s="281"/>
      <c r="AC181" s="281"/>
      <c r="AD181" s="281"/>
    </row>
    <row r="182" spans="1:30" s="288" customFormat="1" x14ac:dyDescent="0.25">
      <c r="A182" s="287"/>
      <c r="B182" s="274">
        <f t="shared" si="18"/>
        <v>167</v>
      </c>
      <c r="C182" s="304">
        <f t="shared" ca="1" si="19"/>
        <v>-223.53127445973223</v>
      </c>
      <c r="D182" s="304">
        <f ca="1">IF(ROUND(E181,0)&lt;&gt;0, IF(ROUND(D181,0)&lt;&gt;0, 'Career Comparison'!$F$28-C182, 0), 0)</f>
        <v>471.32632210699967</v>
      </c>
      <c r="E182" s="304">
        <f ca="1">IF(G$7&gt;=B182, E181*(1+'Government Figures'!$D$8/12)-'Career Comparison'!$F$28, 0)</f>
        <v>127322.76420218678</v>
      </c>
      <c r="F182" s="312">
        <f>'College Schedule'!$L$8*(1+'Government Figures'!$B$8/12)^B182</f>
        <v>2692.2989805823331</v>
      </c>
      <c r="G182" s="278">
        <v>1</v>
      </c>
      <c r="H182" s="279">
        <f t="shared" ca="1" si="22"/>
        <v>0.17320110972991043</v>
      </c>
      <c r="I182" s="304">
        <f>G182*('College Schedule'!$L$9)*(1+'Government Figures'!$B$8/12)^B182</f>
        <v>5995.6211045442751</v>
      </c>
      <c r="J182" s="304">
        <f t="shared" ca="1" si="20"/>
        <v>2017.0788474875344</v>
      </c>
      <c r="K182" s="304">
        <f t="shared" ca="1" si="16"/>
        <v>1157.0913556824119</v>
      </c>
      <c r="L182" s="278">
        <v>1</v>
      </c>
      <c r="M182" s="279">
        <f t="shared" si="23"/>
        <v>0.13735784313725496</v>
      </c>
      <c r="N182" s="304">
        <f>L182*('College Schedule'!$L$10)*(1+'Government Figures'!$B$8/12)^B182</f>
        <v>3597.3726627265655</v>
      </c>
      <c r="O182" s="304">
        <f t="shared" si="21"/>
        <v>410.94633223118763</v>
      </c>
      <c r="P182" s="304">
        <f t="shared" si="17"/>
        <v>235.73815632759411</v>
      </c>
      <c r="Q182" s="277"/>
      <c r="R182" s="281"/>
      <c r="S182" s="281"/>
      <c r="T182" s="281"/>
      <c r="U182" s="281"/>
      <c r="V182" s="281"/>
      <c r="W182" s="281"/>
      <c r="X182" s="281"/>
      <c r="Y182" s="281"/>
      <c r="Z182" s="281"/>
      <c r="AA182" s="281"/>
      <c r="AB182" s="281"/>
      <c r="AC182" s="281"/>
      <c r="AD182" s="281"/>
    </row>
    <row r="183" spans="1:30" s="288" customFormat="1" x14ac:dyDescent="0.25">
      <c r="A183" s="287"/>
      <c r="B183" s="274">
        <f t="shared" si="18"/>
        <v>168</v>
      </c>
      <c r="C183" s="304">
        <f t="shared" ca="1" si="19"/>
        <v>-224.36020293585898</v>
      </c>
      <c r="D183" s="304">
        <f ca="1">IF(ROUND(E182,0)&lt;&gt;0, IF(ROUND(D182,0)&lt;&gt;0, 'Career Comparison'!$F$28-C183, 0), 0)</f>
        <v>472.15525058312642</v>
      </c>
      <c r="E183" s="304">
        <f ca="1">IF(G$7&gt;=B183, E182*(1+'Government Figures'!$D$8/12)-'Career Comparison'!$F$28, 0)</f>
        <v>127547.12440512264</v>
      </c>
      <c r="F183" s="312">
        <f>'College Schedule'!$L$8*(1+'Government Figures'!$B$8/12)^B183</f>
        <v>2696.7861455499715</v>
      </c>
      <c r="G183" s="278">
        <v>1</v>
      </c>
      <c r="H183" s="279">
        <f t="shared" ca="1" si="22"/>
        <v>0.17320110972991043</v>
      </c>
      <c r="I183" s="304">
        <f>G183*('College Schedule'!$L$9)*(1+'Government Figures'!$B$8/12)^B183</f>
        <v>6005.613806385184</v>
      </c>
      <c r="J183" s="304">
        <f t="shared" ca="1" si="20"/>
        <v>2020.8536373127595</v>
      </c>
      <c r="K183" s="304">
        <f t="shared" ca="1" si="16"/>
        <v>1155.405401439059</v>
      </c>
      <c r="L183" s="278">
        <v>1</v>
      </c>
      <c r="M183" s="279">
        <f t="shared" si="23"/>
        <v>0.13735784313725496</v>
      </c>
      <c r="N183" s="304">
        <f>L183*('College Schedule'!$L$10)*(1+'Government Figures'!$B$8/12)^B183</f>
        <v>3603.3682838311111</v>
      </c>
      <c r="O183" s="304">
        <f t="shared" si="21"/>
        <v>411.63124278490614</v>
      </c>
      <c r="P183" s="304">
        <f t="shared" si="17"/>
        <v>235.34656470578744</v>
      </c>
      <c r="Q183" s="277"/>
      <c r="R183" s="281"/>
      <c r="S183" s="281"/>
      <c r="T183" s="281"/>
      <c r="U183" s="281"/>
      <c r="V183" s="281"/>
      <c r="W183" s="281"/>
      <c r="X183" s="281"/>
      <c r="Y183" s="281"/>
      <c r="Z183" s="281"/>
      <c r="AA183" s="281"/>
      <c r="AB183" s="281"/>
      <c r="AC183" s="281"/>
      <c r="AD183" s="281"/>
    </row>
    <row r="184" spans="1:30" s="288" customFormat="1" x14ac:dyDescent="0.25">
      <c r="A184" s="287"/>
      <c r="B184" s="274">
        <f t="shared" si="18"/>
        <v>169</v>
      </c>
      <c r="C184" s="304">
        <f t="shared" ca="1" si="19"/>
        <v>-225.19220535508066</v>
      </c>
      <c r="D184" s="304">
        <f ca="1">IF(ROUND(E183,0)&lt;&gt;0, IF(ROUND(D183,0)&lt;&gt;0, 'Career Comparison'!$F$28-C184, 0), 0)</f>
        <v>472.9872530023481</v>
      </c>
      <c r="E184" s="304">
        <f ca="1">IF(G$7&gt;=B184, E183*(1+'Government Figures'!$D$8/12)-'Career Comparison'!$F$28, 0)</f>
        <v>127772.31661047772</v>
      </c>
      <c r="F184" s="312">
        <f>'College Schedule'!$L$8*(1+'Government Figures'!$B$8/12)^B184</f>
        <v>2701.2807891258876</v>
      </c>
      <c r="G184" s="278">
        <v>1</v>
      </c>
      <c r="H184" s="279">
        <f t="shared" ca="1" si="22"/>
        <v>0.17320110972991043</v>
      </c>
      <c r="I184" s="304">
        <f>G184*('College Schedule'!$L$9)*(1+'Government Figures'!$B$8/12)^B184</f>
        <v>6015.6231627291581</v>
      </c>
      <c r="J184" s="304">
        <f t="shared" ca="1" si="20"/>
        <v>2024.6347184543592</v>
      </c>
      <c r="K184" s="304">
        <f t="shared" ca="1" si="16"/>
        <v>1153.7214633176361</v>
      </c>
      <c r="L184" s="278">
        <v>1</v>
      </c>
      <c r="M184" s="279">
        <f t="shared" si="23"/>
        <v>0.13735784313725496</v>
      </c>
      <c r="N184" s="304">
        <f>L184*('College Schedule'!$L$10)*(1+'Government Figures'!$B$8/12)^B184</f>
        <v>3609.3738976374952</v>
      </c>
      <c r="O184" s="304">
        <f t="shared" si="21"/>
        <v>412.31729485621418</v>
      </c>
      <c r="P184" s="304">
        <f t="shared" si="17"/>
        <v>234.95562356840233</v>
      </c>
      <c r="Q184" s="277"/>
      <c r="R184" s="281"/>
      <c r="S184" s="281"/>
      <c r="T184" s="281"/>
      <c r="U184" s="281"/>
      <c r="V184" s="281"/>
      <c r="W184" s="281"/>
      <c r="X184" s="281"/>
      <c r="Y184" s="281"/>
      <c r="Z184" s="281"/>
      <c r="AA184" s="281"/>
      <c r="AB184" s="281"/>
      <c r="AC184" s="281"/>
      <c r="AD184" s="281"/>
    </row>
    <row r="185" spans="1:30" s="288" customFormat="1" x14ac:dyDescent="0.25">
      <c r="A185" s="287"/>
      <c r="B185" s="274">
        <f t="shared" si="18"/>
        <v>170</v>
      </c>
      <c r="C185" s="304">
        <f t="shared" ca="1" si="19"/>
        <v>-226.02729311661096</v>
      </c>
      <c r="D185" s="304">
        <f ca="1">IF(ROUND(E184,0)&lt;&gt;0, IF(ROUND(D184,0)&lt;&gt;0, 'Career Comparison'!$F$28-C185, 0), 0)</f>
        <v>473.8223407638784</v>
      </c>
      <c r="E185" s="304">
        <f ca="1">IF(G$7&gt;=B185, E184*(1+'Government Figures'!$D$8/12)-'Career Comparison'!$F$28, 0)</f>
        <v>127998.34390359433</v>
      </c>
      <c r="F185" s="312">
        <f>'College Schedule'!$L$8*(1+'Government Figures'!$B$8/12)^B185</f>
        <v>2705.7829237744304</v>
      </c>
      <c r="G185" s="278">
        <v>1</v>
      </c>
      <c r="H185" s="279">
        <f t="shared" ca="1" si="22"/>
        <v>0.17320110972991043</v>
      </c>
      <c r="I185" s="304">
        <f>G185*('College Schedule'!$L$9)*(1+'Government Figures'!$B$8/12)^B185</f>
        <v>6025.6492013337065</v>
      </c>
      <c r="J185" s="304">
        <f t="shared" ca="1" si="20"/>
        <v>2028.4221013978622</v>
      </c>
      <c r="K185" s="304">
        <f t="shared" ca="1" si="16"/>
        <v>1152.0395405753052</v>
      </c>
      <c r="L185" s="278">
        <v>1</v>
      </c>
      <c r="M185" s="279">
        <f t="shared" si="23"/>
        <v>0.13735784313725496</v>
      </c>
      <c r="N185" s="304">
        <f>L185*('College Schedule'!$L$10)*(1+'Government Figures'!$B$8/12)^B185</f>
        <v>3615.3895208002245</v>
      </c>
      <c r="O185" s="304">
        <f t="shared" si="21"/>
        <v>413.00449034764142</v>
      </c>
      <c r="P185" s="304">
        <f t="shared" si="17"/>
        <v>234.56533183490006</v>
      </c>
      <c r="Q185" s="277"/>
      <c r="R185" s="281"/>
      <c r="S185" s="281"/>
      <c r="T185" s="281"/>
      <c r="U185" s="281"/>
      <c r="V185" s="281"/>
      <c r="W185" s="281"/>
      <c r="X185" s="281"/>
      <c r="Y185" s="281"/>
      <c r="Z185" s="281"/>
      <c r="AA185" s="281"/>
      <c r="AB185" s="281"/>
      <c r="AC185" s="281"/>
      <c r="AD185" s="281"/>
    </row>
    <row r="186" spans="1:30" s="288" customFormat="1" x14ac:dyDescent="0.25">
      <c r="A186" s="287"/>
      <c r="B186" s="274">
        <f t="shared" si="18"/>
        <v>171</v>
      </c>
      <c r="C186" s="304">
        <f t="shared" ca="1" si="19"/>
        <v>-226.86547766190779</v>
      </c>
      <c r="D186" s="304">
        <f ca="1">IF(ROUND(E185,0)&lt;&gt;0, IF(ROUND(D185,0)&lt;&gt;0, 'Career Comparison'!$F$28-C186, 0), 0)</f>
        <v>474.66052530917523</v>
      </c>
      <c r="E186" s="304">
        <f ca="1">IF(G$7&gt;=B186, E185*(1+'Government Figures'!$D$8/12)-'Career Comparison'!$F$28, 0)</f>
        <v>128225.20938125624</v>
      </c>
      <c r="F186" s="312">
        <f>'College Schedule'!$L$8*(1+'Government Figures'!$B$8/12)^B186</f>
        <v>2710.292561980722</v>
      </c>
      <c r="G186" s="278">
        <v>1</v>
      </c>
      <c r="H186" s="279">
        <f t="shared" ca="1" si="22"/>
        <v>0.17320110972991043</v>
      </c>
      <c r="I186" s="304">
        <f>G186*('College Schedule'!$L$9)*(1+'Government Figures'!$B$8/12)^B186</f>
        <v>6035.691950002597</v>
      </c>
      <c r="J186" s="304">
        <f t="shared" ca="1" si="20"/>
        <v>2032.2157966462705</v>
      </c>
      <c r="K186" s="304">
        <f t="shared" ca="1" si="16"/>
        <v>1150.3596324618027</v>
      </c>
      <c r="L186" s="278">
        <v>1</v>
      </c>
      <c r="M186" s="279">
        <f t="shared" si="23"/>
        <v>0.13735784313725496</v>
      </c>
      <c r="N186" s="304">
        <f>L186*('College Schedule'!$L$10)*(1+'Government Figures'!$B$8/12)^B186</f>
        <v>3621.4151700015591</v>
      </c>
      <c r="O186" s="304">
        <f t="shared" si="21"/>
        <v>413.69283116488759</v>
      </c>
      <c r="P186" s="304">
        <f t="shared" si="17"/>
        <v>234.17568842653648</v>
      </c>
      <c r="Q186" s="277"/>
      <c r="R186" s="281"/>
      <c r="S186" s="281"/>
      <c r="T186" s="281"/>
      <c r="U186" s="281"/>
      <c r="V186" s="281"/>
      <c r="W186" s="281"/>
      <c r="X186" s="281"/>
      <c r="Y186" s="281"/>
      <c r="Z186" s="281"/>
      <c r="AA186" s="281"/>
      <c r="AB186" s="281"/>
      <c r="AC186" s="281"/>
      <c r="AD186" s="281"/>
    </row>
    <row r="187" spans="1:30" s="288" customFormat="1" x14ac:dyDescent="0.25">
      <c r="A187" s="287"/>
      <c r="B187" s="274">
        <f t="shared" si="18"/>
        <v>172</v>
      </c>
      <c r="C187" s="304">
        <f t="shared" ca="1" si="19"/>
        <v>-227.70677047490608</v>
      </c>
      <c r="D187" s="304">
        <f ca="1">IF(ROUND(E186,0)&lt;&gt;0, IF(ROUND(D186,0)&lt;&gt;0, 'Career Comparison'!$F$28-C187, 0), 0)</f>
        <v>475.50181812217352</v>
      </c>
      <c r="E187" s="304">
        <f ca="1">IF(G$7&gt;=B187, E186*(1+'Government Figures'!$D$8/12)-'Career Comparison'!$F$28, 0)</f>
        <v>128452.91615173114</v>
      </c>
      <c r="F187" s="312">
        <f>'College Schedule'!$L$8*(1+'Government Figures'!$B$8/12)^B187</f>
        <v>2714.8097162506897</v>
      </c>
      <c r="G187" s="278">
        <v>1</v>
      </c>
      <c r="H187" s="279">
        <f t="shared" ca="1" si="22"/>
        <v>0.17320110972991043</v>
      </c>
      <c r="I187" s="304">
        <f>G187*('College Schedule'!$L$9)*(1+'Government Figures'!$B$8/12)^B187</f>
        <v>6045.7514365859352</v>
      </c>
      <c r="J187" s="304">
        <f t="shared" ca="1" si="20"/>
        <v>2036.0158147200937</v>
      </c>
      <c r="K187" s="304">
        <f t="shared" ca="1" si="16"/>
        <v>1148.6817382194829</v>
      </c>
      <c r="L187" s="278">
        <v>1</v>
      </c>
      <c r="M187" s="279">
        <f t="shared" si="23"/>
        <v>0.13735784313725496</v>
      </c>
      <c r="N187" s="304">
        <f>L187*('College Schedule'!$L$10)*(1+'Government Figures'!$B$8/12)^B187</f>
        <v>3627.4508619515614</v>
      </c>
      <c r="O187" s="304">
        <f t="shared" si="21"/>
        <v>414.38231921682882</v>
      </c>
      <c r="P187" s="304">
        <f t="shared" si="17"/>
        <v>233.78669226635938</v>
      </c>
      <c r="Q187" s="277"/>
      <c r="R187" s="281"/>
      <c r="S187" s="281"/>
      <c r="T187" s="281"/>
      <c r="U187" s="281"/>
      <c r="V187" s="281"/>
      <c r="W187" s="281"/>
      <c r="X187" s="281"/>
      <c r="Y187" s="281"/>
      <c r="Z187" s="281"/>
      <c r="AA187" s="281"/>
      <c r="AB187" s="281"/>
      <c r="AC187" s="281"/>
      <c r="AD187" s="281"/>
    </row>
    <row r="188" spans="1:30" s="288" customFormat="1" x14ac:dyDescent="0.25">
      <c r="A188" s="287"/>
      <c r="B188" s="274">
        <f t="shared" si="18"/>
        <v>173</v>
      </c>
      <c r="C188" s="304">
        <f t="shared" ca="1" si="19"/>
        <v>-228.55118308209057</v>
      </c>
      <c r="D188" s="304">
        <f ca="1">IF(ROUND(E187,0)&lt;&gt;0, IF(ROUND(D187,0)&lt;&gt;0, 'Career Comparison'!$F$28-C188, 0), 0)</f>
        <v>476.34623072935801</v>
      </c>
      <c r="E188" s="304">
        <f ca="1">IF(G$7&gt;=B188, E187*(1+'Government Figures'!$D$8/12)-'Career Comparison'!$F$28, 0)</f>
        <v>128681.46733481323</v>
      </c>
      <c r="F188" s="312">
        <f>'College Schedule'!$L$8*(1+'Government Figures'!$B$8/12)^B188</f>
        <v>2719.3343991111078</v>
      </c>
      <c r="G188" s="278">
        <v>1</v>
      </c>
      <c r="H188" s="279">
        <f t="shared" ca="1" si="22"/>
        <v>0.17320110972991043</v>
      </c>
      <c r="I188" s="304">
        <f>G188*('College Schedule'!$L$9)*(1+'Government Figures'!$B$8/12)^B188</f>
        <v>6055.8276889802455</v>
      </c>
      <c r="J188" s="304">
        <f t="shared" ca="1" si="20"/>
        <v>2039.822166157373</v>
      </c>
      <c r="K188" s="304">
        <f t="shared" ca="1" si="16"/>
        <v>1147.0058570833555</v>
      </c>
      <c r="L188" s="278">
        <v>1</v>
      </c>
      <c r="M188" s="279">
        <f t="shared" si="23"/>
        <v>0.13735784313725496</v>
      </c>
      <c r="N188" s="304">
        <f>L188*('College Schedule'!$L$10)*(1+'Government Figures'!$B$8/12)^B188</f>
        <v>3633.496613388148</v>
      </c>
      <c r="O188" s="304">
        <f t="shared" si="21"/>
        <v>415.072956415524</v>
      </c>
      <c r="P188" s="304">
        <f t="shared" si="17"/>
        <v>233.39834227920622</v>
      </c>
      <c r="Q188" s="277"/>
      <c r="R188" s="281"/>
      <c r="S188" s="281"/>
      <c r="T188" s="281"/>
      <c r="U188" s="281"/>
      <c r="V188" s="281"/>
      <c r="W188" s="281"/>
      <c r="X188" s="281"/>
      <c r="Y188" s="281"/>
      <c r="Z188" s="281"/>
      <c r="AA188" s="281"/>
      <c r="AB188" s="281"/>
      <c r="AC188" s="281"/>
      <c r="AD188" s="281"/>
    </row>
    <row r="189" spans="1:30" s="288" customFormat="1" x14ac:dyDescent="0.25">
      <c r="A189" s="287"/>
      <c r="B189" s="274">
        <f t="shared" si="18"/>
        <v>174</v>
      </c>
      <c r="C189" s="304">
        <f t="shared" ca="1" si="19"/>
        <v>-229.39872705268499</v>
      </c>
      <c r="D189" s="304">
        <f ca="1">IF(ROUND(E188,0)&lt;&gt;0, IF(ROUND(D188,0)&lt;&gt;0, 'Career Comparison'!$F$28-C189, 0), 0)</f>
        <v>477.19377469995243</v>
      </c>
      <c r="E189" s="304">
        <f ca="1">IF(G$7&gt;=B189, E188*(1+'Government Figures'!$D$8/12)-'Career Comparison'!$F$28, 0)</f>
        <v>128910.86606186592</v>
      </c>
      <c r="F189" s="312">
        <f>'College Schedule'!$L$8*(1+'Government Figures'!$B$8/12)^B189</f>
        <v>2723.8666231096263</v>
      </c>
      <c r="G189" s="278">
        <v>1</v>
      </c>
      <c r="H189" s="279">
        <f t="shared" ca="1" si="22"/>
        <v>0.17320110972991043</v>
      </c>
      <c r="I189" s="304">
        <f>G189*('College Schedule'!$L$9)*(1+'Government Figures'!$B$8/12)^B189</f>
        <v>6065.9207351285459</v>
      </c>
      <c r="J189" s="304">
        <f t="shared" ca="1" si="20"/>
        <v>2043.634861513714</v>
      </c>
      <c r="K189" s="304">
        <f t="shared" ca="1" si="16"/>
        <v>1145.33198828113</v>
      </c>
      <c r="L189" s="278">
        <v>1</v>
      </c>
      <c r="M189" s="279">
        <f t="shared" si="23"/>
        <v>0.13735784313725496</v>
      </c>
      <c r="N189" s="304">
        <f>L189*('College Schedule'!$L$10)*(1+'Government Figures'!$B$8/12)^B189</f>
        <v>3639.5524410771282</v>
      </c>
      <c r="O189" s="304">
        <f t="shared" si="21"/>
        <v>415.7647446762162</v>
      </c>
      <c r="P189" s="304">
        <f t="shared" si="17"/>
        <v>233.01063739169902</v>
      </c>
      <c r="Q189" s="277"/>
      <c r="R189" s="281"/>
      <c r="S189" s="281"/>
      <c r="T189" s="281"/>
      <c r="U189" s="281"/>
      <c r="V189" s="281"/>
      <c r="W189" s="281"/>
      <c r="X189" s="281"/>
      <c r="Y189" s="281"/>
      <c r="Z189" s="281"/>
      <c r="AA189" s="281"/>
      <c r="AB189" s="281"/>
      <c r="AC189" s="281"/>
      <c r="AD189" s="281"/>
    </row>
    <row r="190" spans="1:30" s="288" customFormat="1" x14ac:dyDescent="0.25">
      <c r="A190" s="287"/>
      <c r="B190" s="274">
        <f t="shared" si="18"/>
        <v>175</v>
      </c>
      <c r="C190" s="304">
        <f t="shared" ca="1" si="19"/>
        <v>-230.24941399884119</v>
      </c>
      <c r="D190" s="304">
        <f ca="1">IF(ROUND(E189,0)&lt;&gt;0, IF(ROUND(D189,0)&lt;&gt;0, 'Career Comparison'!$F$28-C190, 0), 0)</f>
        <v>478.04446164610863</v>
      </c>
      <c r="E190" s="304">
        <f ca="1">IF(G$7&gt;=B190, E189*(1+'Government Figures'!$D$8/12)-'Career Comparison'!$F$28, 0)</f>
        <v>129141.11547586476</v>
      </c>
      <c r="F190" s="312">
        <f>'College Schedule'!$L$8*(1+'Government Figures'!$B$8/12)^B190</f>
        <v>2728.4064008148093</v>
      </c>
      <c r="G190" s="278">
        <v>1</v>
      </c>
      <c r="H190" s="279">
        <f t="shared" ca="1" si="22"/>
        <v>0.17320110972991043</v>
      </c>
      <c r="I190" s="304">
        <f>G190*('College Schedule'!$L$9)*(1+'Government Figures'!$B$8/12)^B190</f>
        <v>6076.0306030204274</v>
      </c>
      <c r="J190" s="304">
        <f t="shared" ca="1" si="20"/>
        <v>2047.4539113623159</v>
      </c>
      <c r="K190" s="304">
        <f t="shared" ca="1" si="16"/>
        <v>1143.6601310332544</v>
      </c>
      <c r="L190" s="278">
        <v>1</v>
      </c>
      <c r="M190" s="279">
        <f t="shared" si="23"/>
        <v>0.13735784313725496</v>
      </c>
      <c r="N190" s="304">
        <f>L190*('College Schedule'!$L$10)*(1+'Government Figures'!$B$8/12)^B190</f>
        <v>3645.6183618122573</v>
      </c>
      <c r="O190" s="304">
        <f t="shared" si="21"/>
        <v>416.4576859173435</v>
      </c>
      <c r="P190" s="304">
        <f t="shared" si="17"/>
        <v>232.62357653224444</v>
      </c>
      <c r="Q190" s="277"/>
      <c r="R190" s="281"/>
      <c r="S190" s="281"/>
      <c r="T190" s="281"/>
      <c r="U190" s="281"/>
      <c r="V190" s="281"/>
      <c r="W190" s="281"/>
      <c r="X190" s="281"/>
      <c r="Y190" s="281"/>
      <c r="Z190" s="281"/>
      <c r="AA190" s="281"/>
      <c r="AB190" s="281"/>
      <c r="AC190" s="281"/>
      <c r="AD190" s="281"/>
    </row>
    <row r="191" spans="1:30" s="288" customFormat="1" x14ac:dyDescent="0.25">
      <c r="A191" s="287"/>
      <c r="B191" s="274">
        <f t="shared" si="18"/>
        <v>176</v>
      </c>
      <c r="C191" s="304">
        <f t="shared" ca="1" si="19"/>
        <v>-231.10325557575561</v>
      </c>
      <c r="D191" s="304">
        <f ca="1">IF(ROUND(E190,0)&lt;&gt;0, IF(ROUND(D190,0)&lt;&gt;0, 'Career Comparison'!$F$28-C191, 0), 0)</f>
        <v>478.89830322302305</v>
      </c>
      <c r="E191" s="304">
        <f ca="1">IF(G$7&gt;=B191, E190*(1+'Government Figures'!$D$8/12)-'Career Comparison'!$F$28, 0)</f>
        <v>129372.21873144052</v>
      </c>
      <c r="F191" s="312">
        <f>'College Schedule'!$L$8*(1+'Government Figures'!$B$8/12)^B191</f>
        <v>2732.9537448161682</v>
      </c>
      <c r="G191" s="278">
        <v>1</v>
      </c>
      <c r="H191" s="279">
        <f t="shared" ca="1" si="22"/>
        <v>0.17320110972991043</v>
      </c>
      <c r="I191" s="304">
        <f>G191*('College Schedule'!$L$9)*(1+'Government Figures'!$B$8/12)^B191</f>
        <v>6086.1573206921294</v>
      </c>
      <c r="J191" s="304">
        <f t="shared" ca="1" si="20"/>
        <v>2051.279326293999</v>
      </c>
      <c r="K191" s="304">
        <f t="shared" ca="1" si="16"/>
        <v>1141.9902845529564</v>
      </c>
      <c r="L191" s="278">
        <v>1</v>
      </c>
      <c r="M191" s="279">
        <f t="shared" si="23"/>
        <v>0.13735784313725496</v>
      </c>
      <c r="N191" s="304">
        <f>L191*('College Schedule'!$L$10)*(1+'Government Figures'!$B$8/12)^B191</f>
        <v>3651.6943924152783</v>
      </c>
      <c r="O191" s="304">
        <f t="shared" si="21"/>
        <v>417.15178206053861</v>
      </c>
      <c r="P191" s="304">
        <f t="shared" si="17"/>
        <v>232.23715863102785</v>
      </c>
      <c r="Q191" s="277"/>
      <c r="R191" s="281"/>
      <c r="S191" s="281"/>
      <c r="T191" s="281"/>
      <c r="U191" s="281"/>
      <c r="V191" s="281"/>
      <c r="W191" s="281"/>
      <c r="X191" s="281"/>
      <c r="Y191" s="281"/>
      <c r="Z191" s="281"/>
      <c r="AA191" s="281"/>
      <c r="AB191" s="281"/>
      <c r="AC191" s="281"/>
      <c r="AD191" s="281"/>
    </row>
    <row r="192" spans="1:30" s="288" customFormat="1" x14ac:dyDescent="0.25">
      <c r="A192" s="287"/>
      <c r="B192" s="274">
        <f t="shared" si="18"/>
        <v>177</v>
      </c>
      <c r="C192" s="304">
        <f t="shared" ca="1" si="19"/>
        <v>-231.96026348184387</v>
      </c>
      <c r="D192" s="304">
        <f ca="1">IF(ROUND(E191,0)&lt;&gt;0, IF(ROUND(D191,0)&lt;&gt;0, 'Career Comparison'!$F$28-C192, 0), 0)</f>
        <v>479.75531112911131</v>
      </c>
      <c r="E192" s="304">
        <f ca="1">IF(G$7&gt;=B192, E191*(1+'Government Figures'!$D$8/12)-'Career Comparison'!$F$28, 0)</f>
        <v>129604.17899492236</v>
      </c>
      <c r="F192" s="312">
        <f>'College Schedule'!$L$8*(1+'Government Figures'!$B$8/12)^B192</f>
        <v>2737.5086677241948</v>
      </c>
      <c r="G192" s="278">
        <v>1</v>
      </c>
      <c r="H192" s="279">
        <f t="shared" ca="1" si="22"/>
        <v>0.17320110972991043</v>
      </c>
      <c r="I192" s="304">
        <f>G192*('College Schedule'!$L$9)*(1+'Government Figures'!$B$8/12)^B192</f>
        <v>6096.3009162266162</v>
      </c>
      <c r="J192" s="304">
        <f t="shared" ca="1" si="20"/>
        <v>2055.1111169172345</v>
      </c>
      <c r="K192" s="304">
        <f t="shared" ca="1" si="16"/>
        <v>1140.3224480462825</v>
      </c>
      <c r="L192" s="278">
        <v>1</v>
      </c>
      <c r="M192" s="279">
        <f t="shared" si="23"/>
        <v>0.13735784313725496</v>
      </c>
      <c r="N192" s="304">
        <f>L192*('College Schedule'!$L$10)*(1+'Government Figures'!$B$8/12)^B192</f>
        <v>3657.7805497359705</v>
      </c>
      <c r="O192" s="304">
        <f t="shared" si="21"/>
        <v>417.8470350306402</v>
      </c>
      <c r="P192" s="304">
        <f t="shared" si="17"/>
        <v>231.8513826200132</v>
      </c>
      <c r="Q192" s="277"/>
      <c r="R192" s="281"/>
      <c r="S192" s="281"/>
      <c r="T192" s="281"/>
      <c r="U192" s="281"/>
      <c r="V192" s="281"/>
      <c r="W192" s="281"/>
      <c r="X192" s="281"/>
      <c r="Y192" s="281"/>
      <c r="Z192" s="281"/>
      <c r="AA192" s="281"/>
      <c r="AB192" s="281"/>
      <c r="AC192" s="281"/>
      <c r="AD192" s="281"/>
    </row>
    <row r="193" spans="1:30" s="288" customFormat="1" x14ac:dyDescent="0.25">
      <c r="A193" s="287"/>
      <c r="B193" s="274">
        <f t="shared" si="18"/>
        <v>178</v>
      </c>
      <c r="C193" s="304">
        <f t="shared" ca="1" si="19"/>
        <v>-232.82044945891539</v>
      </c>
      <c r="D193" s="304">
        <f ca="1">IF(ROUND(E192,0)&lt;&gt;0, IF(ROUND(D192,0)&lt;&gt;0, 'Career Comparison'!$F$28-C193, 0), 0)</f>
        <v>480.61549710618283</v>
      </c>
      <c r="E193" s="304">
        <f ca="1">IF(G$7&gt;=B193, E192*(1+'Government Figures'!$D$8/12)-'Career Comparison'!$F$28, 0)</f>
        <v>129836.99944438128</v>
      </c>
      <c r="F193" s="312">
        <f>'College Schedule'!$L$8*(1+'Government Figures'!$B$8/12)^B193</f>
        <v>2742.0711821704017</v>
      </c>
      <c r="G193" s="278">
        <v>1</v>
      </c>
      <c r="H193" s="279">
        <f t="shared" ca="1" si="22"/>
        <v>0.17320110972991043</v>
      </c>
      <c r="I193" s="304">
        <f>G193*('College Schedule'!$L$9)*(1+'Government Figures'!$B$8/12)^B193</f>
        <v>6106.4614177536605</v>
      </c>
      <c r="J193" s="304">
        <f t="shared" ca="1" si="20"/>
        <v>2058.9492938581748</v>
      </c>
      <c r="K193" s="304">
        <f t="shared" ca="1" si="16"/>
        <v>1138.6566207121393</v>
      </c>
      <c r="L193" s="278">
        <v>1</v>
      </c>
      <c r="M193" s="279">
        <f t="shared" si="23"/>
        <v>0.13735784313725496</v>
      </c>
      <c r="N193" s="304">
        <f>L193*('College Schedule'!$L$10)*(1+'Government Figures'!$B$8/12)^B193</f>
        <v>3663.8768506521969</v>
      </c>
      <c r="O193" s="304">
        <f t="shared" si="21"/>
        <v>418.54344675569109</v>
      </c>
      <c r="P193" s="304">
        <f t="shared" si="17"/>
        <v>231.46624743293663</v>
      </c>
      <c r="Q193" s="277"/>
      <c r="R193" s="281"/>
      <c r="S193" s="281"/>
      <c r="T193" s="281"/>
      <c r="U193" s="281"/>
      <c r="V193" s="281"/>
      <c r="W193" s="281"/>
      <c r="X193" s="281"/>
      <c r="Y193" s="281"/>
      <c r="Z193" s="281"/>
      <c r="AA193" s="281"/>
      <c r="AB193" s="281"/>
      <c r="AC193" s="281"/>
      <c r="AD193" s="281"/>
    </row>
    <row r="194" spans="1:30" s="288" customFormat="1" x14ac:dyDescent="0.25">
      <c r="A194" s="287"/>
      <c r="B194" s="274">
        <f t="shared" si="18"/>
        <v>179</v>
      </c>
      <c r="C194" s="304">
        <f t="shared" ca="1" si="19"/>
        <v>-233.68382529233349</v>
      </c>
      <c r="D194" s="304">
        <f ca="1">IF(ROUND(E193,0)&lt;&gt;0, IF(ROUND(D193,0)&lt;&gt;0, 'Career Comparison'!$F$28-C194, 0), 0)</f>
        <v>481.47887293960093</v>
      </c>
      <c r="E194" s="304">
        <f ca="1">IF(G$7&gt;=B194, E193*(1+'Government Figures'!$D$8/12)-'Career Comparison'!$F$28, 0)</f>
        <v>130070.68326967361</v>
      </c>
      <c r="F194" s="312">
        <f>'College Schedule'!$L$8*(1+'Government Figures'!$B$8/12)^B194</f>
        <v>2746.6413008073532</v>
      </c>
      <c r="G194" s="278">
        <v>1</v>
      </c>
      <c r="H194" s="279">
        <f t="shared" ca="1" si="22"/>
        <v>0.17320110972991043</v>
      </c>
      <c r="I194" s="304">
        <f>G194*('College Schedule'!$L$9)*(1+'Government Figures'!$B$8/12)^B194</f>
        <v>6116.6388534499183</v>
      </c>
      <c r="J194" s="304">
        <f t="shared" ca="1" si="20"/>
        <v>2062.7938677606849</v>
      </c>
      <c r="K194" s="304">
        <f t="shared" ca="1" si="16"/>
        <v>1136.9928017423344</v>
      </c>
      <c r="L194" s="278">
        <v>1</v>
      </c>
      <c r="M194" s="279">
        <f t="shared" si="23"/>
        <v>0.13735784313725496</v>
      </c>
      <c r="N194" s="304">
        <f>L194*('College Schedule'!$L$10)*(1+'Government Figures'!$B$8/12)^B194</f>
        <v>3669.9833120699514</v>
      </c>
      <c r="O194" s="304">
        <f t="shared" si="21"/>
        <v>419.24101916695054</v>
      </c>
      <c r="P194" s="304">
        <f t="shared" si="17"/>
        <v>231.08175200530712</v>
      </c>
      <c r="Q194" s="277"/>
      <c r="R194" s="281"/>
      <c r="S194" s="281"/>
      <c r="T194" s="281"/>
      <c r="U194" s="281"/>
      <c r="V194" s="281"/>
      <c r="W194" s="281"/>
      <c r="X194" s="281"/>
      <c r="Y194" s="281"/>
      <c r="Z194" s="281"/>
      <c r="AA194" s="281"/>
      <c r="AB194" s="281"/>
      <c r="AC194" s="281"/>
      <c r="AD194" s="281"/>
    </row>
    <row r="195" spans="1:30" s="288" customFormat="1" x14ac:dyDescent="0.25">
      <c r="A195" s="287"/>
      <c r="B195" s="274">
        <f t="shared" si="18"/>
        <v>180</v>
      </c>
      <c r="C195" s="304">
        <f t="shared" ca="1" si="19"/>
        <v>-234.55040281111724</v>
      </c>
      <c r="D195" s="304">
        <f ca="1">IF(ROUND(E194,0)&lt;&gt;0, IF(ROUND(D194,0)&lt;&gt;0, 'Career Comparison'!$F$28-C195, 0), 0)</f>
        <v>482.34545045838468</v>
      </c>
      <c r="E195" s="304">
        <f ca="1">IF(G$7&gt;=B195, E194*(1+'Government Figures'!$D$8/12)-'Career Comparison'!$F$28, 0)</f>
        <v>130305.23367248473</v>
      </c>
      <c r="F195" s="312">
        <f>'College Schedule'!$L$8*(1+'Government Figures'!$B$8/12)^B195</f>
        <v>2751.2190363086984</v>
      </c>
      <c r="G195" s="278">
        <v>1</v>
      </c>
      <c r="H195" s="279">
        <f t="shared" ca="1" si="22"/>
        <v>0.17320110972991043</v>
      </c>
      <c r="I195" s="304">
        <f>G195*('College Schedule'!$L$9)*(1+'Government Figures'!$B$8/12)^B195</f>
        <v>6126.8332515390011</v>
      </c>
      <c r="J195" s="304">
        <f t="shared" ca="1" si="20"/>
        <v>2066.6448492863651</v>
      </c>
      <c r="K195" s="304">
        <f t="shared" ca="1" si="16"/>
        <v>1135.3309903216129</v>
      </c>
      <c r="L195" s="278">
        <v>1</v>
      </c>
      <c r="M195" s="279">
        <f t="shared" si="23"/>
        <v>0.13735784313725496</v>
      </c>
      <c r="N195" s="304">
        <f>L195*('College Schedule'!$L$10)*(1+'Government Figures'!$B$8/12)^B195</f>
        <v>3676.0999509234011</v>
      </c>
      <c r="O195" s="304">
        <f t="shared" si="21"/>
        <v>419.93975419889557</v>
      </c>
      <c r="P195" s="304">
        <f t="shared" si="17"/>
        <v>230.69789527440136</v>
      </c>
      <c r="Q195" s="277"/>
      <c r="R195" s="281"/>
      <c r="S195" s="281"/>
      <c r="T195" s="281"/>
      <c r="U195" s="281"/>
      <c r="V195" s="281"/>
      <c r="W195" s="281"/>
      <c r="X195" s="281"/>
      <c r="Y195" s="281"/>
      <c r="Z195" s="281"/>
      <c r="AA195" s="281"/>
      <c r="AB195" s="281"/>
      <c r="AC195" s="281"/>
      <c r="AD195" s="281"/>
    </row>
    <row r="196" spans="1:30" s="288" customFormat="1" x14ac:dyDescent="0.25">
      <c r="A196" s="287"/>
      <c r="B196" s="274">
        <f t="shared" si="18"/>
        <v>181</v>
      </c>
      <c r="C196" s="304">
        <f t="shared" ca="1" si="19"/>
        <v>-235.42019388821791</v>
      </c>
      <c r="D196" s="304">
        <f ca="1">IF(ROUND(E195,0)&lt;&gt;0, IF(ROUND(D195,0)&lt;&gt;0, 'Career Comparison'!$F$28-C196, 0), 0)</f>
        <v>483.21524153548535</v>
      </c>
      <c r="E196" s="304">
        <f ca="1">IF(G$7&gt;=B196, E195*(1+'Government Figures'!$D$8/12)-'Career Comparison'!$F$28, 0)</f>
        <v>130540.65386637294</v>
      </c>
      <c r="F196" s="312">
        <f>'College Schedule'!$L$8*(1+'Government Figures'!$B$8/12)^B196</f>
        <v>2755.8044013692133</v>
      </c>
      <c r="G196" s="278">
        <v>1</v>
      </c>
      <c r="H196" s="279">
        <f t="shared" ca="1" si="22"/>
        <v>0.17320110972991043</v>
      </c>
      <c r="I196" s="304">
        <f>G196*('College Schedule'!$L$9)*(1+'Government Figures'!$B$8/12)^B196</f>
        <v>6137.0446402915668</v>
      </c>
      <c r="J196" s="304">
        <f t="shared" ca="1" si="20"/>
        <v>2070.5022491145878</v>
      </c>
      <c r="K196" s="304">
        <f t="shared" ca="1" si="16"/>
        <v>1133.6711856276997</v>
      </c>
      <c r="L196" s="278">
        <v>1</v>
      </c>
      <c r="M196" s="279">
        <f t="shared" si="23"/>
        <v>0.13735784313725496</v>
      </c>
      <c r="N196" s="304">
        <f>L196*('College Schedule'!$L$10)*(1+'Government Figures'!$B$8/12)^B196</f>
        <v>3682.2267841749403</v>
      </c>
      <c r="O196" s="304">
        <f t="shared" si="21"/>
        <v>420.63965378922694</v>
      </c>
      <c r="P196" s="304">
        <f t="shared" si="17"/>
        <v>230.31467617926108</v>
      </c>
      <c r="Q196" s="277"/>
      <c r="R196" s="281"/>
      <c r="S196" s="281"/>
      <c r="T196" s="281"/>
      <c r="U196" s="281"/>
      <c r="V196" s="281"/>
      <c r="W196" s="281"/>
      <c r="X196" s="281"/>
      <c r="Y196" s="281"/>
      <c r="Z196" s="281"/>
      <c r="AA196" s="281"/>
      <c r="AB196" s="281"/>
      <c r="AC196" s="281"/>
      <c r="AD196" s="281"/>
    </row>
    <row r="197" spans="1:30" s="288" customFormat="1" x14ac:dyDescent="0.25">
      <c r="A197" s="287"/>
      <c r="B197" s="274">
        <f t="shared" si="18"/>
        <v>182</v>
      </c>
      <c r="C197" s="304">
        <f t="shared" ca="1" si="19"/>
        <v>-236.29321044054814</v>
      </c>
      <c r="D197" s="304">
        <f ca="1">IF(ROUND(E196,0)&lt;&gt;0, IF(ROUND(D196,0)&lt;&gt;0, 'Career Comparison'!$F$28-C197, 0), 0)</f>
        <v>484.08825808781557</v>
      </c>
      <c r="E197" s="304">
        <f ca="1">IF(G$7&gt;=B197, E196*(1+'Government Figures'!$D$8/12)-'Career Comparison'!$F$28, 0)</f>
        <v>130776.94707681349</v>
      </c>
      <c r="F197" s="312">
        <f>'College Schedule'!$L$8*(1+'Government Figures'!$B$8/12)^B197</f>
        <v>2760.3974087048286</v>
      </c>
      <c r="G197" s="278">
        <v>1</v>
      </c>
      <c r="H197" s="279">
        <f t="shared" ca="1" si="22"/>
        <v>0.17320110972991043</v>
      </c>
      <c r="I197" s="304">
        <f>G197*('College Schedule'!$L$9)*(1+'Government Figures'!$B$8/12)^B197</f>
        <v>6147.2730480253858</v>
      </c>
      <c r="J197" s="304">
        <f t="shared" ca="1" si="20"/>
        <v>2074.3660779425236</v>
      </c>
      <c r="K197" s="304">
        <f t="shared" ca="1" si="16"/>
        <v>1132.0133868313383</v>
      </c>
      <c r="L197" s="278">
        <v>1</v>
      </c>
      <c r="M197" s="279">
        <f t="shared" si="23"/>
        <v>0.13735784313725496</v>
      </c>
      <c r="N197" s="304">
        <f>L197*('College Schedule'!$L$10)*(1+'Government Figures'!$B$8/12)^B197</f>
        <v>3688.3638288152324</v>
      </c>
      <c r="O197" s="304">
        <f t="shared" si="21"/>
        <v>421.34071987887592</v>
      </c>
      <c r="P197" s="304">
        <f t="shared" si="17"/>
        <v>229.93209366069098</v>
      </c>
      <c r="Q197" s="277"/>
      <c r="R197" s="281"/>
      <c r="S197" s="281"/>
      <c r="T197" s="281"/>
      <c r="U197" s="281"/>
      <c r="V197" s="281"/>
      <c r="W197" s="281"/>
      <c r="X197" s="281"/>
      <c r="Y197" s="281"/>
      <c r="Z197" s="281"/>
      <c r="AA197" s="281"/>
      <c r="AB197" s="281"/>
      <c r="AC197" s="281"/>
      <c r="AD197" s="281"/>
    </row>
    <row r="198" spans="1:30" s="288" customFormat="1" x14ac:dyDescent="0.25">
      <c r="A198" s="287"/>
      <c r="B198" s="274">
        <f t="shared" si="18"/>
        <v>183</v>
      </c>
      <c r="C198" s="304">
        <f t="shared" ca="1" si="19"/>
        <v>-237.16946442925837</v>
      </c>
      <c r="D198" s="304">
        <f ca="1">IF(ROUND(E197,0)&lt;&gt;0, IF(ROUND(D197,0)&lt;&gt;0, 'Career Comparison'!$F$28-C198, 0), 0)</f>
        <v>484.96451207652581</v>
      </c>
      <c r="E198" s="304">
        <f ca="1">IF(G$7&gt;=B198, E197*(1+'Government Figures'!$D$8/12)-'Career Comparison'!$F$28, 0)</f>
        <v>131014.11654124275</v>
      </c>
      <c r="F198" s="312">
        <f>'College Schedule'!$L$8*(1+'Government Figures'!$B$8/12)^B198</f>
        <v>2764.9980710526702</v>
      </c>
      <c r="G198" s="278">
        <v>1</v>
      </c>
      <c r="H198" s="279">
        <f t="shared" ca="1" si="22"/>
        <v>0.17320110972991043</v>
      </c>
      <c r="I198" s="304">
        <f>G198*('College Schedule'!$L$9)*(1+'Government Figures'!$B$8/12)^B198</f>
        <v>6157.5185031054289</v>
      </c>
      <c r="J198" s="304">
        <f t="shared" ca="1" si="20"/>
        <v>2078.2363464851742</v>
      </c>
      <c r="K198" s="304">
        <f t="shared" ca="1" si="16"/>
        <v>1130.357593096332</v>
      </c>
      <c r="L198" s="278">
        <v>1</v>
      </c>
      <c r="M198" s="279">
        <f t="shared" si="23"/>
        <v>0.13735784313725496</v>
      </c>
      <c r="N198" s="304">
        <f>L198*('College Schedule'!$L$10)*(1+'Government Figures'!$B$8/12)^B198</f>
        <v>3694.5111018632579</v>
      </c>
      <c r="O198" s="304">
        <f t="shared" si="21"/>
        <v>422.04295441200748</v>
      </c>
      <c r="P198" s="304">
        <f t="shared" si="17"/>
        <v>229.55014666125464</v>
      </c>
      <c r="Q198" s="277"/>
      <c r="R198" s="281"/>
      <c r="S198" s="281"/>
      <c r="T198" s="281"/>
      <c r="U198" s="281"/>
      <c r="V198" s="281"/>
      <c r="W198" s="281"/>
      <c r="X198" s="281"/>
      <c r="Y198" s="281"/>
      <c r="Z198" s="281"/>
      <c r="AA198" s="281"/>
      <c r="AB198" s="281"/>
      <c r="AC198" s="281"/>
      <c r="AD198" s="281"/>
    </row>
    <row r="199" spans="1:30" s="288" customFormat="1" x14ac:dyDescent="0.25">
      <c r="A199" s="287"/>
      <c r="B199" s="274">
        <f t="shared" si="18"/>
        <v>184</v>
      </c>
      <c r="C199" s="304">
        <f t="shared" ca="1" si="19"/>
        <v>-238.04896785985329</v>
      </c>
      <c r="D199" s="304">
        <f ca="1">IF(ROUND(E198,0)&lt;&gt;0, IF(ROUND(D198,0)&lt;&gt;0, 'Career Comparison'!$F$28-C199, 0), 0)</f>
        <v>485.84401550712073</v>
      </c>
      <c r="E199" s="304">
        <f ca="1">IF(G$7&gt;=B199, E198*(1+'Government Figures'!$D$8/12)-'Career Comparison'!$F$28, 0)</f>
        <v>131252.1655091026</v>
      </c>
      <c r="F199" s="312">
        <f>'College Schedule'!$L$8*(1+'Government Figures'!$B$8/12)^B199</f>
        <v>2769.6064011710923</v>
      </c>
      <c r="G199" s="278">
        <v>1</v>
      </c>
      <c r="H199" s="279">
        <f t="shared" ca="1" si="22"/>
        <v>0.17320110972991043</v>
      </c>
      <c r="I199" s="304">
        <f>G199*('College Schedule'!$L$9)*(1+'Government Figures'!$B$8/12)^B199</f>
        <v>6167.7810339439393</v>
      </c>
      <c r="J199" s="304">
        <f t="shared" ca="1" si="20"/>
        <v>2082.1130654753947</v>
      </c>
      <c r="K199" s="304">
        <f t="shared" ca="1" si="16"/>
        <v>1128.7038035795781</v>
      </c>
      <c r="L199" s="278">
        <v>1</v>
      </c>
      <c r="M199" s="279">
        <f t="shared" si="23"/>
        <v>0.13735784313725496</v>
      </c>
      <c r="N199" s="304">
        <f>L199*('College Schedule'!$L$10)*(1+'Government Figures'!$B$8/12)^B199</f>
        <v>3700.6686203663644</v>
      </c>
      <c r="O199" s="304">
        <f t="shared" si="21"/>
        <v>422.74635933602713</v>
      </c>
      <c r="P199" s="304">
        <f t="shared" si="17"/>
        <v>229.1688341252723</v>
      </c>
      <c r="Q199" s="277"/>
      <c r="R199" s="281"/>
      <c r="S199" s="281"/>
      <c r="T199" s="281"/>
      <c r="U199" s="281"/>
      <c r="V199" s="281"/>
      <c r="W199" s="281"/>
      <c r="X199" s="281"/>
      <c r="Y199" s="281"/>
      <c r="Z199" s="281"/>
      <c r="AA199" s="281"/>
      <c r="AB199" s="281"/>
      <c r="AC199" s="281"/>
      <c r="AD199" s="281"/>
    </row>
    <row r="200" spans="1:30" s="288" customFormat="1" x14ac:dyDescent="0.25">
      <c r="A200" s="287"/>
      <c r="B200" s="274">
        <f t="shared" si="18"/>
        <v>185</v>
      </c>
      <c r="C200" s="304">
        <f t="shared" ca="1" si="19"/>
        <v>-238.93173278233735</v>
      </c>
      <c r="D200" s="304">
        <f ca="1">IF(ROUND(E199,0)&lt;&gt;0, IF(ROUND(D199,0)&lt;&gt;0, 'Career Comparison'!$F$28-C200, 0), 0)</f>
        <v>486.72678042960479</v>
      </c>
      <c r="E200" s="304">
        <f ca="1">IF(G$7&gt;=B200, E199*(1+'Government Figures'!$D$8/12)-'Career Comparison'!$F$28, 0)</f>
        <v>131491.09724188494</v>
      </c>
      <c r="F200" s="312">
        <f>'College Schedule'!$L$8*(1+'Government Figures'!$B$8/12)^B200</f>
        <v>2774.2224118397103</v>
      </c>
      <c r="G200" s="278">
        <v>1</v>
      </c>
      <c r="H200" s="279">
        <f t="shared" ca="1" si="22"/>
        <v>0.17320110972991043</v>
      </c>
      <c r="I200" s="304">
        <f>G200*('College Schedule'!$L$9)*(1+'Government Figures'!$B$8/12)^B200</f>
        <v>6178.0606690005116</v>
      </c>
      <c r="J200" s="304">
        <f t="shared" ca="1" si="20"/>
        <v>2085.9962456639323</v>
      </c>
      <c r="K200" s="304">
        <f t="shared" ca="1" si="16"/>
        <v>1127.0520174311125</v>
      </c>
      <c r="L200" s="278">
        <v>1</v>
      </c>
      <c r="M200" s="279">
        <f t="shared" si="23"/>
        <v>0.13735784313725496</v>
      </c>
      <c r="N200" s="304">
        <f>L200*('College Schedule'!$L$10)*(1+'Government Figures'!$B$8/12)^B200</f>
        <v>3706.8364014003078</v>
      </c>
      <c r="O200" s="304">
        <f t="shared" si="21"/>
        <v>423.45093660158727</v>
      </c>
      <c r="P200" s="304">
        <f t="shared" si="17"/>
        <v>228.78815499881841</v>
      </c>
      <c r="Q200" s="277"/>
      <c r="R200" s="281"/>
      <c r="S200" s="281"/>
      <c r="T200" s="281"/>
      <c r="U200" s="281"/>
      <c r="V200" s="281"/>
      <c r="W200" s="281"/>
      <c r="X200" s="281"/>
      <c r="Y200" s="281"/>
      <c r="Z200" s="281"/>
      <c r="AA200" s="281"/>
      <c r="AB200" s="281"/>
      <c r="AC200" s="281"/>
      <c r="AD200" s="281"/>
    </row>
    <row r="201" spans="1:30" s="288" customFormat="1" x14ac:dyDescent="0.25">
      <c r="A201" s="287"/>
      <c r="B201" s="274">
        <f t="shared" si="18"/>
        <v>186</v>
      </c>
      <c r="C201" s="304">
        <f t="shared" ca="1" si="19"/>
        <v>-239.81777129141847</v>
      </c>
      <c r="D201" s="304">
        <f ca="1">IF(ROUND(E200,0)&lt;&gt;0, IF(ROUND(D200,0)&lt;&gt;0, 'Career Comparison'!$F$28-C201, 0), 0)</f>
        <v>487.6128189386859</v>
      </c>
      <c r="E201" s="304">
        <f ca="1">IF(G$7&gt;=B201, E200*(1+'Government Figures'!$D$8/12)-'Career Comparison'!$F$28, 0)</f>
        <v>131730.91501317636</v>
      </c>
      <c r="F201" s="312">
        <f>'College Schedule'!$L$8*(1+'Government Figures'!$B$8/12)^B201</f>
        <v>2778.8461158594432</v>
      </c>
      <c r="G201" s="278">
        <v>1</v>
      </c>
      <c r="H201" s="279">
        <f t="shared" ca="1" si="22"/>
        <v>0.17320110972991043</v>
      </c>
      <c r="I201" s="304">
        <f>G201*('College Schedule'!$L$9)*(1+'Government Figures'!$B$8/12)^B201</f>
        <v>6188.3574367821802</v>
      </c>
      <c r="J201" s="304">
        <f t="shared" ca="1" si="20"/>
        <v>2089.8858978194521</v>
      </c>
      <c r="K201" s="304">
        <f t="shared" ca="1" si="16"/>
        <v>1125.4022337941453</v>
      </c>
      <c r="L201" s="278">
        <v>1</v>
      </c>
      <c r="M201" s="279">
        <f t="shared" si="23"/>
        <v>0.13735784313725496</v>
      </c>
      <c r="N201" s="304">
        <f>L201*('College Schedule'!$L$10)*(1+'Government Figures'!$B$8/12)^B201</f>
        <v>3713.0144620693086</v>
      </c>
      <c r="O201" s="304">
        <f t="shared" si="21"/>
        <v>424.15668816258994</v>
      </c>
      <c r="P201" s="304">
        <f t="shared" si="17"/>
        <v>228.40810822971739</v>
      </c>
      <c r="Q201" s="277"/>
      <c r="R201" s="281"/>
      <c r="S201" s="281"/>
      <c r="T201" s="281"/>
      <c r="U201" s="281"/>
      <c r="V201" s="281"/>
      <c r="W201" s="281"/>
      <c r="X201" s="281"/>
      <c r="Y201" s="281"/>
      <c r="Z201" s="281"/>
      <c r="AA201" s="281"/>
      <c r="AB201" s="281"/>
      <c r="AC201" s="281"/>
      <c r="AD201" s="281"/>
    </row>
    <row r="202" spans="1:30" s="288" customFormat="1" x14ac:dyDescent="0.25">
      <c r="A202" s="287"/>
      <c r="B202" s="274">
        <f t="shared" si="18"/>
        <v>187</v>
      </c>
      <c r="C202" s="304">
        <f t="shared" ca="1" si="19"/>
        <v>-240.70709552662447</v>
      </c>
      <c r="D202" s="304">
        <f ca="1">IF(ROUND(E201,0)&lt;&gt;0, IF(ROUND(D201,0)&lt;&gt;0, 'Career Comparison'!$F$28-C202, 0), 0)</f>
        <v>488.50214317389191</v>
      </c>
      <c r="E202" s="304">
        <f ca="1">IF(G$7&gt;=B202, E201*(1+'Government Figures'!$D$8/12)-'Career Comparison'!$F$28, 0)</f>
        <v>131971.62210870298</v>
      </c>
      <c r="F202" s="312">
        <f>'College Schedule'!$L$8*(1+'Government Figures'!$B$8/12)^B202</f>
        <v>2783.4775260525425</v>
      </c>
      <c r="G202" s="278">
        <v>1</v>
      </c>
      <c r="H202" s="279">
        <f t="shared" ca="1" si="22"/>
        <v>0.17320110972991043</v>
      </c>
      <c r="I202" s="304">
        <f>G202*('College Schedule'!$L$9)*(1+'Government Figures'!$B$8/12)^B202</f>
        <v>6198.6713658434837</v>
      </c>
      <c r="J202" s="304">
        <f t="shared" ca="1" si="20"/>
        <v>2093.7820327285626</v>
      </c>
      <c r="K202" s="304">
        <f t="shared" ca="1" si="16"/>
        <v>1123.7544518050993</v>
      </c>
      <c r="L202" s="278">
        <v>1</v>
      </c>
      <c r="M202" s="279">
        <f t="shared" si="23"/>
        <v>0.13735784313725496</v>
      </c>
      <c r="N202" s="304">
        <f>L202*('College Schedule'!$L$10)*(1+'Government Figures'!$B$8/12)^B202</f>
        <v>3719.2028195060907</v>
      </c>
      <c r="O202" s="304">
        <f t="shared" si="21"/>
        <v>424.86361597619407</v>
      </c>
      <c r="P202" s="304">
        <f t="shared" si="17"/>
        <v>228.02869276754166</v>
      </c>
      <c r="Q202" s="277"/>
      <c r="R202" s="281"/>
      <c r="S202" s="281"/>
      <c r="T202" s="281"/>
      <c r="U202" s="281"/>
      <c r="V202" s="281"/>
      <c r="W202" s="281"/>
      <c r="X202" s="281"/>
      <c r="Y202" s="281"/>
      <c r="Z202" s="281"/>
      <c r="AA202" s="281"/>
      <c r="AB202" s="281"/>
      <c r="AC202" s="281"/>
      <c r="AD202" s="281"/>
    </row>
    <row r="203" spans="1:30" s="288" customFormat="1" x14ac:dyDescent="0.25">
      <c r="A203" s="287"/>
      <c r="B203" s="274">
        <f t="shared" si="18"/>
        <v>188</v>
      </c>
      <c r="C203" s="304">
        <f t="shared" ca="1" si="19"/>
        <v>-241.59971767253592</v>
      </c>
      <c r="D203" s="304">
        <f ca="1">IF(ROUND(E202,0)&lt;&gt;0, IF(ROUND(D202,0)&lt;&gt;0, 'Career Comparison'!$F$28-C203, 0), 0)</f>
        <v>489.39476531980335</v>
      </c>
      <c r="E203" s="304">
        <f ca="1">IF(G$7&gt;=B203, E202*(1+'Government Figures'!$D$8/12)-'Career Comparison'!$F$28, 0)</f>
        <v>132213.22182637552</v>
      </c>
      <c r="F203" s="312">
        <f>'College Schedule'!$L$8*(1+'Government Figures'!$B$8/12)^B203</f>
        <v>2788.11665526263</v>
      </c>
      <c r="G203" s="278">
        <v>1</v>
      </c>
      <c r="H203" s="279">
        <f t="shared" ca="1" si="22"/>
        <v>0.17320110972991043</v>
      </c>
      <c r="I203" s="304">
        <f>G203*('College Schedule'!$L$9)*(1+'Government Figures'!$B$8/12)^B203</f>
        <v>6209.0024847865561</v>
      </c>
      <c r="J203" s="304">
        <f t="shared" ca="1" si="20"/>
        <v>2097.6846611958558</v>
      </c>
      <c r="K203" s="304">
        <f t="shared" ca="1" si="16"/>
        <v>1122.1086705936518</v>
      </c>
      <c r="L203" s="278">
        <v>1</v>
      </c>
      <c r="M203" s="279">
        <f t="shared" si="23"/>
        <v>0.13735784313725496</v>
      </c>
      <c r="N203" s="304">
        <f>L203*('College Schedule'!$L$10)*(1+'Government Figures'!$B$8/12)^B203</f>
        <v>3725.4014908719346</v>
      </c>
      <c r="O203" s="304">
        <f t="shared" si="21"/>
        <v>425.57172200282139</v>
      </c>
      <c r="P203" s="304">
        <f t="shared" si="17"/>
        <v>227.64990756360899</v>
      </c>
      <c r="Q203" s="277"/>
      <c r="R203" s="281"/>
      <c r="S203" s="281"/>
      <c r="T203" s="281"/>
      <c r="U203" s="281"/>
      <c r="V203" s="281"/>
      <c r="W203" s="281"/>
      <c r="X203" s="281"/>
      <c r="Y203" s="281"/>
      <c r="Z203" s="281"/>
      <c r="AA203" s="281"/>
      <c r="AB203" s="281"/>
      <c r="AC203" s="281"/>
      <c r="AD203" s="281"/>
    </row>
    <row r="204" spans="1:30" s="288" customFormat="1" x14ac:dyDescent="0.25">
      <c r="A204" s="287"/>
      <c r="B204" s="274">
        <f t="shared" si="18"/>
        <v>189</v>
      </c>
      <c r="C204" s="304">
        <f t="shared" ca="1" si="19"/>
        <v>-242.4956499589025</v>
      </c>
      <c r="D204" s="304">
        <f ca="1">IF(ROUND(E203,0)&lt;&gt;0, IF(ROUND(D203,0)&lt;&gt;0, 'Career Comparison'!$F$28-C204, 0), 0)</f>
        <v>490.29069760616994</v>
      </c>
      <c r="E204" s="304">
        <f ca="1">IF(G$7&gt;=B204, E203*(1+'Government Figures'!$D$8/12)-'Career Comparison'!$F$28, 0)</f>
        <v>132455.71747633442</v>
      </c>
      <c r="F204" s="312">
        <f>'College Schedule'!$L$8*(1+'Government Figures'!$B$8/12)^B204</f>
        <v>2792.7635163547347</v>
      </c>
      <c r="G204" s="278">
        <v>1</v>
      </c>
      <c r="H204" s="279">
        <f t="shared" ca="1" si="22"/>
        <v>0.17320110972991043</v>
      </c>
      <c r="I204" s="304">
        <f>G204*('College Schedule'!$L$9)*(1+'Government Figures'!$B$8/12)^B204</f>
        <v>6219.3508222612018</v>
      </c>
      <c r="J204" s="304">
        <f t="shared" ca="1" si="20"/>
        <v>2101.5937940439285</v>
      </c>
      <c r="K204" s="304">
        <f t="shared" ca="1" si="16"/>
        <v>1120.4648892827695</v>
      </c>
      <c r="L204" s="278">
        <v>1</v>
      </c>
      <c r="M204" s="279">
        <f t="shared" si="23"/>
        <v>0.13735784313725496</v>
      </c>
      <c r="N204" s="304">
        <f>L204*('College Schedule'!$L$10)*(1+'Government Figures'!$B$8/12)^B204</f>
        <v>3731.6104933567217</v>
      </c>
      <c r="O204" s="304">
        <f t="shared" si="21"/>
        <v>426.28100820615964</v>
      </c>
      <c r="P204" s="304">
        <f t="shared" si="17"/>
        <v>227.27175157097858</v>
      </c>
      <c r="Q204" s="277"/>
      <c r="R204" s="281"/>
      <c r="S204" s="281"/>
      <c r="T204" s="281"/>
      <c r="U204" s="281"/>
      <c r="V204" s="281"/>
      <c r="W204" s="281"/>
      <c r="X204" s="281"/>
      <c r="Y204" s="281"/>
      <c r="Z204" s="281"/>
      <c r="AA204" s="281"/>
      <c r="AB204" s="281"/>
      <c r="AC204" s="281"/>
      <c r="AD204" s="281"/>
    </row>
    <row r="205" spans="1:30" s="288" customFormat="1" x14ac:dyDescent="0.25">
      <c r="A205" s="287"/>
      <c r="B205" s="274">
        <f t="shared" si="18"/>
        <v>190</v>
      </c>
      <c r="C205" s="304">
        <f t="shared" ca="1" si="19"/>
        <v>-243.3949046608177</v>
      </c>
      <c r="D205" s="304">
        <f ca="1">IF(ROUND(E204,0)&lt;&gt;0, IF(ROUND(D204,0)&lt;&gt;0, 'Career Comparison'!$F$28-C205, 0), 0)</f>
        <v>491.18995230808514</v>
      </c>
      <c r="E205" s="304">
        <f ca="1">IF(G$7&gt;=B205, E204*(1+'Government Figures'!$D$8/12)-'Career Comparison'!$F$28, 0)</f>
        <v>132699.11238099524</v>
      </c>
      <c r="F205" s="312">
        <f>'College Schedule'!$L$8*(1+'Government Figures'!$B$8/12)^B205</f>
        <v>2797.4181222153261</v>
      </c>
      <c r="G205" s="278">
        <v>1</v>
      </c>
      <c r="H205" s="279">
        <f t="shared" ca="1" si="22"/>
        <v>0.17320110972991043</v>
      </c>
      <c r="I205" s="304">
        <f>G205*('College Schedule'!$L$9)*(1+'Government Figures'!$B$8/12)^B205</f>
        <v>6229.7164069649707</v>
      </c>
      <c r="J205" s="304">
        <f t="shared" ca="1" si="20"/>
        <v>2105.5094421134136</v>
      </c>
      <c r="K205" s="304">
        <f t="shared" ca="1" si="16"/>
        <v>1118.8231069887468</v>
      </c>
      <c r="L205" s="278">
        <v>1</v>
      </c>
      <c r="M205" s="279">
        <f t="shared" si="23"/>
        <v>0.13735784313725496</v>
      </c>
      <c r="N205" s="304">
        <f>L205*('College Schedule'!$L$10)*(1+'Government Figures'!$B$8/12)^B205</f>
        <v>3737.829844178983</v>
      </c>
      <c r="O205" s="304">
        <f t="shared" si="21"/>
        <v>426.99147655316983</v>
      </c>
      <c r="P205" s="304">
        <f t="shared" si="17"/>
        <v>226.89422374444862</v>
      </c>
      <c r="Q205" s="277"/>
      <c r="R205" s="281"/>
      <c r="S205" s="281"/>
      <c r="T205" s="281"/>
      <c r="U205" s="281"/>
      <c r="V205" s="281"/>
      <c r="W205" s="281"/>
      <c r="X205" s="281"/>
      <c r="Y205" s="281"/>
      <c r="Z205" s="281"/>
      <c r="AA205" s="281"/>
      <c r="AB205" s="281"/>
      <c r="AC205" s="281"/>
      <c r="AD205" s="281"/>
    </row>
    <row r="206" spans="1:30" s="288" customFormat="1" x14ac:dyDescent="0.25">
      <c r="A206" s="287"/>
      <c r="B206" s="274">
        <f t="shared" si="18"/>
        <v>191</v>
      </c>
      <c r="C206" s="304">
        <f t="shared" ca="1" si="19"/>
        <v>-244.29749409895157</v>
      </c>
      <c r="D206" s="304">
        <f ca="1">IF(ROUND(E205,0)&lt;&gt;0, IF(ROUND(D205,0)&lt;&gt;0, 'Career Comparison'!$F$28-C206, 0), 0)</f>
        <v>492.09254174621901</v>
      </c>
      <c r="E206" s="304">
        <f ca="1">IF(G$7&gt;=B206, E205*(1+'Government Figures'!$D$8/12)-'Career Comparison'!$F$28, 0)</f>
        <v>132943.40987509419</v>
      </c>
      <c r="F206" s="312">
        <f>'College Schedule'!$L$8*(1+'Government Figures'!$B$8/12)^B206</f>
        <v>2802.0804857523526</v>
      </c>
      <c r="G206" s="278">
        <v>1</v>
      </c>
      <c r="H206" s="279">
        <f t="shared" ca="1" si="22"/>
        <v>0.17320110972991043</v>
      </c>
      <c r="I206" s="304">
        <f>G206*('College Schedule'!$L$9)*(1+'Government Figures'!$B$8/12)^B206</f>
        <v>6240.099267643247</v>
      </c>
      <c r="J206" s="304">
        <f t="shared" ca="1" si="20"/>
        <v>2109.4316162630153</v>
      </c>
      <c r="K206" s="304">
        <f t="shared" ca="1" si="16"/>
        <v>1117.1833228212472</v>
      </c>
      <c r="L206" s="278">
        <v>1</v>
      </c>
      <c r="M206" s="279">
        <f t="shared" si="23"/>
        <v>0.13735784313725496</v>
      </c>
      <c r="N206" s="304">
        <f>L206*('College Schedule'!$L$10)*(1+'Government Figures'!$B$8/12)^B206</f>
        <v>3744.0595605859489</v>
      </c>
      <c r="O206" s="304">
        <f t="shared" si="21"/>
        <v>427.7031290140917</v>
      </c>
      <c r="P206" s="304">
        <f t="shared" si="17"/>
        <v>226.51732304055409</v>
      </c>
      <c r="Q206" s="277"/>
      <c r="R206" s="281"/>
      <c r="S206" s="281"/>
      <c r="T206" s="281"/>
      <c r="U206" s="281"/>
      <c r="V206" s="281"/>
      <c r="W206" s="281"/>
      <c r="X206" s="281"/>
      <c r="Y206" s="281"/>
      <c r="Z206" s="281"/>
      <c r="AA206" s="281"/>
      <c r="AB206" s="281"/>
      <c r="AC206" s="281"/>
      <c r="AD206" s="281"/>
    </row>
    <row r="207" spans="1:30" s="288" customFormat="1" x14ac:dyDescent="0.25">
      <c r="A207" s="287"/>
      <c r="B207" s="274">
        <f t="shared" si="18"/>
        <v>192</v>
      </c>
      <c r="C207" s="304">
        <f t="shared" ca="1" si="19"/>
        <v>-245.20343063955079</v>
      </c>
      <c r="D207" s="304">
        <f ca="1">IF(ROUND(E206,0)&lt;&gt;0, IF(ROUND(D206,0)&lt;&gt;0, 'Career Comparison'!$F$28-C207, 0), 0)</f>
        <v>492.99847828681823</v>
      </c>
      <c r="E207" s="304">
        <f ca="1">IF(G$7&gt;=B207, E206*(1+'Government Figures'!$D$8/12)-'Career Comparison'!$F$28, 0)</f>
        <v>133188.61330573374</v>
      </c>
      <c r="F207" s="312">
        <f>'College Schedule'!$L$8*(1+'Government Figures'!$B$8/12)^B207</f>
        <v>2806.7506198952733</v>
      </c>
      <c r="G207" s="278">
        <v>1</v>
      </c>
      <c r="H207" s="279">
        <f t="shared" ca="1" si="22"/>
        <v>0.17320110972991043</v>
      </c>
      <c r="I207" s="304">
        <f>G207*('College Schedule'!$L$9)*(1+'Government Figures'!$B$8/12)^B207</f>
        <v>6250.4994330893196</v>
      </c>
      <c r="J207" s="304">
        <f t="shared" ca="1" si="20"/>
        <v>2113.360327369533</v>
      </c>
      <c r="K207" s="304">
        <f t="shared" ref="K207:K270" ca="1" si="24">J207/(1+($G$9/12))^B207</f>
        <v>1115.5455358833385</v>
      </c>
      <c r="L207" s="278">
        <v>1</v>
      </c>
      <c r="M207" s="279">
        <f t="shared" si="23"/>
        <v>0.13735784313725496</v>
      </c>
      <c r="N207" s="304">
        <f>L207*('College Schedule'!$L$10)*(1+'Government Figures'!$B$8/12)^B207</f>
        <v>3750.2996598535924</v>
      </c>
      <c r="O207" s="304">
        <f t="shared" si="21"/>
        <v>428.41596756244871</v>
      </c>
      <c r="P207" s="304">
        <f t="shared" ref="P207:P270" si="25">O207/(1+($G$9/12))^B207</f>
        <v>226.14104841756324</v>
      </c>
      <c r="Q207" s="277"/>
      <c r="R207" s="281"/>
      <c r="S207" s="281"/>
      <c r="T207" s="281"/>
      <c r="U207" s="281"/>
      <c r="V207" s="281"/>
      <c r="W207" s="281"/>
      <c r="X207" s="281"/>
      <c r="Y207" s="281"/>
      <c r="Z207" s="281"/>
      <c r="AA207" s="281"/>
      <c r="AB207" s="281"/>
      <c r="AC207" s="281"/>
      <c r="AD207" s="281"/>
    </row>
    <row r="208" spans="1:30" s="288" customFormat="1" x14ac:dyDescent="0.25">
      <c r="A208" s="287"/>
      <c r="B208" s="274">
        <f t="shared" ref="B208:B271" si="26">B207+1</f>
        <v>193</v>
      </c>
      <c r="C208" s="304">
        <f t="shared" ref="C208:C271" ca="1" si="27">E207-E208</f>
        <v>-246.11272669484606</v>
      </c>
      <c r="D208" s="304">
        <f ca="1">IF(ROUND(E207,0)&lt;&gt;0, IF(ROUND(D207,0)&lt;&gt;0, 'Career Comparison'!$F$28-C208, 0), 0)</f>
        <v>493.9077743421135</v>
      </c>
      <c r="E208" s="304">
        <f ca="1">IF(G$7&gt;=B208, E207*(1+'Government Figures'!$D$8/12)-'Career Comparison'!$F$28, 0)</f>
        <v>133434.72603242859</v>
      </c>
      <c r="F208" s="312">
        <f>'College Schedule'!$L$8*(1+'Government Figures'!$B$8/12)^B208</f>
        <v>2811.428537595099</v>
      </c>
      <c r="G208" s="278">
        <v>1</v>
      </c>
      <c r="H208" s="279">
        <f t="shared" ca="1" si="22"/>
        <v>0.17320110972991043</v>
      </c>
      <c r="I208" s="304">
        <f>G208*('College Schedule'!$L$9)*(1+'Government Figures'!$B$8/12)^B208</f>
        <v>6260.9169321444688</v>
      </c>
      <c r="J208" s="304">
        <f t="shared" ref="J208:J271" ca="1" si="28">I208*(1-H208)-F208-C208-D208</f>
        <v>2117.2955863278939</v>
      </c>
      <c r="K208" s="304">
        <f t="shared" ca="1" si="24"/>
        <v>1113.90974527153</v>
      </c>
      <c r="L208" s="278">
        <v>1</v>
      </c>
      <c r="M208" s="279">
        <f t="shared" si="23"/>
        <v>0.13735784313725496</v>
      </c>
      <c r="N208" s="304">
        <f>L208*('College Schedule'!$L$10)*(1+'Government Figures'!$B$8/12)^B208</f>
        <v>3756.5501592866817</v>
      </c>
      <c r="O208" s="304">
        <f t="shared" ref="O208:O271" si="29">N208*(1-M208)-F208</f>
        <v>429.12999417505262</v>
      </c>
      <c r="P208" s="304">
        <f t="shared" si="25"/>
        <v>225.76539883547414</v>
      </c>
      <c r="Q208" s="277"/>
      <c r="R208" s="281"/>
      <c r="S208" s="281"/>
      <c r="T208" s="281"/>
      <c r="U208" s="281"/>
      <c r="V208" s="281"/>
      <c r="W208" s="281"/>
      <c r="X208" s="281"/>
      <c r="Y208" s="281"/>
      <c r="Z208" s="281"/>
      <c r="AA208" s="281"/>
      <c r="AB208" s="281"/>
      <c r="AC208" s="281"/>
      <c r="AD208" s="281"/>
    </row>
    <row r="209" spans="1:30" s="288" customFormat="1" x14ac:dyDescent="0.25">
      <c r="A209" s="287"/>
      <c r="B209" s="274">
        <f t="shared" si="26"/>
        <v>194</v>
      </c>
      <c r="C209" s="304">
        <f t="shared" ca="1" si="27"/>
        <v>-247.02539472299395</v>
      </c>
      <c r="D209" s="304">
        <f ca="1">IF(ROUND(E208,0)&lt;&gt;0, IF(ROUND(D208,0)&lt;&gt;0, 'Career Comparison'!$F$28-C209, 0), 0)</f>
        <v>494.82044237026139</v>
      </c>
      <c r="E209" s="304">
        <f ca="1">IF(G$7&gt;=B209, E208*(1+'Government Figures'!$D$8/12)-'Career Comparison'!$F$28, 0)</f>
        <v>133681.75142715158</v>
      </c>
      <c r="F209" s="312">
        <f>'College Schedule'!$L$8*(1+'Government Figures'!$B$8/12)^B209</f>
        <v>2816.1142518244242</v>
      </c>
      <c r="G209" s="278">
        <v>1</v>
      </c>
      <c r="H209" s="279">
        <f t="shared" ca="1" si="22"/>
        <v>0.17320110972991043</v>
      </c>
      <c r="I209" s="304">
        <f>G209*('College Schedule'!$L$9)*(1+'Government Figures'!$B$8/12)^B209</f>
        <v>6271.3517936980425</v>
      </c>
      <c r="J209" s="304">
        <f t="shared" ca="1" si="28"/>
        <v>2121.2374040511854</v>
      </c>
      <c r="K209" s="304">
        <f t="shared" ca="1" si="24"/>
        <v>1112.2759500758127</v>
      </c>
      <c r="L209" s="278">
        <v>1</v>
      </c>
      <c r="M209" s="279">
        <f t="shared" si="23"/>
        <v>0.13735784313725496</v>
      </c>
      <c r="N209" s="304">
        <f>L209*('College Schedule'!$L$10)*(1+'Government Figures'!$B$8/12)^B209</f>
        <v>3762.8110762188262</v>
      </c>
      <c r="O209" s="304">
        <f t="shared" si="29"/>
        <v>429.84521083201116</v>
      </c>
      <c r="P209" s="304">
        <f t="shared" si="25"/>
        <v>225.39037325601325</v>
      </c>
      <c r="Q209" s="277"/>
      <c r="R209" s="281"/>
      <c r="S209" s="281"/>
      <c r="T209" s="281"/>
      <c r="U209" s="281"/>
      <c r="V209" s="281"/>
      <c r="W209" s="281"/>
      <c r="X209" s="281"/>
      <c r="Y209" s="281"/>
      <c r="Z209" s="281"/>
      <c r="AA209" s="281"/>
      <c r="AB209" s="281"/>
      <c r="AC209" s="281"/>
      <c r="AD209" s="281"/>
    </row>
    <row r="210" spans="1:30" s="288" customFormat="1" x14ac:dyDescent="0.25">
      <c r="A210" s="287"/>
      <c r="B210" s="274">
        <f t="shared" si="26"/>
        <v>195</v>
      </c>
      <c r="C210" s="304">
        <f t="shared" ca="1" si="27"/>
        <v>-247.94144722842611</v>
      </c>
      <c r="D210" s="304">
        <f ca="1">IF(ROUND(E209,0)&lt;&gt;0, IF(ROUND(D209,0)&lt;&gt;0, 'Career Comparison'!$F$28-C210, 0), 0)</f>
        <v>495.73649487569355</v>
      </c>
      <c r="E210" s="304">
        <f ca="1">IF(G$7&gt;=B210, E209*(1+'Government Figures'!$D$8/12)-'Career Comparison'!$F$28, 0)</f>
        <v>133929.69287438001</v>
      </c>
      <c r="F210" s="312">
        <f>'College Schedule'!$L$8*(1+'Government Figures'!$B$8/12)^B210</f>
        <v>2820.8077755774652</v>
      </c>
      <c r="G210" s="278">
        <v>1</v>
      </c>
      <c r="H210" s="279">
        <f t="shared" ref="H210:H273" ca="1" si="30">H209</f>
        <v>0.17320110972991043</v>
      </c>
      <c r="I210" s="304">
        <f>G210*('College Schedule'!$L$9)*(1+'Government Figures'!$B$8/12)^B210</f>
        <v>6281.80404668754</v>
      </c>
      <c r="J210" s="304">
        <f t="shared" ca="1" si="28"/>
        <v>2125.1857914706834</v>
      </c>
      <c r="K210" s="304">
        <f t="shared" ca="1" si="24"/>
        <v>1110.6441493796956</v>
      </c>
      <c r="L210" s="278">
        <v>1</v>
      </c>
      <c r="M210" s="279">
        <f t="shared" ref="M210:M273" si="31">M209</f>
        <v>0.13735784313725496</v>
      </c>
      <c r="N210" s="304">
        <f>L210*('College Schedule'!$L$10)*(1+'Government Figures'!$B$8/12)^B210</f>
        <v>3769.0824280125248</v>
      </c>
      <c r="O210" s="304">
        <f t="shared" si="29"/>
        <v>430.5616195167313</v>
      </c>
      <c r="P210" s="304">
        <f t="shared" si="25"/>
        <v>225.01597064263117</v>
      </c>
      <c r="Q210" s="277"/>
      <c r="R210" s="281"/>
      <c r="S210" s="281"/>
      <c r="T210" s="281"/>
      <c r="U210" s="281"/>
      <c r="V210" s="281"/>
      <c r="W210" s="281"/>
      <c r="X210" s="281"/>
      <c r="Y210" s="281"/>
      <c r="Z210" s="281"/>
      <c r="AA210" s="281"/>
      <c r="AB210" s="281"/>
      <c r="AC210" s="281"/>
      <c r="AD210" s="281"/>
    </row>
    <row r="211" spans="1:30" s="288" customFormat="1" x14ac:dyDescent="0.25">
      <c r="A211" s="287"/>
      <c r="B211" s="274">
        <f t="shared" si="26"/>
        <v>196</v>
      </c>
      <c r="C211" s="304">
        <f t="shared" ca="1" si="27"/>
        <v>-248.8608967619075</v>
      </c>
      <c r="D211" s="304">
        <f ca="1">IF(ROUND(E210,0)&lt;&gt;0, IF(ROUND(D210,0)&lt;&gt;0, 'Career Comparison'!$F$28-C211, 0), 0)</f>
        <v>496.65594440917494</v>
      </c>
      <c r="E211" s="304">
        <f ca="1">IF(G$7&gt;=B211, E210*(1+'Government Figures'!$D$8/12)-'Career Comparison'!$F$28, 0)</f>
        <v>134178.55377114192</v>
      </c>
      <c r="F211" s="312">
        <f>'College Schedule'!$L$8*(1+'Government Figures'!$B$8/12)^B211</f>
        <v>2825.5091218700941</v>
      </c>
      <c r="G211" s="278">
        <v>1</v>
      </c>
      <c r="H211" s="279">
        <f t="shared" ca="1" si="30"/>
        <v>0.17320110972991043</v>
      </c>
      <c r="I211" s="304">
        <f>G211*('College Schedule'!$L$9)*(1+'Government Figures'!$B$8/12)^B211</f>
        <v>6292.2737200986858</v>
      </c>
      <c r="J211" s="304">
        <f t="shared" ca="1" si="28"/>
        <v>2129.1407595358796</v>
      </c>
      <c r="K211" s="304">
        <f t="shared" ca="1" si="24"/>
        <v>1109.0143422602416</v>
      </c>
      <c r="L211" s="278">
        <v>1</v>
      </c>
      <c r="M211" s="279">
        <f t="shared" si="31"/>
        <v>0.13735784313725496</v>
      </c>
      <c r="N211" s="304">
        <f>L211*('College Schedule'!$L$10)*(1+'Government Figures'!$B$8/12)^B211</f>
        <v>3775.3642320592121</v>
      </c>
      <c r="O211" s="304">
        <f t="shared" si="29"/>
        <v>431.27922221592553</v>
      </c>
      <c r="P211" s="304">
        <f t="shared" si="25"/>
        <v>224.64218996050042</v>
      </c>
      <c r="Q211" s="277"/>
      <c r="R211" s="281"/>
      <c r="S211" s="281"/>
      <c r="T211" s="281"/>
      <c r="U211" s="281"/>
      <c r="V211" s="281"/>
      <c r="W211" s="281"/>
      <c r="X211" s="281"/>
      <c r="Y211" s="281"/>
      <c r="Z211" s="281"/>
      <c r="AA211" s="281"/>
      <c r="AB211" s="281"/>
      <c r="AC211" s="281"/>
      <c r="AD211" s="281"/>
    </row>
    <row r="212" spans="1:30" s="288" customFormat="1" x14ac:dyDescent="0.25">
      <c r="A212" s="287"/>
      <c r="B212" s="274">
        <f t="shared" si="26"/>
        <v>197</v>
      </c>
      <c r="C212" s="304">
        <f t="shared" ca="1" si="27"/>
        <v>-249.78375592074008</v>
      </c>
      <c r="D212" s="304">
        <f ca="1">IF(ROUND(E211,0)&lt;&gt;0, IF(ROUND(D211,0)&lt;&gt;0, 'Career Comparison'!$F$28-C212, 0), 0)</f>
        <v>497.57880356800752</v>
      </c>
      <c r="E212" s="304">
        <f ca="1">IF(G$7&gt;=B212, E211*(1+'Government Figures'!$D$8/12)-'Career Comparison'!$F$28, 0)</f>
        <v>134428.33752706266</v>
      </c>
      <c r="F212" s="312">
        <f>'College Schedule'!$L$8*(1+'Government Figures'!$B$8/12)^B212</f>
        <v>2830.2183037398772</v>
      </c>
      <c r="G212" s="278">
        <v>1</v>
      </c>
      <c r="H212" s="279">
        <f t="shared" ca="1" si="30"/>
        <v>0.17320110972991043</v>
      </c>
      <c r="I212" s="304">
        <f>G212*('College Schedule'!$L$9)*(1+'Government Figures'!$B$8/12)^B212</f>
        <v>6302.7608429655165</v>
      </c>
      <c r="J212" s="304">
        <f t="shared" ca="1" si="28"/>
        <v>2133.102319214519</v>
      </c>
      <c r="K212" s="304">
        <f t="shared" ca="1" si="24"/>
        <v>1107.3865277881068</v>
      </c>
      <c r="L212" s="278">
        <v>1</v>
      </c>
      <c r="M212" s="279">
        <f t="shared" si="31"/>
        <v>0.13735784313725496</v>
      </c>
      <c r="N212" s="304">
        <f>L212*('College Schedule'!$L$10)*(1+'Government Figures'!$B$8/12)^B212</f>
        <v>3781.6565057793105</v>
      </c>
      <c r="O212" s="304">
        <f t="shared" si="29"/>
        <v>431.99802091961919</v>
      </c>
      <c r="P212" s="304">
        <f t="shared" si="25"/>
        <v>224.26903017651313</v>
      </c>
      <c r="Q212" s="277"/>
      <c r="R212" s="281"/>
      <c r="S212" s="281"/>
      <c r="T212" s="281"/>
      <c r="U212" s="281"/>
      <c r="V212" s="281"/>
      <c r="W212" s="281"/>
      <c r="X212" s="281"/>
      <c r="Y212" s="281"/>
      <c r="Z212" s="281"/>
      <c r="AA212" s="281"/>
      <c r="AB212" s="281"/>
      <c r="AC212" s="281"/>
      <c r="AD212" s="281"/>
    </row>
    <row r="213" spans="1:30" s="288" customFormat="1" x14ac:dyDescent="0.25">
      <c r="A213" s="287"/>
      <c r="B213" s="274">
        <f t="shared" si="26"/>
        <v>198</v>
      </c>
      <c r="C213" s="304">
        <f t="shared" ca="1" si="27"/>
        <v>-250.71003734893748</v>
      </c>
      <c r="D213" s="304">
        <f ca="1">IF(ROUND(E212,0)&lt;&gt;0, IF(ROUND(D212,0)&lt;&gt;0, 'Career Comparison'!$F$28-C213, 0), 0)</f>
        <v>498.50508499620491</v>
      </c>
      <c r="E213" s="304">
        <f ca="1">IF(G$7&gt;=B213, E212*(1+'Government Figures'!$D$8/12)-'Career Comparison'!$F$28, 0)</f>
        <v>134679.04756441159</v>
      </c>
      <c r="F213" s="312">
        <f>'College Schedule'!$L$8*(1+'Government Figures'!$B$8/12)^B213</f>
        <v>2834.9353342461104</v>
      </c>
      <c r="G213" s="278">
        <v>1</v>
      </c>
      <c r="H213" s="279">
        <f t="shared" ca="1" si="30"/>
        <v>0.17320110972991043</v>
      </c>
      <c r="I213" s="304">
        <f>G213*('College Schedule'!$L$9)*(1+'Government Figures'!$B$8/12)^B213</f>
        <v>6313.2654443704596</v>
      </c>
      <c r="J213" s="304">
        <f t="shared" ca="1" si="28"/>
        <v>2137.0704814926221</v>
      </c>
      <c r="K213" s="304">
        <f t="shared" ca="1" si="24"/>
        <v>1105.7607050275756</v>
      </c>
      <c r="L213" s="278">
        <v>1</v>
      </c>
      <c r="M213" s="279">
        <f t="shared" si="31"/>
        <v>0.13735784313725496</v>
      </c>
      <c r="N213" s="304">
        <f>L213*('College Schedule'!$L$10)*(1+'Government Figures'!$B$8/12)^B213</f>
        <v>3787.9592666222761</v>
      </c>
      <c r="O213" s="304">
        <f t="shared" si="29"/>
        <v>432.71801762115183</v>
      </c>
      <c r="P213" s="304">
        <f t="shared" si="25"/>
        <v>223.89649025927628</v>
      </c>
      <c r="Q213" s="277"/>
      <c r="R213" s="281"/>
      <c r="S213" s="281"/>
      <c r="T213" s="281"/>
      <c r="U213" s="281"/>
      <c r="V213" s="281"/>
      <c r="W213" s="281"/>
      <c r="X213" s="281"/>
      <c r="Y213" s="281"/>
      <c r="Z213" s="281"/>
      <c r="AA213" s="281"/>
      <c r="AB213" s="281"/>
      <c r="AC213" s="281"/>
      <c r="AD213" s="281"/>
    </row>
    <row r="214" spans="1:30" s="288" customFormat="1" x14ac:dyDescent="0.25">
      <c r="A214" s="287"/>
      <c r="B214" s="274">
        <f t="shared" si="26"/>
        <v>199</v>
      </c>
      <c r="C214" s="304">
        <f t="shared" ca="1" si="27"/>
        <v>-251.6397537374578</v>
      </c>
      <c r="D214" s="304">
        <f ca="1">IF(ROUND(E213,0)&lt;&gt;0, IF(ROUND(D213,0)&lt;&gt;0, 'Career Comparison'!$F$28-C214, 0), 0)</f>
        <v>499.43480138472523</v>
      </c>
      <c r="E214" s="304">
        <f ca="1">IF(G$7&gt;=B214, E213*(1+'Government Figures'!$D$8/12)-'Career Comparison'!$F$28, 0)</f>
        <v>134930.68731814905</v>
      </c>
      <c r="F214" s="312">
        <f>'College Schedule'!$L$8*(1+'Government Figures'!$B$8/12)^B214</f>
        <v>2839.6602264698545</v>
      </c>
      <c r="G214" s="278">
        <v>1</v>
      </c>
      <c r="H214" s="279">
        <f t="shared" ca="1" si="30"/>
        <v>0.17320110972991043</v>
      </c>
      <c r="I214" s="304">
        <f>G214*('College Schedule'!$L$9)*(1+'Government Figures'!$B$8/12)^B214</f>
        <v>6323.7875534444111</v>
      </c>
      <c r="J214" s="304">
        <f t="shared" ca="1" si="28"/>
        <v>2141.0452573745215</v>
      </c>
      <c r="K214" s="304">
        <f t="shared" ca="1" si="24"/>
        <v>1104.1368730365996</v>
      </c>
      <c r="L214" s="278">
        <v>1</v>
      </c>
      <c r="M214" s="279">
        <f t="shared" si="31"/>
        <v>0.13735784313725496</v>
      </c>
      <c r="N214" s="304">
        <f>L214*('College Schedule'!$L$10)*(1+'Government Figures'!$B$8/12)^B214</f>
        <v>3794.2725320666473</v>
      </c>
      <c r="O214" s="304">
        <f t="shared" si="29"/>
        <v>433.43921431718718</v>
      </c>
      <c r="P214" s="304">
        <f t="shared" si="25"/>
        <v>223.52456917911138</v>
      </c>
      <c r="Q214" s="277"/>
      <c r="R214" s="281"/>
      <c r="S214" s="281"/>
      <c r="T214" s="281"/>
      <c r="U214" s="281"/>
      <c r="V214" s="281"/>
      <c r="W214" s="281"/>
      <c r="X214" s="281"/>
      <c r="Y214" s="281"/>
      <c r="Z214" s="281"/>
      <c r="AA214" s="281"/>
      <c r="AB214" s="281"/>
      <c r="AC214" s="281"/>
      <c r="AD214" s="281"/>
    </row>
    <row r="215" spans="1:30" s="288" customFormat="1" x14ac:dyDescent="0.25">
      <c r="A215" s="287"/>
      <c r="B215" s="274">
        <f t="shared" si="26"/>
        <v>200</v>
      </c>
      <c r="C215" s="304">
        <f t="shared" ca="1" si="27"/>
        <v>-252.57291782423272</v>
      </c>
      <c r="D215" s="304">
        <f ca="1">IF(ROUND(E214,0)&lt;&gt;0, IF(ROUND(D214,0)&lt;&gt;0, 'Career Comparison'!$F$28-C215, 0), 0)</f>
        <v>500.36796547150016</v>
      </c>
      <c r="E215" s="304">
        <f ca="1">IF(G$7&gt;=B215, E214*(1+'Government Figures'!$D$8/12)-'Career Comparison'!$F$28, 0)</f>
        <v>135183.26023597328</v>
      </c>
      <c r="F215" s="312">
        <f>'College Schedule'!$L$8*(1+'Government Figures'!$B$8/12)^B215</f>
        <v>2844.3929935139713</v>
      </c>
      <c r="G215" s="278">
        <v>1</v>
      </c>
      <c r="H215" s="279">
        <f t="shared" ca="1" si="30"/>
        <v>0.17320110972991043</v>
      </c>
      <c r="I215" s="304">
        <f>G215*('College Schedule'!$L$9)*(1+'Government Figures'!$B$8/12)^B215</f>
        <v>6334.3271993668195</v>
      </c>
      <c r="J215" s="304">
        <f t="shared" ca="1" si="28"/>
        <v>2145.0266578828919</v>
      </c>
      <c r="K215" s="304">
        <f t="shared" ca="1" si="24"/>
        <v>1102.515030866834</v>
      </c>
      <c r="L215" s="278">
        <v>1</v>
      </c>
      <c r="M215" s="279">
        <f t="shared" si="31"/>
        <v>0.13735784313725496</v>
      </c>
      <c r="N215" s="304">
        <f>L215*('College Schedule'!$L$10)*(1+'Government Figures'!$B$8/12)^B215</f>
        <v>3800.5963196200923</v>
      </c>
      <c r="O215" s="304">
        <f t="shared" si="29"/>
        <v>434.16161300771591</v>
      </c>
      <c r="P215" s="304">
        <f t="shared" si="25"/>
        <v>223.1532659080498</v>
      </c>
      <c r="Q215" s="277"/>
      <c r="R215" s="281"/>
      <c r="S215" s="281"/>
      <c r="T215" s="281"/>
      <c r="U215" s="281"/>
      <c r="V215" s="281"/>
      <c r="W215" s="281"/>
      <c r="X215" s="281"/>
      <c r="Y215" s="281"/>
      <c r="Z215" s="281"/>
      <c r="AA215" s="281"/>
      <c r="AB215" s="281"/>
      <c r="AC215" s="281"/>
      <c r="AD215" s="281"/>
    </row>
    <row r="216" spans="1:30" s="288" customFormat="1" x14ac:dyDescent="0.25">
      <c r="A216" s="287"/>
      <c r="B216" s="274">
        <f t="shared" si="26"/>
        <v>201</v>
      </c>
      <c r="C216" s="304">
        <f t="shared" ca="1" si="27"/>
        <v>-253.50954239448765</v>
      </c>
      <c r="D216" s="304">
        <f ca="1">IF(ROUND(E215,0)&lt;&gt;0, IF(ROUND(D215,0)&lt;&gt;0, 'Career Comparison'!$F$28-C216, 0), 0)</f>
        <v>501.30459004175509</v>
      </c>
      <c r="E216" s="304">
        <f ca="1">IF(G$7&gt;=B216, E215*(1+'Government Figures'!$D$8/12)-'Career Comparison'!$F$28, 0)</f>
        <v>135436.76977836777</v>
      </c>
      <c r="F216" s="312">
        <f>'College Schedule'!$L$8*(1+'Government Figures'!$B$8/12)^B216</f>
        <v>2849.1336485031611</v>
      </c>
      <c r="G216" s="278">
        <v>1</v>
      </c>
      <c r="H216" s="279">
        <f t="shared" ca="1" si="30"/>
        <v>0.17320110972991043</v>
      </c>
      <c r="I216" s="304">
        <f>G216*('College Schedule'!$L$9)*(1+'Government Figures'!$B$8/12)^B216</f>
        <v>6344.8844113657633</v>
      </c>
      <c r="J216" s="304">
        <f t="shared" ca="1" si="28"/>
        <v>2149.0146940587747</v>
      </c>
      <c r="K216" s="304">
        <f t="shared" ca="1" si="24"/>
        <v>1100.895177563671</v>
      </c>
      <c r="L216" s="278">
        <v>1</v>
      </c>
      <c r="M216" s="279">
        <f t="shared" si="31"/>
        <v>0.13735784313725496</v>
      </c>
      <c r="N216" s="304">
        <f>L216*('College Schedule'!$L$10)*(1+'Government Figures'!$B$8/12)^B216</f>
        <v>3806.9306468194591</v>
      </c>
      <c r="O216" s="304">
        <f t="shared" si="29"/>
        <v>434.88521569606201</v>
      </c>
      <c r="P216" s="304">
        <f t="shared" si="25"/>
        <v>222.78257941983043</v>
      </c>
      <c r="Q216" s="277"/>
      <c r="R216" s="281"/>
      <c r="S216" s="281"/>
      <c r="T216" s="281"/>
      <c r="U216" s="281"/>
      <c r="V216" s="281"/>
      <c r="W216" s="281"/>
      <c r="X216" s="281"/>
      <c r="Y216" s="281"/>
      <c r="Z216" s="281"/>
      <c r="AA216" s="281"/>
      <c r="AB216" s="281"/>
      <c r="AC216" s="281"/>
      <c r="AD216" s="281"/>
    </row>
    <row r="217" spans="1:30" s="288" customFormat="1" x14ac:dyDescent="0.25">
      <c r="A217" s="287"/>
      <c r="B217" s="274">
        <f t="shared" si="26"/>
        <v>202</v>
      </c>
      <c r="C217" s="304">
        <f t="shared" ca="1" si="27"/>
        <v>-254.44964028085815</v>
      </c>
      <c r="D217" s="304">
        <f ca="1">IF(ROUND(E216,0)&lt;&gt;0, IF(ROUND(D216,0)&lt;&gt;0, 'Career Comparison'!$F$28-C217, 0), 0)</f>
        <v>502.24468792812559</v>
      </c>
      <c r="E217" s="304">
        <f ca="1">IF(G$7&gt;=B217, E216*(1+'Government Figures'!$D$8/12)-'Career Comparison'!$F$28, 0)</f>
        <v>135691.21941864863</v>
      </c>
      <c r="F217" s="312">
        <f>'College Schedule'!$L$8*(1+'Government Figures'!$B$8/12)^B217</f>
        <v>2853.8822045840002</v>
      </c>
      <c r="G217" s="278">
        <v>1</v>
      </c>
      <c r="H217" s="279">
        <f t="shared" ca="1" si="30"/>
        <v>0.17320110972991043</v>
      </c>
      <c r="I217" s="304">
        <f>G217*('College Schedule'!$L$9)*(1+'Government Figures'!$B$8/12)^B217</f>
        <v>6355.4592187180415</v>
      </c>
      <c r="J217" s="304">
        <f t="shared" ca="1" si="28"/>
        <v>2153.0093769616196</v>
      </c>
      <c r="K217" s="304">
        <f t="shared" ca="1" si="24"/>
        <v>1099.2773121662817</v>
      </c>
      <c r="L217" s="278">
        <v>1</v>
      </c>
      <c r="M217" s="279">
        <f t="shared" si="31"/>
        <v>0.13735784313725496</v>
      </c>
      <c r="N217" s="304">
        <f>L217*('College Schedule'!$L$10)*(1+'Government Figures'!$B$8/12)^B217</f>
        <v>3813.2755312308254</v>
      </c>
      <c r="O217" s="304">
        <f t="shared" si="29"/>
        <v>435.61002438888909</v>
      </c>
      <c r="P217" s="304">
        <f t="shared" si="25"/>
        <v>222.41250868989724</v>
      </c>
      <c r="Q217" s="277"/>
      <c r="R217" s="281"/>
      <c r="S217" s="281"/>
      <c r="T217" s="281"/>
      <c r="U217" s="281"/>
      <c r="V217" s="281"/>
      <c r="W217" s="281"/>
      <c r="X217" s="281"/>
      <c r="Y217" s="281"/>
      <c r="Z217" s="281"/>
      <c r="AA217" s="281"/>
      <c r="AB217" s="281"/>
      <c r="AC217" s="281"/>
      <c r="AD217" s="281"/>
    </row>
    <row r="218" spans="1:30" s="288" customFormat="1" x14ac:dyDescent="0.25">
      <c r="A218" s="287"/>
      <c r="B218" s="274">
        <f t="shared" si="26"/>
        <v>203</v>
      </c>
      <c r="C218" s="304">
        <f t="shared" ca="1" si="27"/>
        <v>-255.39322436356451</v>
      </c>
      <c r="D218" s="304">
        <f ca="1">IF(ROUND(E217,0)&lt;&gt;0, IF(ROUND(D217,0)&lt;&gt;0, 'Career Comparison'!$F$28-C218, 0), 0)</f>
        <v>503.18827201083195</v>
      </c>
      <c r="E218" s="304">
        <f ca="1">IF(G$7&gt;=B218, E217*(1+'Government Figures'!$D$8/12)-'Career Comparison'!$F$28, 0)</f>
        <v>135946.61264301219</v>
      </c>
      <c r="F218" s="312">
        <f>'College Schedule'!$L$8*(1+'Government Figures'!$B$8/12)^B218</f>
        <v>2858.6386749249741</v>
      </c>
      <c r="G218" s="278">
        <v>1</v>
      </c>
      <c r="H218" s="279">
        <f t="shared" ca="1" si="30"/>
        <v>0.17320110972991043</v>
      </c>
      <c r="I218" s="304">
        <f>G218*('College Schedule'!$L$9)*(1+'Government Figures'!$B$8/12)^B218</f>
        <v>6366.0516507492384</v>
      </c>
      <c r="J218" s="304">
        <f t="shared" ca="1" si="28"/>
        <v>2157.0107176693004</v>
      </c>
      <c r="K218" s="304">
        <f t="shared" ca="1" si="24"/>
        <v>1097.6614337076467</v>
      </c>
      <c r="L218" s="278">
        <v>1</v>
      </c>
      <c r="M218" s="279">
        <f t="shared" si="31"/>
        <v>0.13735784313725496</v>
      </c>
      <c r="N218" s="304">
        <f>L218*('College Schedule'!$L$10)*(1+'Government Figures'!$B$8/12)^B218</f>
        <v>3819.6309904495438</v>
      </c>
      <c r="O218" s="304">
        <f t="shared" si="29"/>
        <v>436.33604109620364</v>
      </c>
      <c r="P218" s="304">
        <f t="shared" si="25"/>
        <v>222.04305269539557</v>
      </c>
      <c r="Q218" s="277"/>
      <c r="R218" s="281"/>
      <c r="S218" s="281"/>
      <c r="T218" s="281"/>
      <c r="U218" s="281"/>
      <c r="V218" s="281"/>
      <c r="W218" s="281"/>
      <c r="X218" s="281"/>
      <c r="Y218" s="281"/>
      <c r="Z218" s="281"/>
      <c r="AA218" s="281"/>
      <c r="AB218" s="281"/>
      <c r="AC218" s="281"/>
      <c r="AD218" s="281"/>
    </row>
    <row r="219" spans="1:30" s="288" customFormat="1" x14ac:dyDescent="0.25">
      <c r="A219" s="287"/>
      <c r="B219" s="274">
        <f t="shared" si="26"/>
        <v>204</v>
      </c>
      <c r="C219" s="304">
        <f t="shared" ca="1" si="27"/>
        <v>-256.34030757058645</v>
      </c>
      <c r="D219" s="304">
        <f ca="1">IF(ROUND(E218,0)&lt;&gt;0, IF(ROUND(D218,0)&lt;&gt;0, 'Career Comparison'!$F$28-C219, 0), 0)</f>
        <v>504.13535521785388</v>
      </c>
      <c r="E219" s="304">
        <f ca="1">IF(G$7&gt;=B219, E218*(1+'Government Figures'!$D$8/12)-'Career Comparison'!$F$28, 0)</f>
        <v>136202.95295058278</v>
      </c>
      <c r="F219" s="312">
        <f>'College Schedule'!$L$8*(1+'Government Figures'!$B$8/12)^B219</f>
        <v>2863.4030727165155</v>
      </c>
      <c r="G219" s="278">
        <v>1</v>
      </c>
      <c r="H219" s="279">
        <f t="shared" ca="1" si="30"/>
        <v>0.17320110972991043</v>
      </c>
      <c r="I219" s="304">
        <f>G219*('College Schedule'!$L$9)*(1+'Government Figures'!$B$8/12)^B219</f>
        <v>6376.6617368338202</v>
      </c>
      <c r="J219" s="304">
        <f t="shared" ca="1" si="28"/>
        <v>2161.0187272781618</v>
      </c>
      <c r="K219" s="304">
        <f t="shared" ca="1" si="24"/>
        <v>1096.0475412145975</v>
      </c>
      <c r="L219" s="278">
        <v>1</v>
      </c>
      <c r="M219" s="279">
        <f t="shared" si="31"/>
        <v>0.13735784313725496</v>
      </c>
      <c r="N219" s="304">
        <f>L219*('College Schedule'!$L$10)*(1+'Government Figures'!$B$8/12)^B219</f>
        <v>3825.9970421002927</v>
      </c>
      <c r="O219" s="304">
        <f t="shared" si="29"/>
        <v>437.06326783136365</v>
      </c>
      <c r="P219" s="304">
        <f t="shared" si="25"/>
        <v>221.67421041517051</v>
      </c>
      <c r="Q219" s="277"/>
      <c r="R219" s="281"/>
      <c r="S219" s="281"/>
      <c r="T219" s="281"/>
      <c r="U219" s="281"/>
      <c r="V219" s="281"/>
      <c r="W219" s="281"/>
      <c r="X219" s="281"/>
      <c r="Y219" s="281"/>
      <c r="Z219" s="281"/>
      <c r="AA219" s="281"/>
      <c r="AB219" s="281"/>
      <c r="AC219" s="281"/>
      <c r="AD219" s="281"/>
    </row>
    <row r="220" spans="1:30" s="288" customFormat="1" x14ac:dyDescent="0.25">
      <c r="A220" s="287"/>
      <c r="B220" s="274">
        <f t="shared" si="26"/>
        <v>205</v>
      </c>
      <c r="C220" s="304">
        <f t="shared" ca="1" si="27"/>
        <v>-257.29090287783765</v>
      </c>
      <c r="D220" s="304">
        <f ca="1">IF(ROUND(E219,0)&lt;&gt;0, IF(ROUND(D219,0)&lt;&gt;0, 'Career Comparison'!$F$28-C220, 0), 0)</f>
        <v>505.08595052510509</v>
      </c>
      <c r="E220" s="304">
        <f ca="1">IF(G$7&gt;=B220, E219*(1+'Government Figures'!$D$8/12)-'Career Comparison'!$F$28, 0)</f>
        <v>136460.24385346062</v>
      </c>
      <c r="F220" s="312">
        <f>'College Schedule'!$L$8*(1+'Government Figures'!$B$8/12)^B220</f>
        <v>2868.1754111710434</v>
      </c>
      <c r="G220" s="278">
        <v>1</v>
      </c>
      <c r="H220" s="279">
        <f t="shared" ca="1" si="30"/>
        <v>0.17320110972991043</v>
      </c>
      <c r="I220" s="304">
        <f>G220*('College Schedule'!$L$9)*(1+'Government Figures'!$B$8/12)^B220</f>
        <v>6387.289506395211</v>
      </c>
      <c r="J220" s="304">
        <f t="shared" ca="1" si="28"/>
        <v>2165.033416903038</v>
      </c>
      <c r="K220" s="304">
        <f t="shared" ca="1" si="24"/>
        <v>1094.4356337078482</v>
      </c>
      <c r="L220" s="278">
        <v>1</v>
      </c>
      <c r="M220" s="279">
        <f t="shared" si="31"/>
        <v>0.13735784313725496</v>
      </c>
      <c r="N220" s="304">
        <f>L220*('College Schedule'!$L$10)*(1+'Government Figures'!$B$8/12)^B220</f>
        <v>3832.3737038371273</v>
      </c>
      <c r="O220" s="304">
        <f t="shared" si="29"/>
        <v>437.7917066110831</v>
      </c>
      <c r="P220" s="304">
        <f t="shared" si="25"/>
        <v>221.30598082976351</v>
      </c>
      <c r="Q220" s="277"/>
      <c r="R220" s="281"/>
      <c r="S220" s="281"/>
      <c r="T220" s="281"/>
      <c r="U220" s="281"/>
      <c r="V220" s="281"/>
      <c r="W220" s="281"/>
      <c r="X220" s="281"/>
      <c r="Y220" s="281"/>
      <c r="Z220" s="281"/>
      <c r="AA220" s="281"/>
      <c r="AB220" s="281"/>
      <c r="AC220" s="281"/>
      <c r="AD220" s="281"/>
    </row>
    <row r="221" spans="1:30" s="288" customFormat="1" x14ac:dyDescent="0.25">
      <c r="A221" s="287"/>
      <c r="B221" s="274">
        <f t="shared" si="26"/>
        <v>206</v>
      </c>
      <c r="C221" s="304">
        <f t="shared" ca="1" si="27"/>
        <v>-258.24502330934047</v>
      </c>
      <c r="D221" s="304">
        <f ca="1">IF(ROUND(E220,0)&lt;&gt;0, IF(ROUND(D220,0)&lt;&gt;0, 'Career Comparison'!$F$28-C221, 0), 0)</f>
        <v>506.04007095660791</v>
      </c>
      <c r="E221" s="304">
        <f ca="1">IF(G$7&gt;=B221, E220*(1+'Government Figures'!$D$8/12)-'Career Comparison'!$F$28, 0)</f>
        <v>136718.48887676996</v>
      </c>
      <c r="F221" s="312">
        <f>'College Schedule'!$L$8*(1+'Government Figures'!$B$8/12)^B221</f>
        <v>2872.9557035229955</v>
      </c>
      <c r="G221" s="278">
        <v>1</v>
      </c>
      <c r="H221" s="279">
        <f t="shared" ca="1" si="30"/>
        <v>0.17320110972991043</v>
      </c>
      <c r="I221" s="304">
        <f>G221*('College Schedule'!$L$9)*(1+'Government Figures'!$B$8/12)^B221</f>
        <v>6397.9349889058703</v>
      </c>
      <c r="J221" s="304">
        <f t="shared" ca="1" si="28"/>
        <v>2169.0547976772882</v>
      </c>
      <c r="K221" s="304">
        <f t="shared" ca="1" si="24"/>
        <v>1092.8257102020334</v>
      </c>
      <c r="L221" s="278">
        <v>1</v>
      </c>
      <c r="M221" s="279">
        <f t="shared" si="31"/>
        <v>0.13735784313725496</v>
      </c>
      <c r="N221" s="304">
        <f>L221*('College Schedule'!$L$10)*(1+'Government Figures'!$B$8/12)^B221</f>
        <v>3838.7609933435228</v>
      </c>
      <c r="O221" s="304">
        <f t="shared" si="29"/>
        <v>438.52135945543478</v>
      </c>
      <c r="P221" s="304">
        <f t="shared" si="25"/>
        <v>220.93836292140833</v>
      </c>
      <c r="Q221" s="277"/>
      <c r="R221" s="281"/>
      <c r="S221" s="281"/>
      <c r="T221" s="281"/>
      <c r="U221" s="281"/>
      <c r="V221" s="281"/>
      <c r="W221" s="281"/>
      <c r="X221" s="281"/>
      <c r="Y221" s="281"/>
      <c r="Z221" s="281"/>
      <c r="AA221" s="281"/>
      <c r="AB221" s="281"/>
      <c r="AC221" s="281"/>
      <c r="AD221" s="281"/>
    </row>
    <row r="222" spans="1:30" s="288" customFormat="1" x14ac:dyDescent="0.25">
      <c r="A222" s="287"/>
      <c r="B222" s="274">
        <f t="shared" si="26"/>
        <v>207</v>
      </c>
      <c r="C222" s="304">
        <f t="shared" ca="1" si="27"/>
        <v>-259.20268193742959</v>
      </c>
      <c r="D222" s="304">
        <f ca="1">IF(ROUND(E221,0)&lt;&gt;0, IF(ROUND(D221,0)&lt;&gt;0, 'Career Comparison'!$F$28-C222, 0), 0)</f>
        <v>506.99772958469703</v>
      </c>
      <c r="E222" s="304">
        <f ca="1">IF(G$7&gt;=B222, E221*(1+'Government Figures'!$D$8/12)-'Career Comparison'!$F$28, 0)</f>
        <v>136977.69155870739</v>
      </c>
      <c r="F222" s="312">
        <f>'College Schedule'!$L$8*(1+'Government Figures'!$B$8/12)^B222</f>
        <v>2877.7439630288668</v>
      </c>
      <c r="G222" s="278">
        <v>1</v>
      </c>
      <c r="H222" s="279">
        <f t="shared" ca="1" si="30"/>
        <v>0.17320110972991043</v>
      </c>
      <c r="I222" s="304">
        <f>G222*('College Schedule'!$L$9)*(1+'Government Figures'!$B$8/12)^B222</f>
        <v>6408.5982138873787</v>
      </c>
      <c r="J222" s="304">
        <f t="shared" ca="1" si="28"/>
        <v>2173.0828807528287</v>
      </c>
      <c r="K222" s="304">
        <f t="shared" ca="1" si="24"/>
        <v>1091.2177697057434</v>
      </c>
      <c r="L222" s="278">
        <v>1</v>
      </c>
      <c r="M222" s="279">
        <f t="shared" si="31"/>
        <v>0.13735784313725496</v>
      </c>
      <c r="N222" s="304">
        <f>L222*('College Schedule'!$L$10)*(1+'Government Figures'!$B$8/12)^B222</f>
        <v>3845.1589283324283</v>
      </c>
      <c r="O222" s="304">
        <f t="shared" si="29"/>
        <v>439.25222838786021</v>
      </c>
      <c r="P222" s="304">
        <f t="shared" si="25"/>
        <v>220.57135567403037</v>
      </c>
      <c r="Q222" s="277"/>
      <c r="R222" s="281"/>
      <c r="S222" s="281"/>
      <c r="T222" s="281"/>
      <c r="U222" s="281"/>
      <c r="V222" s="281"/>
      <c r="W222" s="281"/>
      <c r="X222" s="281"/>
      <c r="Y222" s="281"/>
      <c r="Z222" s="281"/>
      <c r="AA222" s="281"/>
      <c r="AB222" s="281"/>
      <c r="AC222" s="281"/>
      <c r="AD222" s="281"/>
    </row>
    <row r="223" spans="1:30" s="288" customFormat="1" x14ac:dyDescent="0.25">
      <c r="A223" s="287"/>
      <c r="B223" s="274">
        <f t="shared" si="26"/>
        <v>208</v>
      </c>
      <c r="C223" s="304">
        <f t="shared" ca="1" si="27"/>
        <v>-260.1638918829558</v>
      </c>
      <c r="D223" s="304">
        <f ca="1">IF(ROUND(E222,0)&lt;&gt;0, IF(ROUND(D222,0)&lt;&gt;0, 'Career Comparison'!$F$28-C223, 0), 0)</f>
        <v>507.95893953022323</v>
      </c>
      <c r="E223" s="304">
        <f ca="1">IF(G$7&gt;=B223, E222*(1+'Government Figures'!$D$8/12)-'Career Comparison'!$F$28, 0)</f>
        <v>137237.85545059034</v>
      </c>
      <c r="F223" s="312">
        <f>'College Schedule'!$L$8*(1+'Government Figures'!$B$8/12)^B223</f>
        <v>2882.5402029672491</v>
      </c>
      <c r="G223" s="278">
        <v>1</v>
      </c>
      <c r="H223" s="279">
        <f t="shared" ca="1" si="30"/>
        <v>0.17320110972991043</v>
      </c>
      <c r="I223" s="304">
        <f>G223*('College Schedule'!$L$9)*(1+'Government Figures'!$B$8/12)^B223</f>
        <v>6419.2792109105267</v>
      </c>
      <c r="J223" s="304">
        <f t="shared" ca="1" si="28"/>
        <v>2177.1176773001635</v>
      </c>
      <c r="K223" s="304">
        <f t="shared" ca="1" si="24"/>
        <v>1089.6118112215627</v>
      </c>
      <c r="L223" s="278">
        <v>1</v>
      </c>
      <c r="M223" s="279">
        <f t="shared" si="31"/>
        <v>0.13735784313725496</v>
      </c>
      <c r="N223" s="304">
        <f>L223*('College Schedule'!$L$10)*(1+'Government Figures'!$B$8/12)^B223</f>
        <v>3851.5675265463165</v>
      </c>
      <c r="O223" s="304">
        <f t="shared" si="29"/>
        <v>439.98431543517336</v>
      </c>
      <c r="P223" s="304">
        <f t="shared" si="25"/>
        <v>220.20495807324295</v>
      </c>
      <c r="Q223" s="277"/>
      <c r="R223" s="281"/>
      <c r="S223" s="281"/>
      <c r="T223" s="281"/>
      <c r="U223" s="281"/>
      <c r="V223" s="281"/>
      <c r="W223" s="281"/>
      <c r="X223" s="281"/>
      <c r="Y223" s="281"/>
      <c r="Z223" s="281"/>
      <c r="AA223" s="281"/>
      <c r="AB223" s="281"/>
      <c r="AC223" s="281"/>
      <c r="AD223" s="281"/>
    </row>
    <row r="224" spans="1:30" s="288" customFormat="1" x14ac:dyDescent="0.25">
      <c r="A224" s="287"/>
      <c r="B224" s="274">
        <f t="shared" si="26"/>
        <v>209</v>
      </c>
      <c r="C224" s="304">
        <f t="shared" ca="1" si="27"/>
        <v>-261.12866631534416</v>
      </c>
      <c r="D224" s="304">
        <f ca="1">IF(ROUND(E223,0)&lt;&gt;0, IF(ROUND(D223,0)&lt;&gt;0, 'Career Comparison'!$F$28-C224, 0), 0)</f>
        <v>508.9237139626116</v>
      </c>
      <c r="E224" s="304">
        <f ca="1">IF(G$7&gt;=B224, E223*(1+'Government Figures'!$D$8/12)-'Career Comparison'!$F$28, 0)</f>
        <v>137498.98411690569</v>
      </c>
      <c r="F224" s="312">
        <f>'College Schedule'!$L$8*(1+'Government Figures'!$B$8/12)^B224</f>
        <v>2887.3444366388612</v>
      </c>
      <c r="G224" s="278">
        <v>1</v>
      </c>
      <c r="H224" s="279">
        <f t="shared" ca="1" si="30"/>
        <v>0.17320110972991043</v>
      </c>
      <c r="I224" s="304">
        <f>G224*('College Schedule'!$L$9)*(1+'Government Figures'!$B$8/12)^B224</f>
        <v>6429.9780095953774</v>
      </c>
      <c r="J224" s="304">
        <f t="shared" ca="1" si="28"/>
        <v>2181.1591985084092</v>
      </c>
      <c r="K224" s="304">
        <f t="shared" ca="1" si="24"/>
        <v>1088.007833746098</v>
      </c>
      <c r="L224" s="278">
        <v>1</v>
      </c>
      <c r="M224" s="279">
        <f t="shared" si="31"/>
        <v>0.13735784313725496</v>
      </c>
      <c r="N224" s="304">
        <f>L224*('College Schedule'!$L$10)*(1+'Government Figures'!$B$8/12)^B224</f>
        <v>3857.9868057572271</v>
      </c>
      <c r="O224" s="304">
        <f t="shared" si="29"/>
        <v>440.71762262756556</v>
      </c>
      <c r="P224" s="304">
        <f t="shared" si="25"/>
        <v>219.83916910634397</v>
      </c>
      <c r="Q224" s="277"/>
      <c r="R224" s="281"/>
      <c r="S224" s="281"/>
      <c r="T224" s="281"/>
      <c r="U224" s="281"/>
      <c r="V224" s="281"/>
      <c r="W224" s="281"/>
      <c r="X224" s="281"/>
      <c r="Y224" s="281"/>
      <c r="Z224" s="281"/>
      <c r="AA224" s="281"/>
      <c r="AB224" s="281"/>
      <c r="AC224" s="281"/>
      <c r="AD224" s="281"/>
    </row>
    <row r="225" spans="1:30" s="288" customFormat="1" x14ac:dyDescent="0.25">
      <c r="A225" s="287"/>
      <c r="B225" s="274">
        <f t="shared" si="26"/>
        <v>210</v>
      </c>
      <c r="C225" s="304">
        <f t="shared" ca="1" si="27"/>
        <v>-262.0970184529433</v>
      </c>
      <c r="D225" s="304">
        <f ca="1">IF(ROUND(E224,0)&lt;&gt;0, IF(ROUND(D224,0)&lt;&gt;0, 'Career Comparison'!$F$28-C225, 0), 0)</f>
        <v>509.89206610021074</v>
      </c>
      <c r="E225" s="304">
        <f ca="1">IF(G$7&gt;=B225, E224*(1+'Government Figures'!$D$8/12)-'Career Comparison'!$F$28, 0)</f>
        <v>137761.08113535863</v>
      </c>
      <c r="F225" s="312">
        <f>'College Schedule'!$L$8*(1+'Government Figures'!$B$8/12)^B225</f>
        <v>2892.1566773665922</v>
      </c>
      <c r="G225" s="278">
        <v>1</v>
      </c>
      <c r="H225" s="279">
        <f t="shared" ca="1" si="30"/>
        <v>0.17320110972991043</v>
      </c>
      <c r="I225" s="304">
        <f>G225*('College Schedule'!$L$9)*(1+'Government Figures'!$B$8/12)^B225</f>
        <v>6440.6946396113699</v>
      </c>
      <c r="J225" s="304">
        <f t="shared" ca="1" si="28"/>
        <v>2185.2074555853351</v>
      </c>
      <c r="K225" s="304">
        <f t="shared" ca="1" si="24"/>
        <v>1086.4058362700212</v>
      </c>
      <c r="L225" s="278">
        <v>1</v>
      </c>
      <c r="M225" s="279">
        <f t="shared" si="31"/>
        <v>0.13735784313725496</v>
      </c>
      <c r="N225" s="304">
        <f>L225*('College Schedule'!$L$10)*(1+'Government Figures'!$B$8/12)^B225</f>
        <v>3864.4167837668224</v>
      </c>
      <c r="O225" s="304">
        <f t="shared" si="29"/>
        <v>441.4521519986115</v>
      </c>
      <c r="P225" s="304">
        <f t="shared" si="25"/>
        <v>219.4739877623135</v>
      </c>
      <c r="Q225" s="277"/>
      <c r="R225" s="281"/>
      <c r="S225" s="281"/>
      <c r="T225" s="281"/>
      <c r="U225" s="281"/>
      <c r="V225" s="281"/>
      <c r="W225" s="281"/>
      <c r="X225" s="281"/>
      <c r="Y225" s="281"/>
      <c r="Z225" s="281"/>
      <c r="AA225" s="281"/>
      <c r="AB225" s="281"/>
      <c r="AC225" s="281"/>
      <c r="AD225" s="281"/>
    </row>
    <row r="226" spans="1:30" s="288" customFormat="1" x14ac:dyDescent="0.25">
      <c r="A226" s="287"/>
      <c r="B226" s="274">
        <f t="shared" si="26"/>
        <v>211</v>
      </c>
      <c r="C226" s="304">
        <f t="shared" ca="1" si="27"/>
        <v>-263.06896156302537</v>
      </c>
      <c r="D226" s="304">
        <f ca="1">IF(ROUND(E225,0)&lt;&gt;0, IF(ROUND(D225,0)&lt;&gt;0, 'Career Comparison'!$F$28-C226, 0), 0)</f>
        <v>510.86400921029281</v>
      </c>
      <c r="E226" s="304">
        <f ca="1">IF(G$7&gt;=B226, E225*(1+'Government Figures'!$D$8/12)-'Career Comparison'!$F$28, 0)</f>
        <v>138024.15009692166</v>
      </c>
      <c r="F226" s="312">
        <f>'College Schedule'!$L$8*(1+'Government Figures'!$B$8/12)^B226</f>
        <v>2896.9769384955371</v>
      </c>
      <c r="G226" s="278">
        <v>1</v>
      </c>
      <c r="H226" s="279">
        <f t="shared" ca="1" si="30"/>
        <v>0.17320110972991043</v>
      </c>
      <c r="I226" s="304">
        <f>G226*('College Schedule'!$L$9)*(1+'Government Figures'!$B$8/12)^B226</f>
        <v>6451.4291306773894</v>
      </c>
      <c r="J226" s="304">
        <f t="shared" ca="1" si="28"/>
        <v>2189.2624597573899</v>
      </c>
      <c r="K226" s="304">
        <f t="shared" ca="1" si="24"/>
        <v>1084.8058177781013</v>
      </c>
      <c r="L226" s="278">
        <v>1</v>
      </c>
      <c r="M226" s="279">
        <f t="shared" si="31"/>
        <v>0.13735784313725496</v>
      </c>
      <c r="N226" s="304">
        <f>L226*('College Schedule'!$L$10)*(1+'Government Figures'!$B$8/12)^B226</f>
        <v>3870.8574784064344</v>
      </c>
      <c r="O226" s="304">
        <f t="shared" si="29"/>
        <v>442.18790558527598</v>
      </c>
      <c r="P226" s="304">
        <f t="shared" si="25"/>
        <v>219.10941303181133</v>
      </c>
      <c r="Q226" s="277"/>
      <c r="R226" s="281"/>
      <c r="S226" s="281"/>
      <c r="T226" s="281"/>
      <c r="U226" s="281"/>
      <c r="V226" s="281"/>
      <c r="W226" s="281"/>
      <c r="X226" s="281"/>
      <c r="Y226" s="281"/>
      <c r="Z226" s="281"/>
      <c r="AA226" s="281"/>
      <c r="AB226" s="281"/>
      <c r="AC226" s="281"/>
      <c r="AD226" s="281"/>
    </row>
    <row r="227" spans="1:30" s="288" customFormat="1" x14ac:dyDescent="0.25">
      <c r="A227" s="287"/>
      <c r="B227" s="274">
        <f t="shared" si="26"/>
        <v>212</v>
      </c>
      <c r="C227" s="304">
        <f t="shared" ca="1" si="27"/>
        <v>-264.0445089621644</v>
      </c>
      <c r="D227" s="304">
        <f ca="1">IF(ROUND(E226,0)&lt;&gt;0, IF(ROUND(D226,0)&lt;&gt;0, 'Career Comparison'!$F$28-C227, 0), 0)</f>
        <v>511.83955660943184</v>
      </c>
      <c r="E227" s="304">
        <f ca="1">IF(G$7&gt;=B227, E226*(1+'Government Figures'!$D$8/12)-'Career Comparison'!$F$28, 0)</f>
        <v>138288.19460588382</v>
      </c>
      <c r="F227" s="312">
        <f>'College Schedule'!$L$8*(1+'Government Figures'!$B$8/12)^B227</f>
        <v>2901.8052333930304</v>
      </c>
      <c r="G227" s="278">
        <v>1</v>
      </c>
      <c r="H227" s="279">
        <f t="shared" ca="1" si="30"/>
        <v>0.17320110972991043</v>
      </c>
      <c r="I227" s="304">
        <f>G227*('College Schedule'!$L$9)*(1+'Government Figures'!$B$8/12)^B227</f>
        <v>6462.1815125618532</v>
      </c>
      <c r="J227" s="304">
        <f t="shared" ca="1" si="28"/>
        <v>2193.3242222697309</v>
      </c>
      <c r="K227" s="304">
        <f t="shared" ca="1" si="24"/>
        <v>1083.2077772492387</v>
      </c>
      <c r="L227" s="278">
        <v>1</v>
      </c>
      <c r="M227" s="279">
        <f t="shared" si="31"/>
        <v>0.13735784313725496</v>
      </c>
      <c r="N227" s="304">
        <f>L227*('College Schedule'!$L$10)*(1+'Government Figures'!$B$8/12)^B227</f>
        <v>3877.3089075371126</v>
      </c>
      <c r="O227" s="304">
        <f t="shared" si="29"/>
        <v>442.92488542791807</v>
      </c>
      <c r="P227" s="304">
        <f t="shared" si="25"/>
        <v>218.74544390717372</v>
      </c>
      <c r="Q227" s="277"/>
      <c r="R227" s="281"/>
      <c r="S227" s="281"/>
      <c r="T227" s="281"/>
      <c r="U227" s="281"/>
      <c r="V227" s="281"/>
      <c r="W227" s="281"/>
      <c r="X227" s="281"/>
      <c r="Y227" s="281"/>
      <c r="Z227" s="281"/>
      <c r="AA227" s="281"/>
      <c r="AB227" s="281"/>
      <c r="AC227" s="281"/>
      <c r="AD227" s="281"/>
    </row>
    <row r="228" spans="1:30" s="288" customFormat="1" x14ac:dyDescent="0.25">
      <c r="A228" s="287"/>
      <c r="B228" s="274">
        <f t="shared" si="26"/>
        <v>213</v>
      </c>
      <c r="C228" s="304">
        <f t="shared" ca="1" si="27"/>
        <v>-265.02367401623633</v>
      </c>
      <c r="D228" s="304">
        <f ca="1">IF(ROUND(E227,0)&lt;&gt;0, IF(ROUND(D227,0)&lt;&gt;0, 'Career Comparison'!$F$28-C228, 0), 0)</f>
        <v>512.81872166350377</v>
      </c>
      <c r="E228" s="304">
        <f ca="1">IF(G$7&gt;=B228, E227*(1+'Government Figures'!$D$8/12)-'Career Comparison'!$F$28, 0)</f>
        <v>138553.21827990006</v>
      </c>
      <c r="F228" s="312">
        <f>'College Schedule'!$L$8*(1+'Government Figures'!$B$8/12)^B228</f>
        <v>2906.6415754486857</v>
      </c>
      <c r="G228" s="278">
        <v>1</v>
      </c>
      <c r="H228" s="279">
        <f t="shared" ca="1" si="30"/>
        <v>0.17320110972991043</v>
      </c>
      <c r="I228" s="304">
        <f>G228*('College Schedule'!$L$9)*(1+'Government Figures'!$B$8/12)^B228</f>
        <v>6472.9518150827907</v>
      </c>
      <c r="J228" s="304">
        <f t="shared" ca="1" si="28"/>
        <v>2197.3927543862601</v>
      </c>
      <c r="K228" s="304">
        <f t="shared" ca="1" si="24"/>
        <v>1081.6117136565022</v>
      </c>
      <c r="L228" s="278">
        <v>1</v>
      </c>
      <c r="M228" s="279">
        <f t="shared" si="31"/>
        <v>0.13735784313725496</v>
      </c>
      <c r="N228" s="304">
        <f>L228*('College Schedule'!$L$10)*(1+'Government Figures'!$B$8/12)^B228</f>
        <v>3883.7710890496751</v>
      </c>
      <c r="O228" s="304">
        <f t="shared" si="29"/>
        <v>443.66309357029832</v>
      </c>
      <c r="P228" s="304">
        <f t="shared" si="25"/>
        <v>218.38207938241121</v>
      </c>
      <c r="Q228" s="277"/>
      <c r="R228" s="281"/>
      <c r="S228" s="281"/>
      <c r="T228" s="281"/>
      <c r="U228" s="281"/>
      <c r="V228" s="281"/>
      <c r="W228" s="281"/>
      <c r="X228" s="281"/>
      <c r="Y228" s="281"/>
      <c r="Z228" s="281"/>
      <c r="AA228" s="281"/>
      <c r="AB228" s="281"/>
      <c r="AC228" s="281"/>
      <c r="AD228" s="281"/>
    </row>
    <row r="229" spans="1:30" s="288" customFormat="1" x14ac:dyDescent="0.25">
      <c r="A229" s="287"/>
      <c r="B229" s="274">
        <f t="shared" si="26"/>
        <v>214</v>
      </c>
      <c r="C229" s="304">
        <f t="shared" ca="1" si="27"/>
        <v>-266.00647014071001</v>
      </c>
      <c r="D229" s="304">
        <f ca="1">IF(ROUND(E228,0)&lt;&gt;0, IF(ROUND(D228,0)&lt;&gt;0, 'Career Comparison'!$F$28-C229, 0), 0)</f>
        <v>513.80151778797745</v>
      </c>
      <c r="E229" s="304">
        <f ca="1">IF(G$7&gt;=B229, E228*(1+'Government Figures'!$D$8/12)-'Career Comparison'!$F$28, 0)</f>
        <v>138819.22475004077</v>
      </c>
      <c r="F229" s="312">
        <f>'College Schedule'!$L$8*(1+'Government Figures'!$B$8/12)^B229</f>
        <v>2911.4859780744332</v>
      </c>
      <c r="G229" s="278">
        <v>1</v>
      </c>
      <c r="H229" s="279">
        <f t="shared" ca="1" si="30"/>
        <v>0.17320110972991043</v>
      </c>
      <c r="I229" s="304">
        <f>G229*('College Schedule'!$L$9)*(1+'Government Figures'!$B$8/12)^B229</f>
        <v>6483.7400681079271</v>
      </c>
      <c r="J229" s="304">
        <f t="shared" ca="1" si="28"/>
        <v>2201.4680673896482</v>
      </c>
      <c r="K229" s="304">
        <f t="shared" ca="1" si="24"/>
        <v>1080.0176259671596</v>
      </c>
      <c r="L229" s="278">
        <v>1</v>
      </c>
      <c r="M229" s="279">
        <f t="shared" si="31"/>
        <v>0.13735784313725496</v>
      </c>
      <c r="N229" s="304">
        <f>L229*('College Schedule'!$L$10)*(1+'Government Figures'!$B$8/12)^B229</f>
        <v>3890.2440408647572</v>
      </c>
      <c r="O229" s="304">
        <f t="shared" si="29"/>
        <v>444.40253205958152</v>
      </c>
      <c r="P229" s="304">
        <f t="shared" si="25"/>
        <v>218.01931845320419</v>
      </c>
      <c r="Q229" s="277"/>
      <c r="R229" s="281"/>
      <c r="S229" s="281"/>
      <c r="T229" s="281"/>
      <c r="U229" s="281"/>
      <c r="V229" s="281"/>
      <c r="W229" s="281"/>
      <c r="X229" s="281"/>
      <c r="Y229" s="281"/>
      <c r="Z229" s="281"/>
      <c r="AA229" s="281"/>
      <c r="AB229" s="281"/>
      <c r="AC229" s="281"/>
      <c r="AD229" s="281"/>
    </row>
    <row r="230" spans="1:30" s="288" customFormat="1" x14ac:dyDescent="0.25">
      <c r="A230" s="287"/>
      <c r="B230" s="274">
        <f t="shared" si="26"/>
        <v>215</v>
      </c>
      <c r="C230" s="304">
        <f t="shared" ca="1" si="27"/>
        <v>-266.99291080082185</v>
      </c>
      <c r="D230" s="304">
        <f ca="1">IF(ROUND(E229,0)&lt;&gt;0, IF(ROUND(D229,0)&lt;&gt;0, 'Career Comparison'!$F$28-C230, 0), 0)</f>
        <v>514.78795844808928</v>
      </c>
      <c r="E230" s="304">
        <f ca="1">IF(G$7&gt;=B230, E229*(1+'Government Figures'!$D$8/12)-'Career Comparison'!$F$28, 0)</f>
        <v>139086.21766084159</v>
      </c>
      <c r="F230" s="312">
        <f>'College Schedule'!$L$8*(1+'Government Figures'!$B$8/12)^B230</f>
        <v>2916.338454704558</v>
      </c>
      <c r="G230" s="278">
        <v>1</v>
      </c>
      <c r="H230" s="279">
        <f t="shared" ca="1" si="30"/>
        <v>0.17320110972991043</v>
      </c>
      <c r="I230" s="304">
        <f>G230*('College Schedule'!$L$9)*(1+'Government Figures'!$B$8/12)^B230</f>
        <v>6494.5463015547757</v>
      </c>
      <c r="J230" s="304">
        <f t="shared" ca="1" si="28"/>
        <v>2205.5501725813779</v>
      </c>
      <c r="K230" s="304">
        <f t="shared" ca="1" si="24"/>
        <v>1078.4255131427192</v>
      </c>
      <c r="L230" s="278">
        <v>1</v>
      </c>
      <c r="M230" s="279">
        <f t="shared" si="31"/>
        <v>0.13735784313725496</v>
      </c>
      <c r="N230" s="304">
        <f>L230*('College Schedule'!$L$10)*(1+'Government Figures'!$B$8/12)^B230</f>
        <v>3896.7277809328662</v>
      </c>
      <c r="O230" s="304">
        <f t="shared" si="29"/>
        <v>445.14320294634808</v>
      </c>
      <c r="P230" s="304">
        <f t="shared" si="25"/>
        <v>217.65716011690344</v>
      </c>
      <c r="Q230" s="277"/>
      <c r="R230" s="281"/>
      <c r="S230" s="281"/>
      <c r="T230" s="281"/>
      <c r="U230" s="281"/>
      <c r="V230" s="281"/>
      <c r="W230" s="281"/>
      <c r="X230" s="281"/>
      <c r="Y230" s="281"/>
      <c r="Z230" s="281"/>
      <c r="AA230" s="281"/>
      <c r="AB230" s="281"/>
      <c r="AC230" s="281"/>
      <c r="AD230" s="281"/>
    </row>
    <row r="231" spans="1:30" s="288" customFormat="1" x14ac:dyDescent="0.25">
      <c r="A231" s="287"/>
      <c r="B231" s="274">
        <f t="shared" si="26"/>
        <v>216</v>
      </c>
      <c r="C231" s="304">
        <f t="shared" ca="1" si="27"/>
        <v>-267.98300951169222</v>
      </c>
      <c r="D231" s="304">
        <f ca="1">IF(ROUND(E230,0)&lt;&gt;0, IF(ROUND(D230,0)&lt;&gt;0, 'Career Comparison'!$F$28-C231, 0), 0)</f>
        <v>515.77805715895965</v>
      </c>
      <c r="E231" s="304">
        <f ca="1">IF(G$7&gt;=B231, E230*(1+'Government Figures'!$D$8/12)-'Career Comparison'!$F$28, 0)</f>
        <v>139354.20067035328</v>
      </c>
      <c r="F231" s="312">
        <f>'College Schedule'!$L$8*(1+'Government Figures'!$B$8/12)^B231</f>
        <v>2921.1990187957326</v>
      </c>
      <c r="G231" s="278">
        <v>1</v>
      </c>
      <c r="H231" s="279">
        <f t="shared" ca="1" si="30"/>
        <v>0.17320110972991043</v>
      </c>
      <c r="I231" s="304">
        <f>G231*('College Schedule'!$L$9)*(1+'Government Figures'!$B$8/12)^B231</f>
        <v>6505.3705453907014</v>
      </c>
      <c r="J231" s="304">
        <f t="shared" ca="1" si="28"/>
        <v>2209.6390812817594</v>
      </c>
      <c r="K231" s="304">
        <f t="shared" ca="1" si="24"/>
        <v>1076.8353741389565</v>
      </c>
      <c r="L231" s="278">
        <v>1</v>
      </c>
      <c r="M231" s="279">
        <f t="shared" si="31"/>
        <v>0.13735784313725496</v>
      </c>
      <c r="N231" s="304">
        <f>L231*('College Schedule'!$L$10)*(1+'Government Figures'!$B$8/12)^B231</f>
        <v>3903.2223272344213</v>
      </c>
      <c r="O231" s="304">
        <f t="shared" si="29"/>
        <v>445.88510828459175</v>
      </c>
      <c r="P231" s="304">
        <f t="shared" si="25"/>
        <v>217.29560337252309</v>
      </c>
      <c r="Q231" s="277"/>
      <c r="R231" s="281"/>
      <c r="S231" s="281"/>
      <c r="T231" s="281"/>
      <c r="U231" s="281"/>
      <c r="V231" s="281"/>
      <c r="W231" s="281"/>
      <c r="X231" s="281"/>
      <c r="Y231" s="281"/>
      <c r="Z231" s="281"/>
      <c r="AA231" s="281"/>
      <c r="AB231" s="281"/>
      <c r="AC231" s="281"/>
      <c r="AD231" s="281"/>
    </row>
    <row r="232" spans="1:30" s="288" customFormat="1" x14ac:dyDescent="0.25">
      <c r="A232" s="287"/>
      <c r="B232" s="274">
        <f t="shared" si="26"/>
        <v>217</v>
      </c>
      <c r="C232" s="304">
        <f t="shared" ca="1" si="27"/>
        <v>-268.9767798386456</v>
      </c>
      <c r="D232" s="304">
        <f ca="1">IF(ROUND(E231,0)&lt;&gt;0, IF(ROUND(D231,0)&lt;&gt;0, 'Career Comparison'!$F$28-C232, 0), 0)</f>
        <v>516.77182748591304</v>
      </c>
      <c r="E232" s="304">
        <f ca="1">IF(G$7&gt;=B232, E231*(1+'Government Figures'!$D$8/12)-'Career Comparison'!$F$28, 0)</f>
        <v>139623.17745019193</v>
      </c>
      <c r="F232" s="312">
        <f>'College Schedule'!$L$8*(1+'Government Figures'!$B$8/12)^B232</f>
        <v>2926.0676838270583</v>
      </c>
      <c r="G232" s="278">
        <v>1</v>
      </c>
      <c r="H232" s="279">
        <f t="shared" ca="1" si="30"/>
        <v>0.17320110972991043</v>
      </c>
      <c r="I232" s="304">
        <f>G232*('College Schedule'!$L$9)*(1+'Government Figures'!$B$8/12)^B232</f>
        <v>6516.2128296330184</v>
      </c>
      <c r="J232" s="304">
        <f t="shared" ca="1" si="28"/>
        <v>2213.7348048299741</v>
      </c>
      <c r="K232" s="304">
        <f t="shared" ca="1" si="24"/>
        <v>1075.2472079059535</v>
      </c>
      <c r="L232" s="278">
        <v>1</v>
      </c>
      <c r="M232" s="279">
        <f t="shared" si="31"/>
        <v>0.13735784313725496</v>
      </c>
      <c r="N232" s="304">
        <f>L232*('College Schedule'!$L$10)*(1+'Government Figures'!$B$8/12)^B232</f>
        <v>3909.7276977798115</v>
      </c>
      <c r="O232" s="304">
        <f t="shared" si="29"/>
        <v>446.62825013173278</v>
      </c>
      <c r="P232" s="304">
        <f t="shared" si="25"/>
        <v>216.93464722074148</v>
      </c>
      <c r="Q232" s="277"/>
      <c r="R232" s="281"/>
      <c r="S232" s="281"/>
      <c r="T232" s="281"/>
      <c r="U232" s="281"/>
      <c r="V232" s="281"/>
      <c r="W232" s="281"/>
      <c r="X232" s="281"/>
      <c r="Y232" s="281"/>
      <c r="Z232" s="281"/>
      <c r="AA232" s="281"/>
      <c r="AB232" s="281"/>
      <c r="AC232" s="281"/>
      <c r="AD232" s="281"/>
    </row>
    <row r="233" spans="1:30" s="288" customFormat="1" x14ac:dyDescent="0.25">
      <c r="A233" s="287"/>
      <c r="B233" s="274">
        <f t="shared" si="26"/>
        <v>218</v>
      </c>
      <c r="C233" s="304">
        <f t="shared" ca="1" si="27"/>
        <v>-269.97423539721058</v>
      </c>
      <c r="D233" s="304">
        <f ca="1">IF(ROUND(E232,0)&lt;&gt;0, IF(ROUND(D232,0)&lt;&gt;0, 'Career Comparison'!$F$28-C233, 0), 0)</f>
        <v>517.76928304447802</v>
      </c>
      <c r="E233" s="304">
        <f ca="1">IF(G$7&gt;=B233, E232*(1+'Government Figures'!$D$8/12)-'Career Comparison'!$F$28, 0)</f>
        <v>139893.15168558914</v>
      </c>
      <c r="F233" s="312">
        <f>'College Schedule'!$L$8*(1+'Government Figures'!$B$8/12)^B233</f>
        <v>2930.9444633001035</v>
      </c>
      <c r="G233" s="278">
        <v>1</v>
      </c>
      <c r="H233" s="279">
        <f t="shared" ca="1" si="30"/>
        <v>0.17320110972991043</v>
      </c>
      <c r="I233" s="304">
        <f>G233*('College Schedule'!$L$9)*(1+'Government Figures'!$B$8/12)^B233</f>
        <v>6527.073184349073</v>
      </c>
      <c r="J233" s="304">
        <f t="shared" ca="1" si="28"/>
        <v>2217.8373545841023</v>
      </c>
      <c r="K233" s="304">
        <f t="shared" ca="1" si="24"/>
        <v>1073.6610133881316</v>
      </c>
      <c r="L233" s="278">
        <v>1</v>
      </c>
      <c r="M233" s="279">
        <f t="shared" si="31"/>
        <v>0.13735784313725496</v>
      </c>
      <c r="N233" s="304">
        <f>L233*('College Schedule'!$L$10)*(1+'Government Figures'!$B$8/12)^B233</f>
        <v>3916.2439106094444</v>
      </c>
      <c r="O233" s="304">
        <f t="shared" si="29"/>
        <v>447.37263054861887</v>
      </c>
      <c r="P233" s="304">
        <f t="shared" si="25"/>
        <v>216.57429066389636</v>
      </c>
      <c r="Q233" s="277"/>
      <c r="R233" s="281"/>
      <c r="S233" s="281"/>
      <c r="T233" s="281"/>
      <c r="U233" s="281"/>
      <c r="V233" s="281"/>
      <c r="W233" s="281"/>
      <c r="X233" s="281"/>
      <c r="Y233" s="281"/>
      <c r="Z233" s="281"/>
      <c r="AA233" s="281"/>
      <c r="AB233" s="281"/>
      <c r="AC233" s="281"/>
      <c r="AD233" s="281"/>
    </row>
    <row r="234" spans="1:30" s="288" customFormat="1" x14ac:dyDescent="0.25">
      <c r="A234" s="287"/>
      <c r="B234" s="274">
        <f t="shared" si="26"/>
        <v>219</v>
      </c>
      <c r="C234" s="304">
        <f t="shared" ca="1" si="27"/>
        <v>-270.9753898534691</v>
      </c>
      <c r="D234" s="304">
        <f ca="1">IF(ROUND(E233,0)&lt;&gt;0, IF(ROUND(D233,0)&lt;&gt;0, 'Career Comparison'!$F$28-C234, 0), 0)</f>
        <v>518.77043750073653</v>
      </c>
      <c r="E234" s="304">
        <f ca="1">IF(G$7&gt;=B234, E233*(1+'Government Figures'!$D$8/12)-'Career Comparison'!$F$28, 0)</f>
        <v>140164.12707544261</v>
      </c>
      <c r="F234" s="312">
        <f>'College Schedule'!$L$8*(1+'Government Figures'!$B$8/12)^B234</f>
        <v>2935.8293707389371</v>
      </c>
      <c r="G234" s="278">
        <v>1</v>
      </c>
      <c r="H234" s="279">
        <f t="shared" ca="1" si="30"/>
        <v>0.17320110972991043</v>
      </c>
      <c r="I234" s="304">
        <f>G234*('College Schedule'!$L$9)*(1+'Government Figures'!$B$8/12)^B234</f>
        <v>6537.9516396563222</v>
      </c>
      <c r="J234" s="304">
        <f t="shared" ca="1" si="28"/>
        <v>2221.9467419211551</v>
      </c>
      <c r="K234" s="304">
        <f t="shared" ca="1" si="24"/>
        <v>1072.0767895242855</v>
      </c>
      <c r="L234" s="278">
        <v>1</v>
      </c>
      <c r="M234" s="279">
        <f t="shared" si="31"/>
        <v>0.13735784313725496</v>
      </c>
      <c r="N234" s="304">
        <f>L234*('College Schedule'!$L$10)*(1+'Government Figures'!$B$8/12)^B234</f>
        <v>3922.7709837937941</v>
      </c>
      <c r="O234" s="304">
        <f t="shared" si="29"/>
        <v>448.11825159953378</v>
      </c>
      <c r="P234" s="304">
        <f t="shared" si="25"/>
        <v>216.21453270598309</v>
      </c>
      <c r="Q234" s="277"/>
      <c r="R234" s="281"/>
      <c r="S234" s="281"/>
      <c r="T234" s="281"/>
      <c r="U234" s="281"/>
      <c r="V234" s="281"/>
      <c r="W234" s="281"/>
      <c r="X234" s="281"/>
      <c r="Y234" s="281"/>
      <c r="Z234" s="281"/>
      <c r="AA234" s="281"/>
      <c r="AB234" s="281"/>
      <c r="AC234" s="281"/>
      <c r="AD234" s="281"/>
    </row>
    <row r="235" spans="1:30" s="288" customFormat="1" x14ac:dyDescent="0.25">
      <c r="A235" s="287"/>
      <c r="B235" s="274">
        <f t="shared" si="26"/>
        <v>220</v>
      </c>
      <c r="C235" s="304">
        <f t="shared" ca="1" si="27"/>
        <v>-271.98025692417286</v>
      </c>
      <c r="D235" s="304">
        <f ca="1">IF(ROUND(E234,0)&lt;&gt;0, IF(ROUND(D234,0)&lt;&gt;0, 'Career Comparison'!$F$28-C235, 0), 0)</f>
        <v>519.7753045714403</v>
      </c>
      <c r="E235" s="304">
        <f ca="1">IF(G$7&gt;=B235, E234*(1+'Government Figures'!$D$8/12)-'Career Comparison'!$F$28, 0)</f>
        <v>140436.10733236678</v>
      </c>
      <c r="F235" s="312">
        <f>'College Schedule'!$L$8*(1+'Government Figures'!$B$8/12)^B235</f>
        <v>2940.7224196901693</v>
      </c>
      <c r="G235" s="278">
        <v>1</v>
      </c>
      <c r="H235" s="279">
        <f t="shared" ca="1" si="30"/>
        <v>0.17320110972991043</v>
      </c>
      <c r="I235" s="304">
        <f>G235*('College Schedule'!$L$9)*(1+'Government Figures'!$B$8/12)^B235</f>
        <v>6548.8482257224177</v>
      </c>
      <c r="J235" s="304">
        <f t="shared" ca="1" si="28"/>
        <v>2226.0629782371034</v>
      </c>
      <c r="K235" s="304">
        <f t="shared" ca="1" si="24"/>
        <v>1070.494535247617</v>
      </c>
      <c r="L235" s="278">
        <v>1</v>
      </c>
      <c r="M235" s="279">
        <f t="shared" si="31"/>
        <v>0.13735784313725496</v>
      </c>
      <c r="N235" s="304">
        <f>L235*('College Schedule'!$L$10)*(1+'Government Figures'!$B$8/12)^B235</f>
        <v>3929.3089354334511</v>
      </c>
      <c r="O235" s="304">
        <f t="shared" si="29"/>
        <v>448.86511535219961</v>
      </c>
      <c r="P235" s="304">
        <f t="shared" si="25"/>
        <v>215.85537235265087</v>
      </c>
      <c r="Q235" s="277"/>
      <c r="R235" s="281"/>
      <c r="S235" s="281"/>
      <c r="T235" s="281"/>
      <c r="U235" s="281"/>
      <c r="V235" s="281"/>
      <c r="W235" s="281"/>
      <c r="X235" s="281"/>
      <c r="Y235" s="281"/>
      <c r="Z235" s="281"/>
      <c r="AA235" s="281"/>
      <c r="AB235" s="281"/>
      <c r="AC235" s="281"/>
      <c r="AD235" s="281"/>
    </row>
    <row r="236" spans="1:30" s="288" customFormat="1" x14ac:dyDescent="0.25">
      <c r="A236" s="287"/>
      <c r="B236" s="274">
        <f t="shared" si="26"/>
        <v>221</v>
      </c>
      <c r="C236" s="304">
        <f t="shared" ca="1" si="27"/>
        <v>-272.98885037694708</v>
      </c>
      <c r="D236" s="304">
        <f ca="1">IF(ROUND(E235,0)&lt;&gt;0, IF(ROUND(D235,0)&lt;&gt;0, 'Career Comparison'!$F$28-C236, 0), 0)</f>
        <v>520.78389802421452</v>
      </c>
      <c r="E236" s="304">
        <f ca="1">IF(G$7&gt;=B236, E235*(1+'Government Figures'!$D$8/12)-'Career Comparison'!$F$28, 0)</f>
        <v>140709.09618274373</v>
      </c>
      <c r="F236" s="312">
        <f>'College Schedule'!$L$8*(1+'Government Figures'!$B$8/12)^B236</f>
        <v>2945.6236237229868</v>
      </c>
      <c r="G236" s="278">
        <v>1</v>
      </c>
      <c r="H236" s="279">
        <f t="shared" ca="1" si="30"/>
        <v>0.17320110972991043</v>
      </c>
      <c r="I236" s="304">
        <f>G236*('College Schedule'!$L$9)*(1+'Government Figures'!$B$8/12)^B236</f>
        <v>6559.7629727652893</v>
      </c>
      <c r="J236" s="304">
        <f t="shared" ca="1" si="28"/>
        <v>2230.186074946911</v>
      </c>
      <c r="K236" s="304">
        <f t="shared" ca="1" si="24"/>
        <v>1068.9142494857676</v>
      </c>
      <c r="L236" s="278">
        <v>1</v>
      </c>
      <c r="M236" s="279">
        <f t="shared" si="31"/>
        <v>0.13735784313725496</v>
      </c>
      <c r="N236" s="304">
        <f>L236*('College Schedule'!$L$10)*(1+'Government Figures'!$B$8/12)^B236</f>
        <v>3935.8577836591744</v>
      </c>
      <c r="O236" s="304">
        <f t="shared" si="29"/>
        <v>449.61322387778682</v>
      </c>
      <c r="P236" s="304">
        <f t="shared" si="25"/>
        <v>215.49680861120137</v>
      </c>
      <c r="Q236" s="277"/>
      <c r="R236" s="281"/>
      <c r="S236" s="281"/>
      <c r="T236" s="281"/>
      <c r="U236" s="281"/>
      <c r="V236" s="281"/>
      <c r="W236" s="281"/>
      <c r="X236" s="281"/>
      <c r="Y236" s="281"/>
      <c r="Z236" s="281"/>
      <c r="AA236" s="281"/>
      <c r="AB236" s="281"/>
      <c r="AC236" s="281"/>
      <c r="AD236" s="281"/>
    </row>
    <row r="237" spans="1:30" s="288" customFormat="1" x14ac:dyDescent="0.25">
      <c r="A237" s="287"/>
      <c r="B237" s="274">
        <f t="shared" si="26"/>
        <v>222</v>
      </c>
      <c r="C237" s="304">
        <f t="shared" ca="1" si="27"/>
        <v>-274.00118403043598</v>
      </c>
      <c r="D237" s="304">
        <f ca="1">IF(ROUND(E236,0)&lt;&gt;0, IF(ROUND(D236,0)&lt;&gt;0, 'Career Comparison'!$F$28-C237, 0), 0)</f>
        <v>521.79623167770342</v>
      </c>
      <c r="E237" s="304">
        <f ca="1">IF(G$7&gt;=B237, E236*(1+'Government Figures'!$D$8/12)-'Career Comparison'!$F$28, 0)</f>
        <v>140983.09736677416</v>
      </c>
      <c r="F237" s="312">
        <f>'College Schedule'!$L$8*(1+'Government Figures'!$B$8/12)^B237</f>
        <v>2950.5329964291914</v>
      </c>
      <c r="G237" s="278">
        <v>1</v>
      </c>
      <c r="H237" s="279">
        <f t="shared" ca="1" si="30"/>
        <v>0.17320110972991043</v>
      </c>
      <c r="I237" s="304">
        <f>G237*('College Schedule'!$L$9)*(1+'Government Figures'!$B$8/12)^B237</f>
        <v>6570.6959110532298</v>
      </c>
      <c r="J237" s="304">
        <f t="shared" ca="1" si="28"/>
        <v>2234.3160434845663</v>
      </c>
      <c r="K237" s="304">
        <f t="shared" ca="1" si="24"/>
        <v>1067.3359311608535</v>
      </c>
      <c r="L237" s="278">
        <v>1</v>
      </c>
      <c r="M237" s="279">
        <f t="shared" si="31"/>
        <v>0.13735784313725496</v>
      </c>
      <c r="N237" s="304">
        <f>L237*('College Schedule'!$L$10)*(1+'Government Figures'!$B$8/12)^B237</f>
        <v>3942.4175466319389</v>
      </c>
      <c r="O237" s="304">
        <f t="shared" si="29"/>
        <v>450.36257925091604</v>
      </c>
      <c r="P237" s="304">
        <f t="shared" si="25"/>
        <v>215.13884049058458</v>
      </c>
      <c r="Q237" s="277"/>
      <c r="R237" s="281"/>
      <c r="S237" s="281"/>
      <c r="T237" s="281"/>
      <c r="U237" s="281"/>
      <c r="V237" s="281"/>
      <c r="W237" s="281"/>
      <c r="X237" s="281"/>
      <c r="Y237" s="281"/>
      <c r="Z237" s="281"/>
      <c r="AA237" s="281"/>
      <c r="AB237" s="281"/>
      <c r="AC237" s="281"/>
      <c r="AD237" s="281"/>
    </row>
    <row r="238" spans="1:30" s="288" customFormat="1" x14ac:dyDescent="0.25">
      <c r="A238" s="287"/>
      <c r="B238" s="274">
        <f t="shared" si="26"/>
        <v>223</v>
      </c>
      <c r="C238" s="304">
        <f t="shared" ca="1" si="27"/>
        <v>-275.01727175453561</v>
      </c>
      <c r="D238" s="304">
        <f ca="1">IF(ROUND(E237,0)&lt;&gt;0, IF(ROUND(D237,0)&lt;&gt;0, 'Career Comparison'!$F$28-C238, 0), 0)</f>
        <v>522.81231940180305</v>
      </c>
      <c r="E238" s="304">
        <f ca="1">IF(G$7&gt;=B238, E237*(1+'Government Figures'!$D$8/12)-'Career Comparison'!$F$28, 0)</f>
        <v>141258.1146385287</v>
      </c>
      <c r="F238" s="312">
        <f>'College Schedule'!$L$8*(1+'Government Figures'!$B$8/12)^B238</f>
        <v>2955.4505514232405</v>
      </c>
      <c r="G238" s="278">
        <v>1</v>
      </c>
      <c r="H238" s="279">
        <f t="shared" ca="1" si="30"/>
        <v>0.17320110972991043</v>
      </c>
      <c r="I238" s="304">
        <f>G238*('College Schedule'!$L$9)*(1+'Government Figures'!$B$8/12)^B238</f>
        <v>6581.6470709049863</v>
      </c>
      <c r="J238" s="304">
        <f t="shared" ca="1" si="28"/>
        <v>2238.4528953031199</v>
      </c>
      <c r="K238" s="304">
        <f t="shared" ca="1" si="24"/>
        <v>1065.759579189501</v>
      </c>
      <c r="L238" s="278">
        <v>1</v>
      </c>
      <c r="M238" s="279">
        <f t="shared" si="31"/>
        <v>0.13735784313725496</v>
      </c>
      <c r="N238" s="304">
        <f>L238*('College Schedule'!$L$10)*(1+'Government Figures'!$B$8/12)^B238</f>
        <v>3948.9882425429928</v>
      </c>
      <c r="O238" s="304">
        <f t="shared" si="29"/>
        <v>451.11318354966761</v>
      </c>
      <c r="P238" s="304">
        <f t="shared" si="25"/>
        <v>214.78146700139754</v>
      </c>
      <c r="Q238" s="277"/>
      <c r="R238" s="281"/>
      <c r="S238" s="281"/>
      <c r="T238" s="281"/>
      <c r="U238" s="281"/>
      <c r="V238" s="281"/>
      <c r="W238" s="281"/>
      <c r="X238" s="281"/>
      <c r="Y238" s="281"/>
      <c r="Z238" s="281"/>
      <c r="AA238" s="281"/>
      <c r="AB238" s="281"/>
      <c r="AC238" s="281"/>
      <c r="AD238" s="281"/>
    </row>
    <row r="239" spans="1:30" s="288" customFormat="1" x14ac:dyDescent="0.25">
      <c r="A239" s="287"/>
      <c r="B239" s="274">
        <f t="shared" si="26"/>
        <v>224</v>
      </c>
      <c r="C239" s="304">
        <f t="shared" ca="1" si="27"/>
        <v>-276.03712747062673</v>
      </c>
      <c r="D239" s="304">
        <f ca="1">IF(ROUND(E238,0)&lt;&gt;0, IF(ROUND(D238,0)&lt;&gt;0, 'Career Comparison'!$F$28-C239, 0), 0)</f>
        <v>523.83217511789417</v>
      </c>
      <c r="E239" s="304">
        <f ca="1">IF(G$7&gt;=B239, E238*(1+'Government Figures'!$D$8/12)-'Career Comparison'!$F$28, 0)</f>
        <v>141534.15176599933</v>
      </c>
      <c r="F239" s="312">
        <f>'College Schedule'!$L$8*(1+'Government Figures'!$B$8/12)^B239</f>
        <v>2960.3763023422803</v>
      </c>
      <c r="G239" s="278">
        <v>1</v>
      </c>
      <c r="H239" s="279">
        <f t="shared" ca="1" si="30"/>
        <v>0.17320110972991043</v>
      </c>
      <c r="I239" s="304">
        <f>G239*('College Schedule'!$L$9)*(1+'Government Figures'!$B$8/12)^B239</f>
        <v>6592.6164826898303</v>
      </c>
      <c r="J239" s="304">
        <f t="shared" ca="1" si="28"/>
        <v>2242.5966418747048</v>
      </c>
      <c r="K239" s="304">
        <f t="shared" ca="1" si="24"/>
        <v>1064.185192482875</v>
      </c>
      <c r="L239" s="278">
        <v>1</v>
      </c>
      <c r="M239" s="279">
        <f t="shared" si="31"/>
        <v>0.13735784313725496</v>
      </c>
      <c r="N239" s="304">
        <f>L239*('College Schedule'!$L$10)*(1+'Government Figures'!$B$8/12)^B239</f>
        <v>3955.5698896138988</v>
      </c>
      <c r="O239" s="304">
        <f t="shared" si="29"/>
        <v>451.86503885558386</v>
      </c>
      <c r="P239" s="304">
        <f t="shared" si="25"/>
        <v>214.42468715588029</v>
      </c>
      <c r="Q239" s="277"/>
      <c r="R239" s="281"/>
      <c r="S239" s="281"/>
      <c r="T239" s="281"/>
      <c r="U239" s="281"/>
      <c r="V239" s="281"/>
      <c r="W239" s="281"/>
      <c r="X239" s="281"/>
      <c r="Y239" s="281"/>
      <c r="Z239" s="281"/>
      <c r="AA239" s="281"/>
      <c r="AB239" s="281"/>
      <c r="AC239" s="281"/>
      <c r="AD239" s="281"/>
    </row>
    <row r="240" spans="1:30" s="288" customFormat="1" x14ac:dyDescent="0.25">
      <c r="A240" s="287"/>
      <c r="B240" s="274">
        <f t="shared" si="26"/>
        <v>225</v>
      </c>
      <c r="C240" s="304">
        <f t="shared" ca="1" si="27"/>
        <v>-277.06076515166205</v>
      </c>
      <c r="D240" s="304">
        <f ca="1">IF(ROUND(E239,0)&lt;&gt;0, IF(ROUND(D239,0)&lt;&gt;0, 'Career Comparison'!$F$28-C240, 0), 0)</f>
        <v>524.85581279892949</v>
      </c>
      <c r="E240" s="304">
        <f ca="1">IF(G$7&gt;=B240, E239*(1+'Government Figures'!$D$8/12)-'Career Comparison'!$F$28, 0)</f>
        <v>141811.21253115099</v>
      </c>
      <c r="F240" s="312">
        <f>'College Schedule'!$L$8*(1+'Government Figures'!$B$8/12)^B240</f>
        <v>2965.3102628461838</v>
      </c>
      <c r="G240" s="278">
        <v>1</v>
      </c>
      <c r="H240" s="279">
        <f t="shared" ca="1" si="30"/>
        <v>0.17320110972991043</v>
      </c>
      <c r="I240" s="304">
        <f>G240*('College Schedule'!$L$9)*(1+'Government Figures'!$B$8/12)^B240</f>
        <v>6603.6041768276473</v>
      </c>
      <c r="J240" s="304">
        <f t="shared" ca="1" si="28"/>
        <v>2246.7472946905759</v>
      </c>
      <c r="K240" s="304">
        <f t="shared" ca="1" si="24"/>
        <v>1062.6127699467158</v>
      </c>
      <c r="L240" s="278">
        <v>1</v>
      </c>
      <c r="M240" s="279">
        <f t="shared" si="31"/>
        <v>0.13735784313725496</v>
      </c>
      <c r="N240" s="304">
        <f>L240*('College Schedule'!$L$10)*(1+'Government Figures'!$B$8/12)^B240</f>
        <v>3962.1625060965889</v>
      </c>
      <c r="O240" s="304">
        <f t="shared" si="29"/>
        <v>452.61814725367685</v>
      </c>
      <c r="P240" s="304">
        <f t="shared" si="25"/>
        <v>214.06849996791385</v>
      </c>
      <c r="Q240" s="277"/>
      <c r="R240" s="281"/>
      <c r="S240" s="281"/>
      <c r="T240" s="281"/>
      <c r="U240" s="281"/>
      <c r="V240" s="281"/>
      <c r="W240" s="281"/>
      <c r="X240" s="281"/>
      <c r="Y240" s="281"/>
      <c r="Z240" s="281"/>
      <c r="AA240" s="281"/>
      <c r="AB240" s="281"/>
      <c r="AC240" s="281"/>
      <c r="AD240" s="281"/>
    </row>
    <row r="241" spans="1:30" s="288" customFormat="1" x14ac:dyDescent="0.25">
      <c r="A241" s="287"/>
      <c r="B241" s="274">
        <f t="shared" si="26"/>
        <v>226</v>
      </c>
      <c r="C241" s="304">
        <f t="shared" ca="1" si="27"/>
        <v>-278.08819882242824</v>
      </c>
      <c r="D241" s="304">
        <f ca="1">IF(ROUND(E240,0)&lt;&gt;0, IF(ROUND(D240,0)&lt;&gt;0, 'Career Comparison'!$F$28-C241, 0), 0)</f>
        <v>525.88324646969568</v>
      </c>
      <c r="E241" s="304">
        <f ca="1">IF(G$7&gt;=B241, E240*(1+'Government Figures'!$D$8/12)-'Career Comparison'!$F$28, 0)</f>
        <v>142089.30072997342</v>
      </c>
      <c r="F241" s="312">
        <f>'College Schedule'!$L$8*(1+'Government Figures'!$B$8/12)^B241</f>
        <v>2970.2524466175942</v>
      </c>
      <c r="G241" s="278">
        <v>1</v>
      </c>
      <c r="H241" s="279">
        <f t="shared" ca="1" si="30"/>
        <v>0.17320110972991043</v>
      </c>
      <c r="I241" s="304">
        <f>G241*('College Schedule'!$L$9)*(1+'Government Figures'!$B$8/12)^B241</f>
        <v>6614.6101837890255</v>
      </c>
      <c r="J241" s="304">
        <f t="shared" ca="1" si="28"/>
        <v>2250.9048652611382</v>
      </c>
      <c r="K241" s="304">
        <f t="shared" ca="1" si="24"/>
        <v>1061.0423104813701</v>
      </c>
      <c r="L241" s="278">
        <v>1</v>
      </c>
      <c r="M241" s="279">
        <f t="shared" si="31"/>
        <v>0.13735784313725496</v>
      </c>
      <c r="N241" s="304">
        <f>L241*('College Schedule'!$L$10)*(1+'Government Figures'!$B$8/12)^B241</f>
        <v>3968.766110273416</v>
      </c>
      <c r="O241" s="304">
        <f t="shared" si="29"/>
        <v>453.37251083243245</v>
      </c>
      <c r="P241" s="304">
        <f t="shared" si="25"/>
        <v>213.71290445301673</v>
      </c>
      <c r="Q241" s="277"/>
      <c r="R241" s="281"/>
      <c r="S241" s="281"/>
      <c r="T241" s="281"/>
      <c r="U241" s="281"/>
      <c r="V241" s="281"/>
      <c r="W241" s="281"/>
      <c r="X241" s="281"/>
      <c r="Y241" s="281"/>
      <c r="Z241" s="281"/>
      <c r="AA241" s="281"/>
      <c r="AB241" s="281"/>
      <c r="AC241" s="281"/>
      <c r="AD241" s="281"/>
    </row>
    <row r="242" spans="1:30" s="288" customFormat="1" x14ac:dyDescent="0.25">
      <c r="A242" s="287"/>
      <c r="B242" s="274">
        <f t="shared" si="26"/>
        <v>227</v>
      </c>
      <c r="C242" s="304">
        <f t="shared" ca="1" si="27"/>
        <v>-279.11944255974959</v>
      </c>
      <c r="D242" s="304">
        <f ca="1">IF(ROUND(E241,0)&lt;&gt;0, IF(ROUND(D241,0)&lt;&gt;0, 'Career Comparison'!$F$28-C242, 0), 0)</f>
        <v>526.91449020701702</v>
      </c>
      <c r="E242" s="304">
        <f ca="1">IF(G$7&gt;=B242, E241*(1+'Government Figures'!$D$8/12)-'Career Comparison'!$F$28, 0)</f>
        <v>142368.42017253317</v>
      </c>
      <c r="F242" s="312">
        <f>'College Schedule'!$L$8*(1+'Government Figures'!$B$8/12)^B242</f>
        <v>2975.202867361957</v>
      </c>
      <c r="G242" s="278">
        <v>1</v>
      </c>
      <c r="H242" s="279">
        <f t="shared" ca="1" si="30"/>
        <v>0.17320110972991043</v>
      </c>
      <c r="I242" s="304">
        <f>G242*('College Schedule'!$L$9)*(1+'Government Figures'!$B$8/12)^B242</f>
        <v>6625.6345340953421</v>
      </c>
      <c r="J242" s="304">
        <f t="shared" ca="1" si="28"/>
        <v>2255.0693651159868</v>
      </c>
      <c r="K242" s="304">
        <f t="shared" ca="1" si="24"/>
        <v>1059.473812981827</v>
      </c>
      <c r="L242" s="278">
        <v>1</v>
      </c>
      <c r="M242" s="279">
        <f t="shared" si="31"/>
        <v>0.13735784313725496</v>
      </c>
      <c r="N242" s="304">
        <f>L242*('College Schedule'!$L$10)*(1+'Government Figures'!$B$8/12)^B242</f>
        <v>3975.3807204572058</v>
      </c>
      <c r="O242" s="304">
        <f t="shared" si="29"/>
        <v>454.12813168382036</v>
      </c>
      <c r="P242" s="304">
        <f t="shared" si="25"/>
        <v>213.35789962834411</v>
      </c>
      <c r="Q242" s="277"/>
      <c r="R242" s="281"/>
      <c r="S242" s="281"/>
      <c r="T242" s="281"/>
      <c r="U242" s="281"/>
      <c r="V242" s="281"/>
      <c r="W242" s="281"/>
      <c r="X242" s="281"/>
      <c r="Y242" s="281"/>
      <c r="Z242" s="281"/>
      <c r="AA242" s="281"/>
      <c r="AB242" s="281"/>
      <c r="AC242" s="281"/>
      <c r="AD242" s="281"/>
    </row>
    <row r="243" spans="1:30" s="288" customFormat="1" x14ac:dyDescent="0.25">
      <c r="A243" s="287"/>
      <c r="B243" s="274">
        <f t="shared" si="26"/>
        <v>228</v>
      </c>
      <c r="C243" s="304">
        <f t="shared" ca="1" si="27"/>
        <v>-280.15451049257535</v>
      </c>
      <c r="D243" s="304">
        <f ca="1">IF(ROUND(E242,0)&lt;&gt;0, IF(ROUND(D242,0)&lt;&gt;0, 'Career Comparison'!$F$28-C243, 0), 0)</f>
        <v>527.94955813984279</v>
      </c>
      <c r="E243" s="304">
        <f ca="1">IF(G$7&gt;=B243, E242*(1+'Government Figures'!$D$8/12)-'Career Comparison'!$F$28, 0)</f>
        <v>142648.57468302574</v>
      </c>
      <c r="F243" s="312">
        <f>'College Schedule'!$L$8*(1+'Government Figures'!$B$8/12)^B243</f>
        <v>2980.1615388075602</v>
      </c>
      <c r="G243" s="278">
        <v>1</v>
      </c>
      <c r="H243" s="279">
        <f t="shared" ca="1" si="30"/>
        <v>0.17320110972991043</v>
      </c>
      <c r="I243" s="304">
        <f>G243*('College Schedule'!$L$9)*(1+'Government Figures'!$B$8/12)^B243</f>
        <v>6636.677258318834</v>
      </c>
      <c r="J243" s="304">
        <f t="shared" ca="1" si="28"/>
        <v>2259.2408058039246</v>
      </c>
      <c r="K243" s="304">
        <f t="shared" ca="1" si="24"/>
        <v>1057.9072763377465</v>
      </c>
      <c r="L243" s="278">
        <v>1</v>
      </c>
      <c r="M243" s="279">
        <f t="shared" si="31"/>
        <v>0.13735784313725496</v>
      </c>
      <c r="N243" s="304">
        <f>L243*('College Schedule'!$L$10)*(1+'Government Figures'!$B$8/12)^B243</f>
        <v>3982.0063549913011</v>
      </c>
      <c r="O243" s="304">
        <f t="shared" si="29"/>
        <v>454.88501190329316</v>
      </c>
      <c r="P243" s="304">
        <f t="shared" si="25"/>
        <v>213.00348451268235</v>
      </c>
      <c r="Q243" s="277"/>
      <c r="R243" s="281"/>
      <c r="S243" s="281"/>
      <c r="T243" s="281"/>
      <c r="U243" s="281"/>
      <c r="V243" s="281"/>
      <c r="W243" s="281"/>
      <c r="X243" s="281"/>
      <c r="Y243" s="281"/>
      <c r="Z243" s="281"/>
      <c r="AA243" s="281"/>
      <c r="AB243" s="281"/>
      <c r="AC243" s="281"/>
      <c r="AD243" s="281"/>
    </row>
    <row r="244" spans="1:30" s="288" customFormat="1" x14ac:dyDescent="0.25">
      <c r="A244" s="287"/>
      <c r="B244" s="274">
        <f t="shared" si="26"/>
        <v>229</v>
      </c>
      <c r="C244" s="304">
        <f t="shared" ca="1" si="27"/>
        <v>-281.19341680229991</v>
      </c>
      <c r="D244" s="304">
        <f ca="1">IF(ROUND(E243,0)&lt;&gt;0, IF(ROUND(D243,0)&lt;&gt;0, 'Career Comparison'!$F$28-C244, 0), 0)</f>
        <v>528.98846444956735</v>
      </c>
      <c r="E244" s="304">
        <f ca="1">IF(G$7&gt;=B244, E243*(1+'Government Figures'!$D$8/12)-'Career Comparison'!$F$28, 0)</f>
        <v>142929.76809982804</v>
      </c>
      <c r="F244" s="312">
        <f>'College Schedule'!$L$8*(1+'Government Figures'!$B$8/12)^B244</f>
        <v>2985.1284747055734</v>
      </c>
      <c r="G244" s="278">
        <v>1</v>
      </c>
      <c r="H244" s="279">
        <f t="shared" ca="1" si="30"/>
        <v>0.17320110972991043</v>
      </c>
      <c r="I244" s="304">
        <f>G244*('College Schedule'!$L$9)*(1+'Government Figures'!$B$8/12)^B244</f>
        <v>6647.7383870826989</v>
      </c>
      <c r="J244" s="304">
        <f t="shared" ca="1" si="28"/>
        <v>2263.4191988930102</v>
      </c>
      <c r="K244" s="304">
        <f t="shared" ca="1" si="24"/>
        <v>1056.3426994334959</v>
      </c>
      <c r="L244" s="278">
        <v>1</v>
      </c>
      <c r="M244" s="279">
        <f t="shared" si="31"/>
        <v>0.13735784313725496</v>
      </c>
      <c r="N244" s="304">
        <f>L244*('College Schedule'!$L$10)*(1+'Government Figures'!$B$8/12)^B244</f>
        <v>3988.6430322496203</v>
      </c>
      <c r="O244" s="304">
        <f t="shared" si="29"/>
        <v>455.64315358979866</v>
      </c>
      <c r="P244" s="304">
        <f t="shared" si="25"/>
        <v>212.64965812644866</v>
      </c>
      <c r="Q244" s="277"/>
      <c r="R244" s="281"/>
      <c r="S244" s="281"/>
      <c r="T244" s="281"/>
      <c r="U244" s="281"/>
      <c r="V244" s="281"/>
      <c r="W244" s="281"/>
      <c r="X244" s="281"/>
      <c r="Y244" s="281"/>
      <c r="Z244" s="281"/>
      <c r="AA244" s="281"/>
      <c r="AB244" s="281"/>
      <c r="AC244" s="281"/>
      <c r="AD244" s="281"/>
    </row>
    <row r="245" spans="1:30" s="288" customFormat="1" x14ac:dyDescent="0.25">
      <c r="A245" s="287"/>
      <c r="B245" s="274">
        <f t="shared" si="26"/>
        <v>230</v>
      </c>
      <c r="C245" s="304">
        <f t="shared" ca="1" si="27"/>
        <v>-282.23617572293733</v>
      </c>
      <c r="D245" s="304">
        <f ca="1">IF(ROUND(E244,0)&lt;&gt;0, IF(ROUND(D244,0)&lt;&gt;0, 'Career Comparison'!$F$28-C245, 0), 0)</f>
        <v>530.03122337020477</v>
      </c>
      <c r="E245" s="304">
        <f ca="1">IF(G$7&gt;=B245, E244*(1+'Government Figures'!$D$8/12)-'Career Comparison'!$F$28, 0)</f>
        <v>143212.00427555098</v>
      </c>
      <c r="F245" s="312">
        <f>'College Schedule'!$L$8*(1+'Government Figures'!$B$8/12)^B245</f>
        <v>2990.1036888300819</v>
      </c>
      <c r="G245" s="278">
        <v>1</v>
      </c>
      <c r="H245" s="279">
        <f t="shared" ca="1" si="30"/>
        <v>0.17320110972991043</v>
      </c>
      <c r="I245" s="304">
        <f>G245*('College Schedule'!$L$9)*(1+'Government Figures'!$B$8/12)^B245</f>
        <v>6658.817951061169</v>
      </c>
      <c r="J245" s="304">
        <f t="shared" ca="1" si="28"/>
        <v>2267.6045559705772</v>
      </c>
      <c r="K245" s="304">
        <f t="shared" ca="1" si="24"/>
        <v>1054.7800811481795</v>
      </c>
      <c r="L245" s="278">
        <v>1</v>
      </c>
      <c r="M245" s="279">
        <f t="shared" si="31"/>
        <v>0.13735784313725496</v>
      </c>
      <c r="N245" s="304">
        <f>L245*('College Schedule'!$L$10)*(1+'Government Figures'!$B$8/12)^B245</f>
        <v>3995.2907706367023</v>
      </c>
      <c r="O245" s="304">
        <f t="shared" si="29"/>
        <v>456.40255884578164</v>
      </c>
      <c r="P245" s="304">
        <f t="shared" si="25"/>
        <v>212.29641949168703</v>
      </c>
      <c r="Q245" s="277"/>
      <c r="R245" s="281"/>
      <c r="S245" s="281"/>
      <c r="T245" s="281"/>
      <c r="U245" s="281"/>
      <c r="V245" s="281"/>
      <c r="W245" s="281"/>
      <c r="X245" s="281"/>
      <c r="Y245" s="281"/>
      <c r="Z245" s="281"/>
      <c r="AA245" s="281"/>
      <c r="AB245" s="281"/>
      <c r="AC245" s="281"/>
      <c r="AD245" s="281"/>
    </row>
    <row r="246" spans="1:30" s="288" customFormat="1" x14ac:dyDescent="0.25">
      <c r="A246" s="287"/>
      <c r="B246" s="274">
        <f t="shared" si="26"/>
        <v>231</v>
      </c>
      <c r="C246" s="304">
        <f t="shared" ca="1" si="27"/>
        <v>-283.28280154126696</v>
      </c>
      <c r="D246" s="304">
        <f ca="1">IF(ROUND(E245,0)&lt;&gt;0, IF(ROUND(D245,0)&lt;&gt;0, 'Career Comparison'!$F$28-C246, 0), 0)</f>
        <v>531.0778491885344</v>
      </c>
      <c r="E246" s="304">
        <f ca="1">IF(G$7&gt;=B246, E245*(1+'Government Figures'!$D$8/12)-'Career Comparison'!$F$28, 0)</f>
        <v>143495.28707709225</v>
      </c>
      <c r="F246" s="312">
        <f>'College Schedule'!$L$8*(1+'Government Figures'!$B$8/12)^B246</f>
        <v>2995.0871949781331</v>
      </c>
      <c r="G246" s="278">
        <v>1</v>
      </c>
      <c r="H246" s="279">
        <f t="shared" ca="1" si="30"/>
        <v>0.17320110972991043</v>
      </c>
      <c r="I246" s="304">
        <f>G246*('College Schedule'!$L$9)*(1+'Government Figures'!$B$8/12)^B246</f>
        <v>6669.9159809796065</v>
      </c>
      <c r="J246" s="304">
        <f t="shared" ca="1" si="28"/>
        <v>2271.7968886432741</v>
      </c>
      <c r="K246" s="304">
        <f t="shared" ca="1" si="24"/>
        <v>1053.2194203556739</v>
      </c>
      <c r="L246" s="278">
        <v>1</v>
      </c>
      <c r="M246" s="279">
        <f t="shared" si="31"/>
        <v>0.13735784313725496</v>
      </c>
      <c r="N246" s="304">
        <f>L246*('College Schedule'!$L$10)*(1+'Government Figures'!$B$8/12)^B246</f>
        <v>4001.949588587765</v>
      </c>
      <c r="O246" s="304">
        <f t="shared" si="29"/>
        <v>457.16322977719165</v>
      </c>
      <c r="P246" s="304">
        <f t="shared" si="25"/>
        <v>211.94376763206643</v>
      </c>
      <c r="Q246" s="277"/>
      <c r="R246" s="281"/>
      <c r="S246" s="281"/>
      <c r="T246" s="281"/>
      <c r="U246" s="281"/>
      <c r="V246" s="281"/>
      <c r="W246" s="281"/>
      <c r="X246" s="281"/>
      <c r="Y246" s="281"/>
      <c r="Z246" s="281"/>
      <c r="AA246" s="281"/>
      <c r="AB246" s="281"/>
      <c r="AC246" s="281"/>
      <c r="AD246" s="281"/>
    </row>
    <row r="247" spans="1:30" s="288" customFormat="1" x14ac:dyDescent="0.25">
      <c r="A247" s="287"/>
      <c r="B247" s="274">
        <f t="shared" si="26"/>
        <v>232</v>
      </c>
      <c r="C247" s="304">
        <f t="shared" ca="1" si="27"/>
        <v>-284.3333085969789</v>
      </c>
      <c r="D247" s="304">
        <f ca="1">IF(ROUND(E246,0)&lt;&gt;0, IF(ROUND(D246,0)&lt;&gt;0, 'Career Comparison'!$F$28-C247, 0), 0)</f>
        <v>532.12835624424633</v>
      </c>
      <c r="E247" s="304">
        <f ca="1">IF(G$7&gt;=B247, E246*(1+'Government Figures'!$D$8/12)-'Career Comparison'!$F$28, 0)</f>
        <v>143779.62038568922</v>
      </c>
      <c r="F247" s="312">
        <f>'College Schedule'!$L$8*(1+'Government Figures'!$B$8/12)^B247</f>
        <v>3000.0790069697637</v>
      </c>
      <c r="G247" s="278">
        <v>1</v>
      </c>
      <c r="H247" s="279">
        <f t="shared" ca="1" si="30"/>
        <v>0.17320110972991043</v>
      </c>
      <c r="I247" s="304">
        <f>G247*('College Schedule'!$L$9)*(1+'Government Figures'!$B$8/12)^B247</f>
        <v>6681.0325076145737</v>
      </c>
      <c r="J247" s="304">
        <f t="shared" ca="1" si="28"/>
        <v>2275.9962085370926</v>
      </c>
      <c r="K247" s="304">
        <f t="shared" ca="1" si="24"/>
        <v>1051.6607159246576</v>
      </c>
      <c r="L247" s="278">
        <v>1</v>
      </c>
      <c r="M247" s="279">
        <f t="shared" si="31"/>
        <v>0.13735784313725496</v>
      </c>
      <c r="N247" s="304">
        <f>L247*('College Schedule'!$L$10)*(1+'Government Figures'!$B$8/12)^B247</f>
        <v>4008.619504568745</v>
      </c>
      <c r="O247" s="304">
        <f t="shared" si="29"/>
        <v>457.92516849348704</v>
      </c>
      <c r="P247" s="304">
        <f t="shared" si="25"/>
        <v>211.59170157287701</v>
      </c>
      <c r="Q247" s="277"/>
      <c r="R247" s="281"/>
      <c r="S247" s="281"/>
      <c r="T247" s="281"/>
      <c r="U247" s="281"/>
      <c r="V247" s="281"/>
      <c r="W247" s="281"/>
      <c r="X247" s="281"/>
      <c r="Y247" s="281"/>
      <c r="Z247" s="281"/>
      <c r="AA247" s="281"/>
      <c r="AB247" s="281"/>
      <c r="AC247" s="281"/>
      <c r="AD247" s="281"/>
    </row>
    <row r="248" spans="1:30" s="288" customFormat="1" x14ac:dyDescent="0.25">
      <c r="A248" s="287"/>
      <c r="B248" s="274">
        <f t="shared" si="26"/>
        <v>233</v>
      </c>
      <c r="C248" s="304">
        <f t="shared" ca="1" si="27"/>
        <v>-285.38771128302324</v>
      </c>
      <c r="D248" s="304">
        <f ca="1">IF(ROUND(E247,0)&lt;&gt;0, IF(ROUND(D247,0)&lt;&gt;0, 'Career Comparison'!$F$28-C248, 0), 0)</f>
        <v>533.18275893029067</v>
      </c>
      <c r="E248" s="304">
        <f ca="1">IF(G$7&gt;=B248, E247*(1+'Government Figures'!$D$8/12)-'Career Comparison'!$F$28, 0)</f>
        <v>144065.00809697225</v>
      </c>
      <c r="F248" s="312">
        <f>'College Schedule'!$L$8*(1+'Government Figures'!$B$8/12)^B248</f>
        <v>3005.079138648046</v>
      </c>
      <c r="G248" s="278">
        <v>1</v>
      </c>
      <c r="H248" s="279">
        <f t="shared" ca="1" si="30"/>
        <v>0.17320110972991043</v>
      </c>
      <c r="I248" s="304">
        <f>G248*('College Schedule'!$L$9)*(1+'Government Figures'!$B$8/12)^B248</f>
        <v>6692.16756179393</v>
      </c>
      <c r="J248" s="304">
        <f t="shared" ca="1" si="28"/>
        <v>2280.2025272973992</v>
      </c>
      <c r="K248" s="304">
        <f t="shared" ca="1" si="24"/>
        <v>1050.1039667186426</v>
      </c>
      <c r="L248" s="278">
        <v>1</v>
      </c>
      <c r="M248" s="279">
        <f t="shared" si="31"/>
        <v>0.13735784313725496</v>
      </c>
      <c r="N248" s="304">
        <f>L248*('College Schedule'!$L$10)*(1+'Government Figures'!$B$8/12)^B248</f>
        <v>4015.3005370763585</v>
      </c>
      <c r="O248" s="304">
        <f t="shared" si="29"/>
        <v>458.68837710764228</v>
      </c>
      <c r="P248" s="304">
        <f t="shared" si="25"/>
        <v>211.24022034102811</v>
      </c>
      <c r="Q248" s="277"/>
      <c r="R248" s="281"/>
      <c r="S248" s="281"/>
      <c r="T248" s="281"/>
      <c r="U248" s="281"/>
      <c r="V248" s="281"/>
      <c r="W248" s="281"/>
      <c r="X248" s="281"/>
      <c r="Y248" s="281"/>
      <c r="Z248" s="281"/>
      <c r="AA248" s="281"/>
      <c r="AB248" s="281"/>
      <c r="AC248" s="281"/>
      <c r="AD248" s="281"/>
    </row>
    <row r="249" spans="1:30" s="288" customFormat="1" x14ac:dyDescent="0.25">
      <c r="A249" s="287"/>
      <c r="B249" s="274">
        <f t="shared" si="26"/>
        <v>234</v>
      </c>
      <c r="C249" s="304">
        <f t="shared" ca="1" si="27"/>
        <v>-286.44602404569741</v>
      </c>
      <c r="D249" s="304">
        <f ca="1">IF(ROUND(E248,0)&lt;&gt;0, IF(ROUND(D248,0)&lt;&gt;0, 'Career Comparison'!$F$28-C249, 0), 0)</f>
        <v>534.24107169296485</v>
      </c>
      <c r="E249" s="304">
        <f ca="1">IF(G$7&gt;=B249, E248*(1+'Government Figures'!$D$8/12)-'Career Comparison'!$F$28, 0)</f>
        <v>144351.45412101794</v>
      </c>
      <c r="F249" s="312">
        <f>'College Schedule'!$L$8*(1+'Government Figures'!$B$8/12)^B249</f>
        <v>3010.0876038791262</v>
      </c>
      <c r="G249" s="278">
        <v>1</v>
      </c>
      <c r="H249" s="279">
        <f t="shared" ca="1" si="30"/>
        <v>0.17320110972991043</v>
      </c>
      <c r="I249" s="304">
        <f>G249*('College Schedule'!$L$9)*(1+'Government Figures'!$B$8/12)^B249</f>
        <v>6703.3211743969196</v>
      </c>
      <c r="J249" s="304">
        <f t="shared" ca="1" si="28"/>
        <v>2284.4158565889729</v>
      </c>
      <c r="K249" s="304">
        <f t="shared" ca="1" si="24"/>
        <v>1048.54917159601</v>
      </c>
      <c r="L249" s="278">
        <v>1</v>
      </c>
      <c r="M249" s="279">
        <f t="shared" si="31"/>
        <v>0.13735784313725496</v>
      </c>
      <c r="N249" s="304">
        <f>L249*('College Schedule'!$L$10)*(1+'Government Figures'!$B$8/12)^B249</f>
        <v>4021.9927046381526</v>
      </c>
      <c r="O249" s="304">
        <f t="shared" si="29"/>
        <v>459.45285773615524</v>
      </c>
      <c r="P249" s="304">
        <f t="shared" si="25"/>
        <v>210.88932296504638</v>
      </c>
      <c r="Q249" s="277"/>
      <c r="R249" s="281"/>
      <c r="S249" s="281"/>
      <c r="T249" s="281"/>
      <c r="U249" s="281"/>
      <c r="V249" s="281"/>
      <c r="W249" s="281"/>
      <c r="X249" s="281"/>
      <c r="Y249" s="281"/>
      <c r="Z249" s="281"/>
      <c r="AA249" s="281"/>
      <c r="AB249" s="281"/>
      <c r="AC249" s="281"/>
      <c r="AD249" s="281"/>
    </row>
    <row r="250" spans="1:30" s="288" customFormat="1" x14ac:dyDescent="0.25">
      <c r="A250" s="287"/>
      <c r="B250" s="274">
        <f t="shared" si="26"/>
        <v>235</v>
      </c>
      <c r="C250" s="304">
        <f t="shared" ca="1" si="27"/>
        <v>-287.5082613848499</v>
      </c>
      <c r="D250" s="304">
        <f ca="1">IF(ROUND(E249,0)&lt;&gt;0, IF(ROUND(D249,0)&lt;&gt;0, 'Career Comparison'!$F$28-C250, 0), 0)</f>
        <v>535.30330903211734</v>
      </c>
      <c r="E250" s="304">
        <f ca="1">IF(G$7&gt;=B250, E249*(1+'Government Figures'!$D$8/12)-'Career Comparison'!$F$28, 0)</f>
        <v>144638.96238240279</v>
      </c>
      <c r="F250" s="312">
        <f>'College Schedule'!$L$8*(1+'Government Figures'!$B$8/12)^B250</f>
        <v>3015.1044165522585</v>
      </c>
      <c r="G250" s="278">
        <v>1</v>
      </c>
      <c r="H250" s="279">
        <f t="shared" ca="1" si="30"/>
        <v>0.17320110972991043</v>
      </c>
      <c r="I250" s="304">
        <f>G250*('College Schedule'!$L$9)*(1+'Government Figures'!$B$8/12)^B250</f>
        <v>6714.4933763542494</v>
      </c>
      <c r="J250" s="304">
        <f t="shared" ca="1" si="28"/>
        <v>2288.6362080960344</v>
      </c>
      <c r="K250" s="304">
        <f t="shared" ca="1" si="24"/>
        <v>1046.9963294100403</v>
      </c>
      <c r="L250" s="278">
        <v>1</v>
      </c>
      <c r="M250" s="279">
        <f t="shared" si="31"/>
        <v>0.13735784313725496</v>
      </c>
      <c r="N250" s="304">
        <f>L250*('College Schedule'!$L$10)*(1+'Government Figures'!$B$8/12)^B250</f>
        <v>4028.6960258125505</v>
      </c>
      <c r="O250" s="304">
        <f t="shared" si="29"/>
        <v>460.21861249904941</v>
      </c>
      <c r="P250" s="304">
        <f t="shared" si="25"/>
        <v>210.53900847507145</v>
      </c>
      <c r="Q250" s="277"/>
      <c r="R250" s="281"/>
      <c r="S250" s="281"/>
      <c r="T250" s="281"/>
      <c r="U250" s="281"/>
      <c r="V250" s="281"/>
      <c r="W250" s="281"/>
      <c r="X250" s="281"/>
      <c r="Y250" s="281"/>
      <c r="Z250" s="281"/>
      <c r="AA250" s="281"/>
      <c r="AB250" s="281"/>
      <c r="AC250" s="281"/>
      <c r="AD250" s="281"/>
    </row>
    <row r="251" spans="1:30" s="288" customFormat="1" x14ac:dyDescent="0.25">
      <c r="A251" s="287"/>
      <c r="B251" s="274">
        <f t="shared" si="26"/>
        <v>236</v>
      </c>
      <c r="C251" s="304">
        <f t="shared" ca="1" si="27"/>
        <v>-288.57443785417126</v>
      </c>
      <c r="D251" s="304">
        <f ca="1">IF(ROUND(E250,0)&lt;&gt;0, IF(ROUND(D250,0)&lt;&gt;0, 'Career Comparison'!$F$28-C251, 0), 0)</f>
        <v>536.3694855014387</v>
      </c>
      <c r="E251" s="304">
        <f ca="1">IF(G$7&gt;=B251, E250*(1+'Government Figures'!$D$8/12)-'Career Comparison'!$F$28, 0)</f>
        <v>144927.53682025697</v>
      </c>
      <c r="F251" s="312">
        <f>'College Schedule'!$L$8*(1+'Government Figures'!$B$8/12)^B251</f>
        <v>3020.1295905798456</v>
      </c>
      <c r="G251" s="278">
        <v>1</v>
      </c>
      <c r="H251" s="279">
        <f t="shared" ca="1" si="30"/>
        <v>0.17320110972991043</v>
      </c>
      <c r="I251" s="304">
        <f>G251*('College Schedule'!$L$9)*(1+'Government Figures'!$B$8/12)^B251</f>
        <v>6725.6841986481732</v>
      </c>
      <c r="J251" s="304">
        <f t="shared" ca="1" si="28"/>
        <v>2292.8635935222728</v>
      </c>
      <c r="K251" s="304">
        <f t="shared" ca="1" si="24"/>
        <v>1045.4454390089418</v>
      </c>
      <c r="L251" s="278">
        <v>1</v>
      </c>
      <c r="M251" s="279">
        <f t="shared" si="31"/>
        <v>0.13735784313725496</v>
      </c>
      <c r="N251" s="304">
        <f>L251*('College Schedule'!$L$10)*(1+'Government Figures'!$B$8/12)^B251</f>
        <v>4035.4105191889043</v>
      </c>
      <c r="O251" s="304">
        <f t="shared" si="29"/>
        <v>460.9856435198808</v>
      </c>
      <c r="P251" s="304">
        <f t="shared" si="25"/>
        <v>210.18927590285358</v>
      </c>
      <c r="Q251" s="277"/>
      <c r="R251" s="281"/>
      <c r="S251" s="281"/>
      <c r="T251" s="281"/>
      <c r="U251" s="281"/>
      <c r="V251" s="281"/>
      <c r="W251" s="281"/>
      <c r="X251" s="281"/>
      <c r="Y251" s="281"/>
      <c r="Z251" s="281"/>
      <c r="AA251" s="281"/>
      <c r="AB251" s="281"/>
      <c r="AC251" s="281"/>
      <c r="AD251" s="281"/>
    </row>
    <row r="252" spans="1:30" s="288" customFormat="1" x14ac:dyDescent="0.25">
      <c r="A252" s="287"/>
      <c r="B252" s="274">
        <f t="shared" si="26"/>
        <v>237</v>
      </c>
      <c r="C252" s="304">
        <f t="shared" ca="1" si="27"/>
        <v>-289.64456806119415</v>
      </c>
      <c r="D252" s="304">
        <f ca="1">IF(ROUND(E251,0)&lt;&gt;0, IF(ROUND(D251,0)&lt;&gt;0, 'Career Comparison'!$F$28-C252, 0), 0)</f>
        <v>537.43961570846159</v>
      </c>
      <c r="E252" s="304">
        <f ca="1">IF(G$7&gt;=B252, E251*(1+'Government Figures'!$D$8/12)-'Career Comparison'!$F$28, 0)</f>
        <v>145217.18138831816</v>
      </c>
      <c r="F252" s="312">
        <f>'College Schedule'!$L$8*(1+'Government Figures'!$B$8/12)^B252</f>
        <v>3025.1631398974796</v>
      </c>
      <c r="G252" s="278">
        <v>1</v>
      </c>
      <c r="H252" s="279">
        <f t="shared" ca="1" si="30"/>
        <v>0.17320110972991043</v>
      </c>
      <c r="I252" s="304">
        <f>G252*('College Schedule'!$L$9)*(1+'Government Figures'!$B$8/12)^B252</f>
        <v>6736.8936723125889</v>
      </c>
      <c r="J252" s="304">
        <f t="shared" ca="1" si="28"/>
        <v>2297.09802459089</v>
      </c>
      <c r="K252" s="304">
        <f t="shared" ca="1" si="24"/>
        <v>1043.8964992358876</v>
      </c>
      <c r="L252" s="278">
        <v>1</v>
      </c>
      <c r="M252" s="279">
        <f t="shared" si="31"/>
        <v>0.13735784313725496</v>
      </c>
      <c r="N252" s="304">
        <f>L252*('College Schedule'!$L$10)*(1+'Government Figures'!$B$8/12)^B252</f>
        <v>4042.1362033875539</v>
      </c>
      <c r="O252" s="304">
        <f t="shared" si="29"/>
        <v>461.7539529257474</v>
      </c>
      <c r="P252" s="304">
        <f t="shared" si="25"/>
        <v>209.84012428175254</v>
      </c>
      <c r="Q252" s="277"/>
      <c r="R252" s="281"/>
      <c r="S252" s="281"/>
      <c r="T252" s="281"/>
      <c r="U252" s="281"/>
      <c r="V252" s="281"/>
      <c r="W252" s="281"/>
      <c r="X252" s="281"/>
      <c r="Y252" s="281"/>
      <c r="Z252" s="281"/>
      <c r="AA252" s="281"/>
      <c r="AB252" s="281"/>
      <c r="AC252" s="281"/>
      <c r="AD252" s="281"/>
    </row>
    <row r="253" spans="1:30" s="288" customFormat="1" x14ac:dyDescent="0.25">
      <c r="A253" s="287"/>
      <c r="B253" s="274">
        <f t="shared" si="26"/>
        <v>238</v>
      </c>
      <c r="C253" s="304">
        <f t="shared" ca="1" si="27"/>
        <v>-290.71866666775895</v>
      </c>
      <c r="D253" s="304">
        <f ca="1">IF(ROUND(E252,0)&lt;&gt;0, IF(ROUND(D252,0)&lt;&gt;0, 'Career Comparison'!$F$28-C253, 0), 0)</f>
        <v>538.51371431502639</v>
      </c>
      <c r="E253" s="304">
        <f ca="1">IF(G$7&gt;=B253, E252*(1+'Government Figures'!$D$8/12)-'Career Comparison'!$F$28, 0)</f>
        <v>145507.90005498592</v>
      </c>
      <c r="F253" s="312">
        <f>'College Schedule'!$L$8*(1+'Government Figures'!$B$8/12)^B253</f>
        <v>3030.2050784639755</v>
      </c>
      <c r="G253" s="278">
        <v>1</v>
      </c>
      <c r="H253" s="279">
        <f t="shared" ca="1" si="30"/>
        <v>0.17320110972991043</v>
      </c>
      <c r="I253" s="304">
        <f>G253*('College Schedule'!$L$9)*(1+'Government Figures'!$B$8/12)^B253</f>
        <v>6748.1218284331098</v>
      </c>
      <c r="J253" s="304">
        <f t="shared" ca="1" si="28"/>
        <v>2301.3395130446197</v>
      </c>
      <c r="K253" s="304">
        <f t="shared" ca="1" si="24"/>
        <v>1042.349508929042</v>
      </c>
      <c r="L253" s="278">
        <v>1</v>
      </c>
      <c r="M253" s="279">
        <f t="shared" si="31"/>
        <v>0.13735784313725496</v>
      </c>
      <c r="N253" s="304">
        <f>L253*('College Schedule'!$L$10)*(1+'Government Figures'!$B$8/12)^B253</f>
        <v>4048.8730970598663</v>
      </c>
      <c r="O253" s="304">
        <f t="shared" si="29"/>
        <v>462.52354284729017</v>
      </c>
      <c r="P253" s="304">
        <f t="shared" si="25"/>
        <v>209.49155264673288</v>
      </c>
      <c r="Q253" s="277"/>
      <c r="R253" s="281"/>
      <c r="S253" s="281"/>
      <c r="T253" s="281"/>
      <c r="U253" s="281"/>
      <c r="V253" s="281"/>
      <c r="W253" s="281"/>
      <c r="X253" s="281"/>
      <c r="Y253" s="281"/>
      <c r="Z253" s="281"/>
      <c r="AA253" s="281"/>
      <c r="AB253" s="281"/>
      <c r="AC253" s="281"/>
      <c r="AD253" s="281"/>
    </row>
    <row r="254" spans="1:30" s="288" customFormat="1" x14ac:dyDescent="0.25">
      <c r="A254" s="287"/>
      <c r="B254" s="274">
        <f t="shared" si="26"/>
        <v>239</v>
      </c>
      <c r="C254" s="304">
        <f t="shared" ca="1" si="27"/>
        <v>-291.79674838998471</v>
      </c>
      <c r="D254" s="304">
        <f ca="1">IF(ROUND(E253,0)&lt;&gt;0, IF(ROUND(D253,0)&lt;&gt;0, 'Career Comparison'!$F$28-C254, 0), 0)</f>
        <v>539.59179603725215</v>
      </c>
      <c r="E254" s="304">
        <f ca="1">IF(G$7&gt;=B254, E253*(1+'Government Figures'!$D$8/12)-'Career Comparison'!$F$28, 0)</f>
        <v>145799.6968033759</v>
      </c>
      <c r="F254" s="312">
        <f>'College Schedule'!$L$8*(1+'Government Figures'!$B$8/12)^B254</f>
        <v>3035.2554202614156</v>
      </c>
      <c r="G254" s="278">
        <v>1</v>
      </c>
      <c r="H254" s="279">
        <f t="shared" ca="1" si="30"/>
        <v>0.17320110972991043</v>
      </c>
      <c r="I254" s="304">
        <f>G254*('College Schedule'!$L$9)*(1+'Government Figures'!$B$8/12)^B254</f>
        <v>6759.3686981471647</v>
      </c>
      <c r="J254" s="304">
        <f t="shared" ca="1" si="28"/>
        <v>2305.5880706457724</v>
      </c>
      <c r="K254" s="304">
        <f t="shared" ca="1" si="24"/>
        <v>1040.8044669215963</v>
      </c>
      <c r="L254" s="278">
        <v>1</v>
      </c>
      <c r="M254" s="279">
        <f t="shared" si="31"/>
        <v>0.13735784313725496</v>
      </c>
      <c r="N254" s="304">
        <f>L254*('College Schedule'!$L$10)*(1+'Government Figures'!$B$8/12)^B254</f>
        <v>4055.6212188882996</v>
      </c>
      <c r="O254" s="304">
        <f t="shared" si="29"/>
        <v>463.2944154187021</v>
      </c>
      <c r="P254" s="304">
        <f t="shared" si="25"/>
        <v>209.14356003436279</v>
      </c>
      <c r="Q254" s="277"/>
      <c r="R254" s="281"/>
      <c r="S254" s="281"/>
      <c r="T254" s="281"/>
      <c r="U254" s="281"/>
      <c r="V254" s="281"/>
      <c r="W254" s="281"/>
      <c r="X254" s="281"/>
      <c r="Y254" s="281"/>
      <c r="Z254" s="281"/>
      <c r="AA254" s="281"/>
      <c r="AB254" s="281"/>
      <c r="AC254" s="281"/>
      <c r="AD254" s="281"/>
    </row>
    <row r="255" spans="1:30" s="288" customFormat="1" x14ac:dyDescent="0.25">
      <c r="A255" s="287"/>
      <c r="B255" s="274">
        <f t="shared" si="26"/>
        <v>240</v>
      </c>
      <c r="C255" s="304">
        <f t="shared" ca="1" si="27"/>
        <v>-292.87882799861836</v>
      </c>
      <c r="D255" s="304">
        <f ca="1">IF(ROUND(E254,0)&lt;&gt;0, IF(ROUND(D254,0)&lt;&gt;0, 'Career Comparison'!$F$28-C255, 0), 0)</f>
        <v>540.6738756458858</v>
      </c>
      <c r="E255" s="304">
        <f ca="1">IF(G$7&gt;=B255, E254*(1+'Government Figures'!$D$8/12)-'Career Comparison'!$F$28, 0)</f>
        <v>146092.57563137452</v>
      </c>
      <c r="F255" s="312">
        <f>'College Schedule'!$L$8*(1+'Government Figures'!$B$8/12)^B255</f>
        <v>3040.3141792951851</v>
      </c>
      <c r="G255" s="278">
        <v>1</v>
      </c>
      <c r="H255" s="279">
        <f t="shared" ca="1" si="30"/>
        <v>0.17320110972991043</v>
      </c>
      <c r="I255" s="304">
        <f>G255*('College Schedule'!$L$9)*(1+'Government Figures'!$B$8/12)^B255</f>
        <v>6770.6343126440779</v>
      </c>
      <c r="J255" s="304">
        <f t="shared" ca="1" si="28"/>
        <v>2309.8437091762617</v>
      </c>
      <c r="K255" s="304">
        <f t="shared" ca="1" si="24"/>
        <v>1039.2613720417976</v>
      </c>
      <c r="L255" s="278">
        <v>1</v>
      </c>
      <c r="M255" s="279">
        <f t="shared" si="31"/>
        <v>0.13735784313725496</v>
      </c>
      <c r="N255" s="304">
        <f>L255*('College Schedule'!$L$10)*(1+'Government Figures'!$B$8/12)^B255</f>
        <v>4062.3805875864477</v>
      </c>
      <c r="O255" s="304">
        <f t="shared" si="29"/>
        <v>464.06657277773365</v>
      </c>
      <c r="P255" s="304">
        <f t="shared" si="25"/>
        <v>208.79614548281089</v>
      </c>
      <c r="Q255" s="277"/>
      <c r="R255" s="281"/>
      <c r="S255" s="281"/>
      <c r="T255" s="281"/>
      <c r="U255" s="281"/>
      <c r="V255" s="281"/>
      <c r="W255" s="281"/>
      <c r="X255" s="281"/>
      <c r="Y255" s="281"/>
      <c r="Z255" s="281"/>
      <c r="AA255" s="281"/>
      <c r="AB255" s="281"/>
      <c r="AC255" s="281"/>
      <c r="AD255" s="281"/>
    </row>
    <row r="256" spans="1:30" s="288" customFormat="1" x14ac:dyDescent="0.25">
      <c r="A256" s="287"/>
      <c r="B256" s="274">
        <f t="shared" si="26"/>
        <v>241</v>
      </c>
      <c r="C256" s="304">
        <f t="shared" ca="1" si="27"/>
        <v>-293.96492031909293</v>
      </c>
      <c r="D256" s="304">
        <f ca="1">IF(ROUND(E255,0)&lt;&gt;0, IF(ROUND(D255,0)&lt;&gt;0, 'Career Comparison'!$F$28-C256, 0), 0)</f>
        <v>541.75996796636036</v>
      </c>
      <c r="E256" s="304">
        <f ca="1">IF(G$7&gt;=B256, E255*(1+'Government Figures'!$D$8/12)-'Career Comparison'!$F$28, 0)</f>
        <v>146386.54055169362</v>
      </c>
      <c r="F256" s="312">
        <f>'College Schedule'!$L$8*(1+'Government Figures'!$B$8/12)^B256</f>
        <v>3045.3813695940107</v>
      </c>
      <c r="G256" s="278">
        <v>1</v>
      </c>
      <c r="H256" s="279">
        <f t="shared" ca="1" si="30"/>
        <v>0.17320110972991043</v>
      </c>
      <c r="I256" s="304">
        <f>G256*('College Schedule'!$L$9)*(1+'Government Figures'!$B$8/12)^B256</f>
        <v>6781.9187031651518</v>
      </c>
      <c r="J256" s="304">
        <f t="shared" ca="1" si="28"/>
        <v>2314.1064404376343</v>
      </c>
      <c r="K256" s="304">
        <f t="shared" ca="1" si="24"/>
        <v>1037.7202231129788</v>
      </c>
      <c r="L256" s="278">
        <v>1</v>
      </c>
      <c r="M256" s="279">
        <f t="shared" si="31"/>
        <v>0.13735784313725496</v>
      </c>
      <c r="N256" s="304">
        <f>L256*('College Schedule'!$L$10)*(1+'Government Figures'!$B$8/12)^B256</f>
        <v>4069.151221899092</v>
      </c>
      <c r="O256" s="304">
        <f t="shared" si="29"/>
        <v>464.84001706569643</v>
      </c>
      <c r="P256" s="304">
        <f t="shared" si="25"/>
        <v>208.44930803184269</v>
      </c>
      <c r="Q256" s="277"/>
      <c r="R256" s="281"/>
      <c r="S256" s="281"/>
      <c r="T256" s="281"/>
      <c r="U256" s="281"/>
      <c r="V256" s="281"/>
      <c r="W256" s="281"/>
      <c r="X256" s="281"/>
      <c r="Y256" s="281"/>
      <c r="Z256" s="281"/>
      <c r="AA256" s="281"/>
      <c r="AB256" s="281"/>
      <c r="AC256" s="281"/>
      <c r="AD256" s="281"/>
    </row>
    <row r="257" spans="1:30" s="288" customFormat="1" x14ac:dyDescent="0.25">
      <c r="A257" s="287"/>
      <c r="B257" s="274">
        <f t="shared" si="26"/>
        <v>242</v>
      </c>
      <c r="C257" s="304">
        <f t="shared" ca="1" si="27"/>
        <v>-295.05504023193498</v>
      </c>
      <c r="D257" s="304">
        <f ca="1">IF(ROUND(E256,0)&lt;&gt;0, IF(ROUND(D256,0)&lt;&gt;0, 'Career Comparison'!$F$28-C257, 0), 0)</f>
        <v>542.85008787920242</v>
      </c>
      <c r="E257" s="304">
        <f ca="1">IF(G$7&gt;=B257, E256*(1+'Government Figures'!$D$8/12)-'Career Comparison'!$F$28, 0)</f>
        <v>146681.59559192555</v>
      </c>
      <c r="F257" s="312">
        <f>'College Schedule'!$L$8*(1+'Government Figures'!$B$8/12)^B257</f>
        <v>3050.4570052100003</v>
      </c>
      <c r="G257" s="278">
        <v>1</v>
      </c>
      <c r="H257" s="279">
        <f t="shared" ca="1" si="30"/>
        <v>0.17320110972991043</v>
      </c>
      <c r="I257" s="304">
        <f>G257*('College Schedule'!$L$9)*(1+'Government Figures'!$B$8/12)^B257</f>
        <v>6793.2219010037606</v>
      </c>
      <c r="J257" s="304">
        <f t="shared" ca="1" si="28"/>
        <v>2318.3762762511096</v>
      </c>
      <c r="K257" s="304">
        <f t="shared" ca="1" si="24"/>
        <v>1036.1810189535929</v>
      </c>
      <c r="L257" s="278">
        <v>1</v>
      </c>
      <c r="M257" s="279">
        <f t="shared" si="31"/>
        <v>0.13735784313725496</v>
      </c>
      <c r="N257" s="304">
        <f>L257*('College Schedule'!$L$10)*(1+'Government Figures'!$B$8/12)^B257</f>
        <v>4075.933140602257</v>
      </c>
      <c r="O257" s="304">
        <f t="shared" si="29"/>
        <v>465.61475042747315</v>
      </c>
      <c r="P257" s="304">
        <f t="shared" si="25"/>
        <v>208.10304672281995</v>
      </c>
      <c r="Q257" s="277"/>
      <c r="R257" s="281"/>
      <c r="S257" s="281"/>
      <c r="T257" s="281"/>
      <c r="U257" s="281"/>
      <c r="V257" s="281"/>
      <c r="W257" s="281"/>
      <c r="X257" s="281"/>
      <c r="Y257" s="281"/>
      <c r="Z257" s="281"/>
      <c r="AA257" s="281"/>
      <c r="AB257" s="281"/>
      <c r="AC257" s="281"/>
      <c r="AD257" s="281"/>
    </row>
    <row r="258" spans="1:30" s="288" customFormat="1" x14ac:dyDescent="0.25">
      <c r="A258" s="287"/>
      <c r="B258" s="274">
        <f t="shared" si="26"/>
        <v>243</v>
      </c>
      <c r="C258" s="304">
        <f t="shared" ca="1" si="27"/>
        <v>-296.14920267282287</v>
      </c>
      <c r="D258" s="304">
        <f ca="1">IF(ROUND(E257,0)&lt;&gt;0, IF(ROUND(D257,0)&lt;&gt;0, 'Career Comparison'!$F$28-C258, 0), 0)</f>
        <v>543.9442503200903</v>
      </c>
      <c r="E258" s="304">
        <f ca="1">IF(G$7&gt;=B258, E257*(1+'Government Figures'!$D$8/12)-'Career Comparison'!$F$28, 0)</f>
        <v>146977.74479459837</v>
      </c>
      <c r="F258" s="312">
        <f>'College Schedule'!$L$8*(1+'Government Figures'!$B$8/12)^B258</f>
        <v>3055.5411002186843</v>
      </c>
      <c r="G258" s="278">
        <v>1</v>
      </c>
      <c r="H258" s="279">
        <f t="shared" ca="1" si="30"/>
        <v>0.17320110972991043</v>
      </c>
      <c r="I258" s="304">
        <f>G258*('College Schedule'!$L$9)*(1+'Government Figures'!$B$8/12)^B258</f>
        <v>6804.5439375054348</v>
      </c>
      <c r="J258" s="304">
        <f t="shared" ca="1" si="28"/>
        <v>2322.6532284576078</v>
      </c>
      <c r="K258" s="304">
        <f t="shared" ca="1" si="24"/>
        <v>1034.6437583772399</v>
      </c>
      <c r="L258" s="278">
        <v>1</v>
      </c>
      <c r="M258" s="279">
        <f t="shared" si="31"/>
        <v>0.13735784313725496</v>
      </c>
      <c r="N258" s="304">
        <f>L258*('College Schedule'!$L$10)*(1+'Government Figures'!$B$8/12)^B258</f>
        <v>4082.7263625032615</v>
      </c>
      <c r="O258" s="304">
        <f t="shared" si="29"/>
        <v>466.3907750115186</v>
      </c>
      <c r="P258" s="304">
        <f t="shared" si="25"/>
        <v>207.75736059869541</v>
      </c>
      <c r="Q258" s="277"/>
      <c r="R258" s="281"/>
      <c r="S258" s="281"/>
      <c r="T258" s="281"/>
      <c r="U258" s="281"/>
      <c r="V258" s="281"/>
      <c r="W258" s="281"/>
      <c r="X258" s="281"/>
      <c r="Y258" s="281"/>
      <c r="Z258" s="281"/>
      <c r="AA258" s="281"/>
      <c r="AB258" s="281"/>
      <c r="AC258" s="281"/>
      <c r="AD258" s="281"/>
    </row>
    <row r="259" spans="1:30" s="288" customFormat="1" x14ac:dyDescent="0.25">
      <c r="A259" s="287"/>
      <c r="B259" s="274">
        <f t="shared" si="26"/>
        <v>244</v>
      </c>
      <c r="C259" s="304">
        <f t="shared" ca="1" si="27"/>
        <v>-297.2474226327322</v>
      </c>
      <c r="D259" s="304">
        <f ca="1">IF(ROUND(E258,0)&lt;&gt;0, IF(ROUND(D258,0)&lt;&gt;0, 'Career Comparison'!$F$28-C259, 0), 0)</f>
        <v>545.04247027999963</v>
      </c>
      <c r="E259" s="304">
        <f ca="1">IF(G$7&gt;=B259, E258*(1+'Government Figures'!$D$8/12)-'Career Comparison'!$F$28, 0)</f>
        <v>147274.99221723111</v>
      </c>
      <c r="F259" s="312">
        <f>'College Schedule'!$L$8*(1+'Government Figures'!$B$8/12)^B259</f>
        <v>3060.6336687190492</v>
      </c>
      <c r="G259" s="278">
        <v>1</v>
      </c>
      <c r="H259" s="279">
        <f t="shared" ca="1" si="30"/>
        <v>0.17320110972991043</v>
      </c>
      <c r="I259" s="304">
        <f>G259*('College Schedule'!$L$9)*(1+'Government Figures'!$B$8/12)^B259</f>
        <v>6815.884844067944</v>
      </c>
      <c r="J259" s="304">
        <f t="shared" ca="1" si="28"/>
        <v>2326.9373089177816</v>
      </c>
      <c r="K259" s="304">
        <f t="shared" ca="1" si="24"/>
        <v>1033.1084401927008</v>
      </c>
      <c r="L259" s="278">
        <v>1</v>
      </c>
      <c r="M259" s="279">
        <f t="shared" si="31"/>
        <v>0.13735784313725496</v>
      </c>
      <c r="N259" s="304">
        <f>L259*('College Schedule'!$L$10)*(1+'Government Figures'!$B$8/12)^B259</f>
        <v>4089.530906440767</v>
      </c>
      <c r="O259" s="304">
        <f t="shared" si="29"/>
        <v>467.16809296987094</v>
      </c>
      <c r="P259" s="304">
        <f t="shared" si="25"/>
        <v>207.41224870401314</v>
      </c>
      <c r="Q259" s="277"/>
      <c r="R259" s="281"/>
      <c r="S259" s="281"/>
      <c r="T259" s="281"/>
      <c r="U259" s="281"/>
      <c r="V259" s="281"/>
      <c r="W259" s="281"/>
      <c r="X259" s="281"/>
      <c r="Y259" s="281"/>
      <c r="Z259" s="281"/>
      <c r="AA259" s="281"/>
      <c r="AB259" s="281"/>
      <c r="AC259" s="281"/>
      <c r="AD259" s="281"/>
    </row>
    <row r="260" spans="1:30" s="288" customFormat="1" x14ac:dyDescent="0.25">
      <c r="A260" s="287"/>
      <c r="B260" s="274">
        <f t="shared" si="26"/>
        <v>245</v>
      </c>
      <c r="C260" s="304">
        <f t="shared" ca="1" si="27"/>
        <v>-298.34971515831421</v>
      </c>
      <c r="D260" s="304">
        <f ca="1">IF(ROUND(E259,0)&lt;&gt;0, IF(ROUND(D259,0)&lt;&gt;0, 'Career Comparison'!$F$28-C260, 0), 0)</f>
        <v>546.14476280558165</v>
      </c>
      <c r="E260" s="304">
        <f ca="1">IF(G$7&gt;=B260, E259*(1+'Government Figures'!$D$8/12)-'Career Comparison'!$F$28, 0)</f>
        <v>147573.34193238942</v>
      </c>
      <c r="F260" s="312">
        <f>'College Schedule'!$L$8*(1+'Government Figures'!$B$8/12)^B260</f>
        <v>3065.7347248335814</v>
      </c>
      <c r="G260" s="278">
        <v>1</v>
      </c>
      <c r="H260" s="279">
        <f t="shared" ca="1" si="30"/>
        <v>0.17320110972991043</v>
      </c>
      <c r="I260" s="304">
        <f>G260*('College Schedule'!$L$9)*(1+'Government Figures'!$B$8/12)^B260</f>
        <v>6827.2446521413913</v>
      </c>
      <c r="J260" s="304">
        <f t="shared" ca="1" si="28"/>
        <v>2331.2285295120573</v>
      </c>
      <c r="K260" s="304">
        <f t="shared" ca="1" si="24"/>
        <v>1031.5750632039671</v>
      </c>
      <c r="L260" s="278">
        <v>1</v>
      </c>
      <c r="M260" s="279">
        <f t="shared" si="31"/>
        <v>0.13735784313725496</v>
      </c>
      <c r="N260" s="304">
        <f>L260*('College Schedule'!$L$10)*(1+'Government Figures'!$B$8/12)^B260</f>
        <v>4096.3467912848355</v>
      </c>
      <c r="O260" s="304">
        <f t="shared" si="29"/>
        <v>467.94670645815404</v>
      </c>
      <c r="P260" s="304">
        <f t="shared" si="25"/>
        <v>207.06771008490347</v>
      </c>
      <c r="Q260" s="277"/>
      <c r="R260" s="281"/>
      <c r="S260" s="281"/>
      <c r="T260" s="281"/>
      <c r="U260" s="281"/>
      <c r="V260" s="281"/>
      <c r="W260" s="281"/>
      <c r="X260" s="281"/>
      <c r="Y260" s="281"/>
      <c r="Z260" s="281"/>
      <c r="AA260" s="281"/>
      <c r="AB260" s="281"/>
      <c r="AC260" s="281"/>
      <c r="AD260" s="281"/>
    </row>
    <row r="261" spans="1:30" s="288" customFormat="1" x14ac:dyDescent="0.25">
      <c r="A261" s="287"/>
      <c r="B261" s="274">
        <f t="shared" si="26"/>
        <v>246</v>
      </c>
      <c r="C261" s="304">
        <f t="shared" ca="1" si="27"/>
        <v>-299.4560953520413</v>
      </c>
      <c r="D261" s="304">
        <f ca="1">IF(ROUND(E260,0)&lt;&gt;0, IF(ROUND(D260,0)&lt;&gt;0, 'Career Comparison'!$F$28-C261, 0), 0)</f>
        <v>547.25114299930874</v>
      </c>
      <c r="E261" s="304">
        <f ca="1">IF(G$7&gt;=B261, E260*(1+'Government Figures'!$D$8/12)-'Career Comparison'!$F$28, 0)</f>
        <v>147872.79802774146</v>
      </c>
      <c r="F261" s="312">
        <f>'College Schedule'!$L$8*(1+'Government Figures'!$B$8/12)^B261</f>
        <v>3070.8442827083036</v>
      </c>
      <c r="G261" s="278">
        <v>1</v>
      </c>
      <c r="H261" s="279">
        <f t="shared" ca="1" si="30"/>
        <v>0.17320110972991043</v>
      </c>
      <c r="I261" s="304">
        <f>G261*('College Schedule'!$L$9)*(1+'Government Figures'!$B$8/12)^B261</f>
        <v>6838.623393228293</v>
      </c>
      <c r="J261" s="304">
        <f t="shared" ca="1" si="28"/>
        <v>2335.5269021406561</v>
      </c>
      <c r="K261" s="304">
        <f t="shared" ca="1" si="24"/>
        <v>1030.0436262102696</v>
      </c>
      <c r="L261" s="278">
        <v>1</v>
      </c>
      <c r="M261" s="279">
        <f t="shared" si="31"/>
        <v>0.13735784313725496</v>
      </c>
      <c r="N261" s="304">
        <f>L261*('College Schedule'!$L$10)*(1+'Government Figures'!$B$8/12)^B261</f>
        <v>4103.1740359369769</v>
      </c>
      <c r="O261" s="304">
        <f t="shared" si="29"/>
        <v>468.72661763558472</v>
      </c>
      <c r="P261" s="304">
        <f t="shared" si="25"/>
        <v>206.72374378908148</v>
      </c>
      <c r="Q261" s="277"/>
      <c r="R261" s="281"/>
      <c r="S261" s="281"/>
      <c r="T261" s="281"/>
      <c r="U261" s="281"/>
      <c r="V261" s="281"/>
      <c r="W261" s="281"/>
      <c r="X261" s="281"/>
      <c r="Y261" s="281"/>
      <c r="Z261" s="281"/>
      <c r="AA261" s="281"/>
      <c r="AB261" s="281"/>
      <c r="AC261" s="281"/>
      <c r="AD261" s="281"/>
    </row>
    <row r="262" spans="1:30" s="288" customFormat="1" x14ac:dyDescent="0.25">
      <c r="A262" s="287"/>
      <c r="B262" s="274">
        <f t="shared" si="26"/>
        <v>247</v>
      </c>
      <c r="C262" s="304">
        <f t="shared" ca="1" si="27"/>
        <v>-300.56657837229432</v>
      </c>
      <c r="D262" s="304">
        <f ca="1">IF(ROUND(E261,0)&lt;&gt;0, IF(ROUND(D261,0)&lt;&gt;0, 'Career Comparison'!$F$28-C262, 0), 0)</f>
        <v>548.36162601956175</v>
      </c>
      <c r="E262" s="304">
        <f ca="1">IF(G$7&gt;=B262, E261*(1+'Government Figures'!$D$8/12)-'Career Comparison'!$F$28, 0)</f>
        <v>148173.36460611376</v>
      </c>
      <c r="F262" s="312">
        <f>'College Schedule'!$L$8*(1+'Government Figures'!$B$8/12)^B262</f>
        <v>3075.9623565128172</v>
      </c>
      <c r="G262" s="278">
        <v>1</v>
      </c>
      <c r="H262" s="279">
        <f t="shared" ca="1" si="30"/>
        <v>0.17320110972991043</v>
      </c>
      <c r="I262" s="304">
        <f>G262*('College Schedule'!$L$9)*(1+'Government Figures'!$B$8/12)^B262</f>
        <v>6850.0210988836734</v>
      </c>
      <c r="J262" s="304">
        <f t="shared" ca="1" si="28"/>
        <v>2339.8324387236362</v>
      </c>
      <c r="K262" s="304">
        <f t="shared" ca="1" si="24"/>
        <v>1028.5141280061118</v>
      </c>
      <c r="L262" s="278">
        <v>1</v>
      </c>
      <c r="M262" s="279">
        <f t="shared" si="31"/>
        <v>0.13735784313725496</v>
      </c>
      <c r="N262" s="304">
        <f>L262*('College Schedule'!$L$10)*(1+'Government Figures'!$B$8/12)^B262</f>
        <v>4110.0126593302048</v>
      </c>
      <c r="O262" s="304">
        <f t="shared" si="29"/>
        <v>469.5078286649773</v>
      </c>
      <c r="P262" s="304">
        <f t="shared" si="25"/>
        <v>206.38034886584379</v>
      </c>
      <c r="Q262" s="277"/>
      <c r="R262" s="281"/>
      <c r="S262" s="281"/>
      <c r="T262" s="281"/>
      <c r="U262" s="281"/>
      <c r="V262" s="281"/>
      <c r="W262" s="281"/>
      <c r="X262" s="281"/>
      <c r="Y262" s="281"/>
      <c r="Z262" s="281"/>
      <c r="AA262" s="281"/>
      <c r="AB262" s="281"/>
      <c r="AC262" s="281"/>
      <c r="AD262" s="281"/>
    </row>
    <row r="263" spans="1:30" s="288" customFormat="1" x14ac:dyDescent="0.25">
      <c r="A263" s="287"/>
      <c r="B263" s="274">
        <f t="shared" si="26"/>
        <v>248</v>
      </c>
      <c r="C263" s="304">
        <f t="shared" ca="1" si="27"/>
        <v>-301.68117943377001</v>
      </c>
      <c r="D263" s="304">
        <f ca="1">IF(ROUND(E262,0)&lt;&gt;0, IF(ROUND(D262,0)&lt;&gt;0, 'Career Comparison'!$F$28-C263, 0), 0)</f>
        <v>549.47622708103745</v>
      </c>
      <c r="E263" s="304">
        <f ca="1">IF(G$7&gt;=B263, E262*(1+'Government Figures'!$D$8/12)-'Career Comparison'!$F$28, 0)</f>
        <v>148475.04578554753</v>
      </c>
      <c r="F263" s="312">
        <f>'College Schedule'!$L$8*(1+'Government Figures'!$B$8/12)^B263</f>
        <v>3081.0889604403396</v>
      </c>
      <c r="G263" s="278">
        <v>1</v>
      </c>
      <c r="H263" s="279">
        <f t="shared" ca="1" si="30"/>
        <v>0.17320110972991043</v>
      </c>
      <c r="I263" s="304">
        <f>G263*('College Schedule'!$L$9)*(1+'Government Figures'!$B$8/12)^B263</f>
        <v>6861.4378007151481</v>
      </c>
      <c r="J263" s="304">
        <f t="shared" ca="1" si="28"/>
        <v>2344.1451512009216</v>
      </c>
      <c r="K263" s="304">
        <f t="shared" ca="1" si="24"/>
        <v>1026.9865673812974</v>
      </c>
      <c r="L263" s="278">
        <v>1</v>
      </c>
      <c r="M263" s="279">
        <f t="shared" si="31"/>
        <v>0.13735784313725496</v>
      </c>
      <c r="N263" s="304">
        <f>L263*('College Schedule'!$L$10)*(1+'Government Figures'!$B$8/12)^B263</f>
        <v>4116.8626804290898</v>
      </c>
      <c r="O263" s="304">
        <f t="shared" si="29"/>
        <v>470.29034171275225</v>
      </c>
      <c r="P263" s="304">
        <f t="shared" si="25"/>
        <v>206.03752436606663</v>
      </c>
      <c r="Q263" s="277"/>
      <c r="R263" s="281"/>
      <c r="S263" s="281"/>
      <c r="T263" s="281"/>
      <c r="U263" s="281"/>
      <c r="V263" s="281"/>
      <c r="W263" s="281"/>
      <c r="X263" s="281"/>
      <c r="Y263" s="281"/>
      <c r="Z263" s="281"/>
      <c r="AA263" s="281"/>
      <c r="AB263" s="281"/>
      <c r="AC263" s="281"/>
      <c r="AD263" s="281"/>
    </row>
    <row r="264" spans="1:30" s="288" customFormat="1" x14ac:dyDescent="0.25">
      <c r="A264" s="287"/>
      <c r="B264" s="274">
        <f t="shared" si="26"/>
        <v>249</v>
      </c>
      <c r="C264" s="304">
        <f t="shared" ca="1" si="27"/>
        <v>-302.79991380748106</v>
      </c>
      <c r="D264" s="304">
        <f ca="1">IF(ROUND(E263,0)&lt;&gt;0, IF(ROUND(D263,0)&lt;&gt;0, 'Career Comparison'!$F$28-C264, 0), 0)</f>
        <v>550.5949614547485</v>
      </c>
      <c r="E264" s="304">
        <f ca="1">IF(G$7&gt;=B264, E263*(1+'Government Figures'!$D$8/12)-'Career Comparison'!$F$28, 0)</f>
        <v>148777.84569935501</v>
      </c>
      <c r="F264" s="312">
        <f>'College Schedule'!$L$8*(1+'Government Figures'!$B$8/12)^B264</f>
        <v>3086.22410870774</v>
      </c>
      <c r="G264" s="278">
        <v>1</v>
      </c>
      <c r="H264" s="279">
        <f t="shared" ca="1" si="30"/>
        <v>0.17320110972991043</v>
      </c>
      <c r="I264" s="304">
        <f>G264*('College Schedule'!$L$9)*(1+'Government Figures'!$B$8/12)^B264</f>
        <v>6872.8735303830072</v>
      </c>
      <c r="J264" s="304">
        <f t="shared" ca="1" si="28"/>
        <v>2348.465051532336</v>
      </c>
      <c r="K264" s="304">
        <f t="shared" ca="1" si="24"/>
        <v>1025.4609431209612</v>
      </c>
      <c r="L264" s="278">
        <v>1</v>
      </c>
      <c r="M264" s="279">
        <f t="shared" si="31"/>
        <v>0.13735784313725496</v>
      </c>
      <c r="N264" s="304">
        <f>L264*('College Schedule'!$L$10)*(1+'Government Figures'!$B$8/12)^B264</f>
        <v>4123.7241182298048</v>
      </c>
      <c r="O264" s="304">
        <f t="shared" si="29"/>
        <v>471.07415894894029</v>
      </c>
      <c r="P264" s="304">
        <f t="shared" si="25"/>
        <v>205.69526934220275</v>
      </c>
      <c r="Q264" s="277"/>
      <c r="R264" s="281"/>
      <c r="S264" s="281"/>
      <c r="T264" s="281"/>
      <c r="U264" s="281"/>
      <c r="V264" s="281"/>
      <c r="W264" s="281"/>
      <c r="X264" s="281"/>
      <c r="Y264" s="281"/>
      <c r="Z264" s="281"/>
      <c r="AA264" s="281"/>
      <c r="AB264" s="281"/>
      <c r="AC264" s="281"/>
      <c r="AD264" s="281"/>
    </row>
    <row r="265" spans="1:30" s="288" customFormat="1" x14ac:dyDescent="0.25">
      <c r="A265" s="287"/>
      <c r="B265" s="274">
        <f t="shared" si="26"/>
        <v>250</v>
      </c>
      <c r="C265" s="304">
        <f t="shared" ca="1" si="27"/>
        <v>-303.92279682119261</v>
      </c>
      <c r="D265" s="304">
        <f ca="1">IF(ROUND(E264,0)&lt;&gt;0, IF(ROUND(D264,0)&lt;&gt;0, 'Career Comparison'!$F$28-C265, 0), 0)</f>
        <v>551.71784446846004</v>
      </c>
      <c r="E265" s="304">
        <f ca="1">IF(G$7&gt;=B265, E264*(1+'Government Figures'!$D$8/12)-'Career Comparison'!$F$28, 0)</f>
        <v>149081.7684961762</v>
      </c>
      <c r="F265" s="312">
        <f>'College Schedule'!$L$8*(1+'Government Figures'!$B$8/12)^B265</f>
        <v>3091.3678155555867</v>
      </c>
      <c r="G265" s="278">
        <v>1</v>
      </c>
      <c r="H265" s="279">
        <f t="shared" ca="1" si="30"/>
        <v>0.17320110972991043</v>
      </c>
      <c r="I265" s="304">
        <f>G265*('College Schedule'!$L$9)*(1+'Government Figures'!$B$8/12)^B265</f>
        <v>6884.3283196003122</v>
      </c>
      <c r="J265" s="304">
        <f t="shared" ca="1" si="28"/>
        <v>2352.7921516976348</v>
      </c>
      <c r="K265" s="304">
        <f t="shared" ca="1" si="24"/>
        <v>1023.9372540055994</v>
      </c>
      <c r="L265" s="278">
        <v>1</v>
      </c>
      <c r="M265" s="279">
        <f t="shared" si="31"/>
        <v>0.13735784313725496</v>
      </c>
      <c r="N265" s="304">
        <f>L265*('College Schedule'!$L$10)*(1+'Government Figures'!$B$8/12)^B265</f>
        <v>4130.5969917601878</v>
      </c>
      <c r="O265" s="304">
        <f t="shared" si="29"/>
        <v>471.85928254718783</v>
      </c>
      <c r="P265" s="304">
        <f t="shared" si="25"/>
        <v>205.35358284827851</v>
      </c>
      <c r="Q265" s="277"/>
      <c r="R265" s="281"/>
      <c r="S265" s="281"/>
      <c r="T265" s="281"/>
      <c r="U265" s="281"/>
      <c r="V265" s="281"/>
      <c r="W265" s="281"/>
      <c r="X265" s="281"/>
      <c r="Y265" s="281"/>
      <c r="Z265" s="281"/>
      <c r="AA265" s="281"/>
      <c r="AB265" s="281"/>
      <c r="AC265" s="281"/>
      <c r="AD265" s="281"/>
    </row>
    <row r="266" spans="1:30" s="288" customFormat="1" x14ac:dyDescent="0.25">
      <c r="A266" s="287"/>
      <c r="B266" s="274">
        <f t="shared" si="26"/>
        <v>251</v>
      </c>
      <c r="C266" s="304">
        <f t="shared" ca="1" si="27"/>
        <v>-305.04984385939315</v>
      </c>
      <c r="D266" s="304">
        <f ca="1">IF(ROUND(E265,0)&lt;&gt;0, IF(ROUND(D265,0)&lt;&gt;0, 'Career Comparison'!$F$28-C266, 0), 0)</f>
        <v>552.84489150666059</v>
      </c>
      <c r="E266" s="304">
        <f ca="1">IF(G$7&gt;=B266, E265*(1+'Government Figures'!$D$8/12)-'Career Comparison'!$F$28, 0)</f>
        <v>149386.81834003559</v>
      </c>
      <c r="F266" s="312">
        <f>'College Schedule'!$L$8*(1+'Government Figures'!$B$8/12)^B266</f>
        <v>3096.5200952481796</v>
      </c>
      <c r="G266" s="278">
        <v>1</v>
      </c>
      <c r="H266" s="279">
        <f t="shared" ca="1" si="30"/>
        <v>0.17320110972991043</v>
      </c>
      <c r="I266" s="304">
        <f>G266*('College Schedule'!$L$9)*(1+'Government Figures'!$B$8/12)^B266</f>
        <v>6895.80220013298</v>
      </c>
      <c r="J266" s="304">
        <f t="shared" ca="1" si="28"/>
        <v>2357.1264636965434</v>
      </c>
      <c r="K266" s="304">
        <f t="shared" ca="1" si="24"/>
        <v>1022.4154988111</v>
      </c>
      <c r="L266" s="278">
        <v>1</v>
      </c>
      <c r="M266" s="279">
        <f t="shared" si="31"/>
        <v>0.13735784313725496</v>
      </c>
      <c r="N266" s="304">
        <f>L266*('College Schedule'!$L$10)*(1+'Government Figures'!$B$8/12)^B266</f>
        <v>4137.4813200797889</v>
      </c>
      <c r="O266" s="304">
        <f t="shared" si="29"/>
        <v>472.64571468476697</v>
      </c>
      <c r="P266" s="304">
        <f t="shared" si="25"/>
        <v>205.01246393989288</v>
      </c>
      <c r="Q266" s="277"/>
      <c r="R266" s="281"/>
      <c r="S266" s="281"/>
      <c r="T266" s="281"/>
      <c r="U266" s="281"/>
      <c r="V266" s="281"/>
      <c r="W266" s="281"/>
      <c r="X266" s="281"/>
      <c r="Y266" s="281"/>
      <c r="Z266" s="281"/>
      <c r="AA266" s="281"/>
      <c r="AB266" s="281"/>
      <c r="AC266" s="281"/>
      <c r="AD266" s="281"/>
    </row>
    <row r="267" spans="1:30" s="288" customFormat="1" x14ac:dyDescent="0.25">
      <c r="A267" s="287"/>
      <c r="B267" s="274">
        <f t="shared" si="26"/>
        <v>252</v>
      </c>
      <c r="C267" s="304">
        <f t="shared" ca="1" si="27"/>
        <v>-306.18107036373112</v>
      </c>
      <c r="D267" s="304">
        <f ca="1">IF(ROUND(E266,0)&lt;&gt;0, IF(ROUND(D266,0)&lt;&gt;0, 'Career Comparison'!$F$28-C267, 0), 0)</f>
        <v>553.97611801099856</v>
      </c>
      <c r="E267" s="304">
        <f ca="1">IF(G$7&gt;=B267, E266*(1+'Government Figures'!$D$8/12)-'Career Comparison'!$F$28, 0)</f>
        <v>149692.99941039932</v>
      </c>
      <c r="F267" s="312">
        <f>'College Schedule'!$L$8*(1+'Government Figures'!$B$8/12)^B267</f>
        <v>3101.6809620735926</v>
      </c>
      <c r="G267" s="278">
        <v>1</v>
      </c>
      <c r="H267" s="279">
        <f t="shared" ca="1" si="30"/>
        <v>0.17320110972991043</v>
      </c>
      <c r="I267" s="304">
        <f>G267*('College Schedule'!$L$9)*(1+'Government Figures'!$B$8/12)^B267</f>
        <v>6907.2952037998675</v>
      </c>
      <c r="J267" s="304">
        <f t="shared" ca="1" si="28"/>
        <v>2361.4679995487822</v>
      </c>
      <c r="K267" s="304">
        <f t="shared" ca="1" si="24"/>
        <v>1020.89567630877</v>
      </c>
      <c r="L267" s="278">
        <v>1</v>
      </c>
      <c r="M267" s="279">
        <f t="shared" si="31"/>
        <v>0.13735784313725496</v>
      </c>
      <c r="N267" s="304">
        <f>L267*('College Schedule'!$L$10)*(1+'Government Figures'!$B$8/12)^B267</f>
        <v>4144.3771222799214</v>
      </c>
      <c r="O267" s="304">
        <f t="shared" si="29"/>
        <v>473.43345754257507</v>
      </c>
      <c r="P267" s="304">
        <f t="shared" si="25"/>
        <v>204.67191167421203</v>
      </c>
      <c r="Q267" s="277"/>
      <c r="R267" s="281"/>
      <c r="S267" s="281"/>
      <c r="T267" s="281"/>
      <c r="U267" s="281"/>
      <c r="V267" s="281"/>
      <c r="W267" s="281"/>
      <c r="X267" s="281"/>
      <c r="Y267" s="281"/>
      <c r="Z267" s="281"/>
      <c r="AA267" s="281"/>
      <c r="AB267" s="281"/>
      <c r="AC267" s="281"/>
      <c r="AD267" s="281"/>
    </row>
    <row r="268" spans="1:30" s="288" customFormat="1" x14ac:dyDescent="0.25">
      <c r="A268" s="287"/>
      <c r="B268" s="274">
        <f t="shared" si="26"/>
        <v>253</v>
      </c>
      <c r="C268" s="304">
        <f t="shared" ca="1" si="27"/>
        <v>-307.31649183298578</v>
      </c>
      <c r="D268" s="304">
        <f ca="1">IF(ROUND(E267,0)&lt;&gt;0, IF(ROUND(D267,0)&lt;&gt;0, 'Career Comparison'!$F$28-C268, 0), 0)</f>
        <v>555.11153948025321</v>
      </c>
      <c r="E268" s="304">
        <f ca="1">IF(G$7&gt;=B268, E267*(1+'Government Figures'!$D$8/12)-'Career Comparison'!$F$28, 0)</f>
        <v>150000.31590223231</v>
      </c>
      <c r="F268" s="312">
        <f>'College Schedule'!$L$8*(1+'Government Figures'!$B$8/12)^B268</f>
        <v>3106.8504303437162</v>
      </c>
      <c r="G268" s="278">
        <v>1</v>
      </c>
      <c r="H268" s="279">
        <f t="shared" ca="1" si="30"/>
        <v>0.17320110972991043</v>
      </c>
      <c r="I268" s="304">
        <f>G268*('College Schedule'!$L$9)*(1+'Government Figures'!$B$8/12)^B268</f>
        <v>6918.8073624728686</v>
      </c>
      <c r="J268" s="304">
        <f t="shared" ca="1" si="28"/>
        <v>2365.8167712941095</v>
      </c>
      <c r="K268" s="304">
        <f t="shared" ca="1" si="24"/>
        <v>1019.3777852653698</v>
      </c>
      <c r="L268" s="278">
        <v>1</v>
      </c>
      <c r="M268" s="279">
        <f t="shared" si="31"/>
        <v>0.13735784313725496</v>
      </c>
      <c r="N268" s="304">
        <f>L268*('College Schedule'!$L$10)*(1+'Government Figures'!$B$8/12)^B268</f>
        <v>4151.2844174837219</v>
      </c>
      <c r="O268" s="304">
        <f t="shared" si="29"/>
        <v>474.22251330514564</v>
      </c>
      <c r="P268" s="304">
        <f t="shared" si="25"/>
        <v>204.33192510996903</v>
      </c>
      <c r="Q268" s="277"/>
      <c r="R268" s="281"/>
      <c r="S268" s="281"/>
      <c r="T268" s="281"/>
      <c r="U268" s="281"/>
      <c r="V268" s="281"/>
      <c r="W268" s="281"/>
      <c r="X268" s="281"/>
      <c r="Y268" s="281"/>
      <c r="Z268" s="281"/>
      <c r="AA268" s="281"/>
      <c r="AB268" s="281"/>
      <c r="AC268" s="281"/>
      <c r="AD268" s="281"/>
    </row>
    <row r="269" spans="1:30" s="288" customFormat="1" x14ac:dyDescent="0.25">
      <c r="A269" s="287"/>
      <c r="B269" s="274">
        <f t="shared" si="26"/>
        <v>254</v>
      </c>
      <c r="C269" s="304">
        <f t="shared" ca="1" si="27"/>
        <v>-308.45612382353283</v>
      </c>
      <c r="D269" s="304">
        <f ca="1">IF(ROUND(E268,0)&lt;&gt;0, IF(ROUND(D268,0)&lt;&gt;0, 'Career Comparison'!$F$28-C269, 0), 0)</f>
        <v>556.25117147080027</v>
      </c>
      <c r="E269" s="304">
        <f ca="1">IF(G$7&gt;=B269, E268*(1+'Government Figures'!$D$8/12)-'Career Comparison'!$F$28, 0)</f>
        <v>150308.77202605584</v>
      </c>
      <c r="F269" s="312">
        <f>'College Schedule'!$L$8*(1+'Government Figures'!$B$8/12)^B269</f>
        <v>3112.0285143942888</v>
      </c>
      <c r="G269" s="278">
        <v>1</v>
      </c>
      <c r="H269" s="279">
        <f t="shared" ca="1" si="30"/>
        <v>0.17320110972991043</v>
      </c>
      <c r="I269" s="304">
        <f>G269*('College Schedule'!$L$9)*(1+'Government Figures'!$B$8/12)^B269</f>
        <v>6930.3387080769908</v>
      </c>
      <c r="J269" s="304">
        <f t="shared" ca="1" si="28"/>
        <v>2370.1727909923457</v>
      </c>
      <c r="K269" s="304">
        <f t="shared" ca="1" si="24"/>
        <v>1017.8618244431358</v>
      </c>
      <c r="L269" s="278">
        <v>1</v>
      </c>
      <c r="M269" s="279">
        <f t="shared" si="31"/>
        <v>0.13735784313725496</v>
      </c>
      <c r="N269" s="304">
        <f>L269*('College Schedule'!$L$10)*(1+'Government Figures'!$B$8/12)^B269</f>
        <v>4158.2032248461946</v>
      </c>
      <c r="O269" s="304">
        <f t="shared" si="29"/>
        <v>475.01288416065472</v>
      </c>
      <c r="P269" s="304">
        <f t="shared" si="25"/>
        <v>203.99250330746094</v>
      </c>
      <c r="Q269" s="277"/>
      <c r="R269" s="281"/>
      <c r="S269" s="281"/>
      <c r="T269" s="281"/>
      <c r="U269" s="281"/>
      <c r="V269" s="281"/>
      <c r="W269" s="281"/>
      <c r="X269" s="281"/>
      <c r="Y269" s="281"/>
      <c r="Z269" s="281"/>
      <c r="AA269" s="281"/>
      <c r="AB269" s="281"/>
      <c r="AC269" s="281"/>
      <c r="AD269" s="281"/>
    </row>
    <row r="270" spans="1:30" s="288" customFormat="1" x14ac:dyDescent="0.25">
      <c r="A270" s="287"/>
      <c r="B270" s="274">
        <f t="shared" si="26"/>
        <v>255</v>
      </c>
      <c r="C270" s="304">
        <f t="shared" ca="1" si="27"/>
        <v>-309.59998194937361</v>
      </c>
      <c r="D270" s="304">
        <f ca="1">IF(ROUND(E269,0)&lt;&gt;0, IF(ROUND(D269,0)&lt;&gt;0, 'Career Comparison'!$F$28-C270, 0), 0)</f>
        <v>557.39502959664105</v>
      </c>
      <c r="E270" s="304">
        <f ca="1">IF(G$7&gt;=B270, E269*(1+'Government Figures'!$D$8/12)-'Career Comparison'!$F$28, 0)</f>
        <v>150618.37200800522</v>
      </c>
      <c r="F270" s="312">
        <f>'College Schedule'!$L$8*(1+'Government Figures'!$B$8/12)^B270</f>
        <v>3117.2152285849465</v>
      </c>
      <c r="G270" s="278">
        <v>1</v>
      </c>
      <c r="H270" s="279">
        <f t="shared" ca="1" si="30"/>
        <v>0.17320110972991043</v>
      </c>
      <c r="I270" s="304">
        <f>G270*('College Schedule'!$L$9)*(1+'Government Figures'!$B$8/12)^B270</f>
        <v>6941.8892725904534</v>
      </c>
      <c r="J270" s="304">
        <f t="shared" ca="1" si="28"/>
        <v>2374.5360707234122</v>
      </c>
      <c r="K270" s="304">
        <f t="shared" ca="1" si="24"/>
        <v>1016.3477925998162</v>
      </c>
      <c r="L270" s="278">
        <v>1</v>
      </c>
      <c r="M270" s="279">
        <f t="shared" si="31"/>
        <v>0.13735784313725496</v>
      </c>
      <c r="N270" s="304">
        <f>L270*('College Schedule'!$L$10)*(1+'Government Figures'!$B$8/12)^B270</f>
        <v>4165.1335635542728</v>
      </c>
      <c r="O270" s="304">
        <f t="shared" si="29"/>
        <v>475.8045723009227</v>
      </c>
      <c r="P270" s="304">
        <f t="shared" si="25"/>
        <v>203.65364532854494</v>
      </c>
      <c r="Q270" s="277"/>
      <c r="R270" s="281"/>
      <c r="S270" s="281"/>
      <c r="T270" s="281"/>
      <c r="U270" s="281"/>
      <c r="V270" s="281"/>
      <c r="W270" s="281"/>
      <c r="X270" s="281"/>
      <c r="Y270" s="281"/>
      <c r="Z270" s="281"/>
      <c r="AA270" s="281"/>
      <c r="AB270" s="281"/>
      <c r="AC270" s="281"/>
      <c r="AD270" s="281"/>
    </row>
    <row r="271" spans="1:30" s="288" customFormat="1" x14ac:dyDescent="0.25">
      <c r="A271" s="287"/>
      <c r="B271" s="274">
        <f t="shared" si="26"/>
        <v>256</v>
      </c>
      <c r="C271" s="304">
        <f t="shared" ca="1" si="27"/>
        <v>-310.74808188242605</v>
      </c>
      <c r="D271" s="304">
        <f ca="1">IF(ROUND(E270,0)&lt;&gt;0, IF(ROUND(D270,0)&lt;&gt;0, 'Career Comparison'!$F$28-C271, 0), 0)</f>
        <v>558.54312952969349</v>
      </c>
      <c r="E271" s="304">
        <f ca="1">IF(G$7&gt;=B271, E270*(1+'Government Figures'!$D$8/12)-'Career Comparison'!$F$28, 0)</f>
        <v>150929.12008988764</v>
      </c>
      <c r="F271" s="312">
        <f>'College Schedule'!$L$8*(1+'Government Figures'!$B$8/12)^B271</f>
        <v>3122.4105872992554</v>
      </c>
      <c r="G271" s="278">
        <v>1</v>
      </c>
      <c r="H271" s="279">
        <f t="shared" ca="1" si="30"/>
        <v>0.17320110972991043</v>
      </c>
      <c r="I271" s="304">
        <f>G271*('College Schedule'!$L$9)*(1+'Government Figures'!$B$8/12)^B271</f>
        <v>6953.4590880447713</v>
      </c>
      <c r="J271" s="304">
        <f t="shared" ca="1" si="28"/>
        <v>2378.906622587363</v>
      </c>
      <c r="K271" s="304">
        <f t="shared" ref="K271:K334" ca="1" si="32">J271/(1+($G$9/12))^B271</f>
        <v>1014.8356884886963</v>
      </c>
      <c r="L271" s="278">
        <v>1</v>
      </c>
      <c r="M271" s="279">
        <f t="shared" si="31"/>
        <v>0.13735784313725496</v>
      </c>
      <c r="N271" s="304">
        <f>L271*('College Schedule'!$L$10)*(1+'Government Figures'!$B$8/12)^B271</f>
        <v>4172.0754528268635</v>
      </c>
      <c r="O271" s="304">
        <f t="shared" si="29"/>
        <v>476.59757992142386</v>
      </c>
      <c r="P271" s="304">
        <f t="shared" ref="P271:P334" si="33">O271/(1+($G$9/12))^B271</f>
        <v>203.31535023663687</v>
      </c>
      <c r="Q271" s="277"/>
      <c r="R271" s="281"/>
      <c r="S271" s="281"/>
      <c r="T271" s="281"/>
      <c r="U271" s="281"/>
      <c r="V271" s="281"/>
      <c r="W271" s="281"/>
      <c r="X271" s="281"/>
      <c r="Y271" s="281"/>
      <c r="Z271" s="281"/>
      <c r="AA271" s="281"/>
      <c r="AB271" s="281"/>
      <c r="AC271" s="281"/>
      <c r="AD271" s="281"/>
    </row>
    <row r="272" spans="1:30" s="288" customFormat="1" x14ac:dyDescent="0.25">
      <c r="A272" s="287"/>
      <c r="B272" s="274">
        <f t="shared" ref="B272:B335" si="34">B271+1</f>
        <v>257</v>
      </c>
      <c r="C272" s="304">
        <f t="shared" ref="C272:C335" ca="1" si="35">E271-E272</f>
        <v>-311.90043935275753</v>
      </c>
      <c r="D272" s="304">
        <f ca="1">IF(ROUND(E271,0)&lt;&gt;0, IF(ROUND(D271,0)&lt;&gt;0, 'Career Comparison'!$F$28-C272, 0), 0)</f>
        <v>559.69548700002497</v>
      </c>
      <c r="E272" s="304">
        <f ca="1">IF(G$7&gt;=B272, E271*(1+'Government Figures'!$D$8/12)-'Career Comparison'!$F$28, 0)</f>
        <v>151241.0205292404</v>
      </c>
      <c r="F272" s="312">
        <f>'College Schedule'!$L$8*(1+'Government Figures'!$B$8/12)^B272</f>
        <v>3127.6146049447543</v>
      </c>
      <c r="G272" s="278">
        <v>1</v>
      </c>
      <c r="H272" s="279">
        <f t="shared" ca="1" si="30"/>
        <v>0.17320110972991043</v>
      </c>
      <c r="I272" s="304">
        <f>G272*('College Schedule'!$L$9)*(1+'Government Figures'!$B$8/12)^B272</f>
        <v>6965.0481865248466</v>
      </c>
      <c r="J272" s="304">
        <f t="shared" ref="J272:J335" ca="1" si="36">I272*(1-H272)-F272-C272-D272</f>
        <v>2383.2844587044215</v>
      </c>
      <c r="K272" s="304">
        <f t="shared" ca="1" si="32"/>
        <v>1013.3255108586297</v>
      </c>
      <c r="L272" s="278">
        <v>1</v>
      </c>
      <c r="M272" s="279">
        <f t="shared" si="31"/>
        <v>0.13735784313725496</v>
      </c>
      <c r="N272" s="304">
        <f>L272*('College Schedule'!$L$10)*(1+'Government Figures'!$B$8/12)^B272</f>
        <v>4179.0289119149083</v>
      </c>
      <c r="O272" s="304">
        <f t="shared" ref="O272:O335" si="37">N272*(1-M272)-F272</f>
        <v>477.39190922129274</v>
      </c>
      <c r="P272" s="304">
        <f t="shared" si="33"/>
        <v>202.97761709670883</v>
      </c>
      <c r="Q272" s="277"/>
      <c r="R272" s="281"/>
      <c r="S272" s="281"/>
      <c r="T272" s="281"/>
      <c r="U272" s="281"/>
      <c r="V272" s="281"/>
      <c r="W272" s="281"/>
      <c r="X272" s="281"/>
      <c r="Y272" s="281"/>
      <c r="Z272" s="281"/>
      <c r="AA272" s="281"/>
      <c r="AB272" s="281"/>
      <c r="AC272" s="281"/>
      <c r="AD272" s="281"/>
    </row>
    <row r="273" spans="1:30" s="288" customFormat="1" x14ac:dyDescent="0.25">
      <c r="A273" s="287"/>
      <c r="B273" s="274">
        <f t="shared" si="34"/>
        <v>258</v>
      </c>
      <c r="C273" s="304">
        <f t="shared" ca="1" si="35"/>
        <v>-313.05707014867221</v>
      </c>
      <c r="D273" s="304">
        <f ca="1">IF(ROUND(E272,0)&lt;&gt;0, IF(ROUND(D272,0)&lt;&gt;0, 'Career Comparison'!$F$28-C273, 0), 0)</f>
        <v>560.85211779593965</v>
      </c>
      <c r="E273" s="304">
        <f ca="1">IF(G$7&gt;=B273, E272*(1+'Government Figures'!$D$8/12)-'Career Comparison'!$F$28, 0)</f>
        <v>151554.07759938907</v>
      </c>
      <c r="F273" s="312">
        <f>'College Schedule'!$L$8*(1+'Government Figures'!$B$8/12)^B273</f>
        <v>3132.8272959529954</v>
      </c>
      <c r="G273" s="278">
        <v>1</v>
      </c>
      <c r="H273" s="279">
        <f t="shared" ca="1" si="30"/>
        <v>0.17320110972991043</v>
      </c>
      <c r="I273" s="304">
        <f>G273*('College Schedule'!$L$9)*(1+'Government Figures'!$B$8/12)^B273</f>
        <v>6976.6566001690553</v>
      </c>
      <c r="J273" s="304">
        <f t="shared" ca="1" si="36"/>
        <v>2387.669591215008</v>
      </c>
      <c r="K273" s="304">
        <f t="shared" ca="1" si="32"/>
        <v>1011.8172584540649</v>
      </c>
      <c r="L273" s="278">
        <v>1</v>
      </c>
      <c r="M273" s="279">
        <f t="shared" si="31"/>
        <v>0.13735784313725496</v>
      </c>
      <c r="N273" s="304">
        <f>L273*('College Schedule'!$L$10)*(1+'Government Figures'!$B$8/12)^B273</f>
        <v>4185.9939601014339</v>
      </c>
      <c r="O273" s="304">
        <f t="shared" si="37"/>
        <v>478.18756240332914</v>
      </c>
      <c r="P273" s="304">
        <f t="shared" si="33"/>
        <v>202.64044497528607</v>
      </c>
      <c r="Q273" s="277"/>
      <c r="R273" s="281"/>
      <c r="S273" s="281"/>
      <c r="T273" s="281"/>
      <c r="U273" s="281"/>
      <c r="V273" s="281"/>
      <c r="W273" s="281"/>
      <c r="X273" s="281"/>
      <c r="Y273" s="281"/>
      <c r="Z273" s="281"/>
      <c r="AA273" s="281"/>
      <c r="AB273" s="281"/>
      <c r="AC273" s="281"/>
      <c r="AD273" s="281"/>
    </row>
    <row r="274" spans="1:30" s="288" customFormat="1" x14ac:dyDescent="0.25">
      <c r="A274" s="287"/>
      <c r="B274" s="274">
        <f t="shared" si="34"/>
        <v>259</v>
      </c>
      <c r="C274" s="304">
        <f t="shared" ca="1" si="35"/>
        <v>-314.21799011714756</v>
      </c>
      <c r="D274" s="304">
        <f ca="1">IF(ROUND(E273,0)&lt;&gt;0, IF(ROUND(D273,0)&lt;&gt;0, 'Career Comparison'!$F$28-C274, 0), 0)</f>
        <v>562.013037764415</v>
      </c>
      <c r="E274" s="304">
        <f ca="1">IF(G$7&gt;=B274, E273*(1+'Government Figures'!$D$8/12)-'Career Comparison'!$F$28, 0)</f>
        <v>151868.29558950622</v>
      </c>
      <c r="F274" s="312">
        <f>'College Schedule'!$L$8*(1+'Government Figures'!$B$8/12)^B274</f>
        <v>3138.048674779584</v>
      </c>
      <c r="G274" s="278">
        <v>1</v>
      </c>
      <c r="H274" s="279">
        <f t="shared" ref="H274:H337" ca="1" si="38">H273</f>
        <v>0.17320110972991043</v>
      </c>
      <c r="I274" s="304">
        <f>G274*('College Schedule'!$L$9)*(1+'Government Figures'!$B$8/12)^B274</f>
        <v>6988.284361169337</v>
      </c>
      <c r="J274" s="304">
        <f t="shared" ca="1" si="36"/>
        <v>2392.0620322797781</v>
      </c>
      <c r="K274" s="304">
        <f t="shared" ca="1" si="32"/>
        <v>1010.3109300150769</v>
      </c>
      <c r="L274" s="278">
        <v>1</v>
      </c>
      <c r="M274" s="279">
        <f t="shared" ref="M274:M337" si="39">M273</f>
        <v>0.13735784313725496</v>
      </c>
      <c r="N274" s="304">
        <f>L274*('College Schedule'!$L$10)*(1+'Government Figures'!$B$8/12)^B274</f>
        <v>4192.9706167016029</v>
      </c>
      <c r="O274" s="304">
        <f t="shared" si="37"/>
        <v>478.98454167400087</v>
      </c>
      <c r="P274" s="304">
        <f t="shared" si="33"/>
        <v>202.30383294044316</v>
      </c>
      <c r="Q274" s="277"/>
      <c r="R274" s="281"/>
      <c r="S274" s="281"/>
      <c r="T274" s="281"/>
      <c r="U274" s="281"/>
      <c r="V274" s="281"/>
      <c r="W274" s="281"/>
      <c r="X274" s="281"/>
      <c r="Y274" s="281"/>
      <c r="Z274" s="281"/>
      <c r="AA274" s="281"/>
      <c r="AB274" s="281"/>
      <c r="AC274" s="281"/>
      <c r="AD274" s="281"/>
    </row>
    <row r="275" spans="1:30" s="288" customFormat="1" x14ac:dyDescent="0.25">
      <c r="A275" s="287"/>
      <c r="B275" s="274">
        <f t="shared" si="34"/>
        <v>260</v>
      </c>
      <c r="C275" s="304">
        <f t="shared" ca="1" si="35"/>
        <v>-315.38321516383439</v>
      </c>
      <c r="D275" s="304">
        <f ca="1">IF(ROUND(E274,0)&lt;&gt;0, IF(ROUND(D274,0)&lt;&gt;0, 'Career Comparison'!$F$28-C275, 0), 0)</f>
        <v>563.17826281110183</v>
      </c>
      <c r="E275" s="304">
        <f ca="1">IF(G$7&gt;=B275, E274*(1+'Government Figures'!$D$8/12)-'Career Comparison'!$F$28, 0)</f>
        <v>152183.67880467005</v>
      </c>
      <c r="F275" s="312">
        <f>'College Schedule'!$L$8*(1+'Government Figures'!$B$8/12)^B275</f>
        <v>3143.2787559042172</v>
      </c>
      <c r="G275" s="278">
        <v>1</v>
      </c>
      <c r="H275" s="279">
        <f t="shared" ca="1" si="38"/>
        <v>0.17320110972991043</v>
      </c>
      <c r="I275" s="304">
        <f>G275*('College Schedule'!$L$9)*(1+'Government Figures'!$B$8/12)^B275</f>
        <v>6999.931501771287</v>
      </c>
      <c r="J275" s="304">
        <f t="shared" ca="1" si="36"/>
        <v>2396.4617940796566</v>
      </c>
      <c r="K275" s="304">
        <f t="shared" ca="1" si="32"/>
        <v>1008.8065242773947</v>
      </c>
      <c r="L275" s="278">
        <v>1</v>
      </c>
      <c r="M275" s="279">
        <f t="shared" si="39"/>
        <v>0.13735784313725496</v>
      </c>
      <c r="N275" s="304">
        <f>L275*('College Schedule'!$L$10)*(1+'Government Figures'!$B$8/12)^B275</f>
        <v>4199.9589010627733</v>
      </c>
      <c r="O275" s="304">
        <f t="shared" si="37"/>
        <v>479.7828492434578</v>
      </c>
      <c r="P275" s="304">
        <f t="shared" si="33"/>
        <v>201.96778006180469</v>
      </c>
      <c r="Q275" s="277"/>
      <c r="R275" s="281"/>
      <c r="S275" s="281"/>
      <c r="T275" s="281"/>
      <c r="U275" s="281"/>
      <c r="V275" s="281"/>
      <c r="W275" s="281"/>
      <c r="X275" s="281"/>
      <c r="Y275" s="281"/>
      <c r="Z275" s="281"/>
      <c r="AA275" s="281"/>
      <c r="AB275" s="281"/>
      <c r="AC275" s="281"/>
      <c r="AD275" s="281"/>
    </row>
    <row r="276" spans="1:30" s="288" customFormat="1" x14ac:dyDescent="0.25">
      <c r="A276" s="287"/>
      <c r="B276" s="274">
        <f t="shared" si="34"/>
        <v>261</v>
      </c>
      <c r="C276" s="304">
        <f t="shared" ca="1" si="35"/>
        <v>-316.55276125340606</v>
      </c>
      <c r="D276" s="304">
        <f ca="1">IF(ROUND(E275,0)&lt;&gt;0, IF(ROUND(D275,0)&lt;&gt;0, 'Career Comparison'!$F$28-C276, 0), 0)</f>
        <v>564.3478089006735</v>
      </c>
      <c r="E276" s="304">
        <f ca="1">IF(G$7&gt;=B276, E275*(1+'Government Figures'!$D$8/12)-'Career Comparison'!$F$28, 0)</f>
        <v>152500.23156592346</v>
      </c>
      <c r="F276" s="312">
        <f>'College Schedule'!$L$8*(1+'Government Figures'!$B$8/12)^B276</f>
        <v>3148.5175538307244</v>
      </c>
      <c r="G276" s="278">
        <v>1</v>
      </c>
      <c r="H276" s="279">
        <f t="shared" ca="1" si="38"/>
        <v>0.17320110972991043</v>
      </c>
      <c r="I276" s="304">
        <f>G276*('College Schedule'!$L$9)*(1+'Government Figures'!$B$8/12)^B276</f>
        <v>7011.5980542742391</v>
      </c>
      <c r="J276" s="304">
        <f t="shared" ca="1" si="36"/>
        <v>2400.8688888158686</v>
      </c>
      <c r="K276" s="304">
        <f t="shared" ca="1" si="32"/>
        <v>1007.3040399724291</v>
      </c>
      <c r="L276" s="278">
        <v>1</v>
      </c>
      <c r="M276" s="279">
        <f t="shared" si="39"/>
        <v>0.13735784313725496</v>
      </c>
      <c r="N276" s="304">
        <f>L276*('College Schedule'!$L$10)*(1+'Government Figures'!$B$8/12)^B276</f>
        <v>4206.9588325645445</v>
      </c>
      <c r="O276" s="304">
        <f t="shared" si="37"/>
        <v>480.58248732553011</v>
      </c>
      <c r="P276" s="304">
        <f t="shared" si="33"/>
        <v>201.63228541053914</v>
      </c>
      <c r="Q276" s="277"/>
      <c r="R276" s="281"/>
      <c r="S276" s="281"/>
      <c r="T276" s="281"/>
      <c r="U276" s="281"/>
      <c r="V276" s="281"/>
      <c r="W276" s="281"/>
      <c r="X276" s="281"/>
      <c r="Y276" s="281"/>
      <c r="Z276" s="281"/>
      <c r="AA276" s="281"/>
      <c r="AB276" s="281"/>
      <c r="AC276" s="281"/>
      <c r="AD276" s="281"/>
    </row>
    <row r="277" spans="1:30" s="288" customFormat="1" x14ac:dyDescent="0.25">
      <c r="A277" s="287"/>
      <c r="B277" s="274">
        <f t="shared" si="34"/>
        <v>262</v>
      </c>
      <c r="C277" s="304">
        <f t="shared" ca="1" si="35"/>
        <v>-317.72664440970402</v>
      </c>
      <c r="D277" s="304">
        <f ca="1">IF(ROUND(E276,0)&lt;&gt;0, IF(ROUND(D276,0)&lt;&gt;0, 'Career Comparison'!$F$28-C277, 0), 0)</f>
        <v>565.52169205697146</v>
      </c>
      <c r="E277" s="304">
        <f ca="1">IF(G$7&gt;=B277, E276*(1+'Government Figures'!$D$8/12)-'Career Comparison'!$F$28, 0)</f>
        <v>152817.95821033316</v>
      </c>
      <c r="F277" s="312">
        <f>'College Schedule'!$L$8*(1+'Government Figures'!$B$8/12)^B277</f>
        <v>3153.7650830871089</v>
      </c>
      <c r="G277" s="278">
        <v>1</v>
      </c>
      <c r="H277" s="279">
        <f t="shared" ca="1" si="38"/>
        <v>0.17320110972991043</v>
      </c>
      <c r="I277" s="304">
        <f>G277*('College Schedule'!$L$9)*(1+'Government Figures'!$B$8/12)^B277</f>
        <v>7023.2840510313627</v>
      </c>
      <c r="J277" s="304">
        <f t="shared" ca="1" si="36"/>
        <v>2405.2833287099734</v>
      </c>
      <c r="K277" s="304">
        <f t="shared" ca="1" si="32"/>
        <v>1005.803475827302</v>
      </c>
      <c r="L277" s="278">
        <v>1</v>
      </c>
      <c r="M277" s="279">
        <f t="shared" si="39"/>
        <v>0.13735784313725496</v>
      </c>
      <c r="N277" s="304">
        <f>L277*('College Schedule'!$L$10)*(1+'Government Figures'!$B$8/12)^B277</f>
        <v>4213.9704306188187</v>
      </c>
      <c r="O277" s="304">
        <f t="shared" si="37"/>
        <v>481.38345813773913</v>
      </c>
      <c r="P277" s="304">
        <f t="shared" si="33"/>
        <v>201.29734805935874</v>
      </c>
      <c r="Q277" s="277"/>
      <c r="R277" s="281"/>
      <c r="S277" s="281"/>
      <c r="T277" s="281"/>
      <c r="U277" s="281"/>
      <c r="V277" s="281"/>
      <c r="W277" s="281"/>
      <c r="X277" s="281"/>
      <c r="Y277" s="281"/>
      <c r="Z277" s="281"/>
      <c r="AA277" s="281"/>
      <c r="AB277" s="281"/>
      <c r="AC277" s="281"/>
      <c r="AD277" s="281"/>
    </row>
    <row r="278" spans="1:30" s="288" customFormat="1" x14ac:dyDescent="0.25">
      <c r="A278" s="287"/>
      <c r="B278" s="274">
        <f t="shared" si="34"/>
        <v>263</v>
      </c>
      <c r="C278" s="304">
        <f t="shared" ca="1" si="35"/>
        <v>-318.90488071605796</v>
      </c>
      <c r="D278" s="304">
        <f ca="1">IF(ROUND(E277,0)&lt;&gt;0, IF(ROUND(D277,0)&lt;&gt;0, 'Career Comparison'!$F$28-C278, 0), 0)</f>
        <v>566.6999283633254</v>
      </c>
      <c r="E278" s="304">
        <f ca="1">IF(G$7&gt;=B278, E277*(1+'Government Figures'!$D$8/12)-'Career Comparison'!$F$28, 0)</f>
        <v>153136.86309104922</v>
      </c>
      <c r="F278" s="312">
        <f>'College Schedule'!$L$8*(1+'Government Figures'!$B$8/12)^B278</f>
        <v>3159.0213582255878</v>
      </c>
      <c r="G278" s="278">
        <v>1</v>
      </c>
      <c r="H278" s="279">
        <f t="shared" ca="1" si="38"/>
        <v>0.17320110972991043</v>
      </c>
      <c r="I278" s="304">
        <f>G278*('College Schedule'!$L$9)*(1+'Government Figures'!$B$8/12)^B278</f>
        <v>7034.9895244497493</v>
      </c>
      <c r="J278" s="304">
        <f t="shared" ca="1" si="36"/>
        <v>2409.7051260039025</v>
      </c>
      <c r="K278" s="304">
        <f t="shared" ca="1" si="32"/>
        <v>1004.3048305648754</v>
      </c>
      <c r="L278" s="278">
        <v>1</v>
      </c>
      <c r="M278" s="279">
        <f t="shared" si="39"/>
        <v>0.13735784313725496</v>
      </c>
      <c r="N278" s="304">
        <f>L278*('College Schedule'!$L$10)*(1+'Government Figures'!$B$8/12)^B278</f>
        <v>4220.9937146698503</v>
      </c>
      <c r="O278" s="304">
        <f t="shared" si="37"/>
        <v>482.18576390130193</v>
      </c>
      <c r="P278" s="304">
        <f t="shared" si="33"/>
        <v>200.96296708251586</v>
      </c>
      <c r="Q278" s="277"/>
      <c r="R278" s="281"/>
      <c r="S278" s="281"/>
      <c r="T278" s="281"/>
      <c r="U278" s="281"/>
      <c r="V278" s="281"/>
      <c r="W278" s="281"/>
      <c r="X278" s="281"/>
      <c r="Y278" s="281"/>
      <c r="Z278" s="281"/>
      <c r="AA278" s="281"/>
      <c r="AB278" s="281"/>
      <c r="AC278" s="281"/>
      <c r="AD278" s="281"/>
    </row>
    <row r="279" spans="1:30" s="288" customFormat="1" x14ac:dyDescent="0.25">
      <c r="A279" s="287"/>
      <c r="B279" s="274">
        <f t="shared" si="34"/>
        <v>264</v>
      </c>
      <c r="C279" s="304">
        <f t="shared" ca="1" si="35"/>
        <v>-320.0874863154022</v>
      </c>
      <c r="D279" s="304">
        <f ca="1">IF(ROUND(E278,0)&lt;&gt;0, IF(ROUND(D278,0)&lt;&gt;0, 'Career Comparison'!$F$28-C279, 0), 0)</f>
        <v>567.88253396266964</v>
      </c>
      <c r="E279" s="304">
        <f ca="1">IF(G$7&gt;=B279, E278*(1+'Government Figures'!$D$8/12)-'Career Comparison'!$F$28, 0)</f>
        <v>153456.95057736462</v>
      </c>
      <c r="F279" s="312">
        <f>'College Schedule'!$L$8*(1+'Government Figures'!$B$8/12)^B279</f>
        <v>3164.286393822631</v>
      </c>
      <c r="G279" s="278">
        <v>1</v>
      </c>
      <c r="H279" s="279">
        <f t="shared" ca="1" si="38"/>
        <v>0.17320110972991043</v>
      </c>
      <c r="I279" s="304">
        <f>G279*('College Schedule'!$L$9)*(1+'Government Figures'!$B$8/12)^B279</f>
        <v>7046.7145069905</v>
      </c>
      <c r="J279" s="304">
        <f t="shared" ca="1" si="36"/>
        <v>2414.1342929599882</v>
      </c>
      <c r="K279" s="304">
        <f t="shared" ca="1" si="32"/>
        <v>1002.8081029037788</v>
      </c>
      <c r="L279" s="278">
        <v>1</v>
      </c>
      <c r="M279" s="279">
        <f t="shared" si="39"/>
        <v>0.13735784313725496</v>
      </c>
      <c r="N279" s="304">
        <f>L279*('College Schedule'!$L$10)*(1+'Government Figures'!$B$8/12)^B279</f>
        <v>4228.0287041943011</v>
      </c>
      <c r="O279" s="304">
        <f t="shared" si="37"/>
        <v>482.98940684113813</v>
      </c>
      <c r="P279" s="304">
        <f t="shared" si="33"/>
        <v>200.62914155580106</v>
      </c>
      <c r="Q279" s="277"/>
      <c r="R279" s="281"/>
      <c r="S279" s="281"/>
      <c r="T279" s="281"/>
      <c r="U279" s="281"/>
      <c r="V279" s="281"/>
      <c r="W279" s="281"/>
      <c r="X279" s="281"/>
      <c r="Y279" s="281"/>
      <c r="Z279" s="281"/>
      <c r="AA279" s="281"/>
      <c r="AB279" s="281"/>
      <c r="AC279" s="281"/>
      <c r="AD279" s="281"/>
    </row>
    <row r="280" spans="1:30" s="288" customFormat="1" x14ac:dyDescent="0.25">
      <c r="A280" s="287"/>
      <c r="B280" s="274">
        <f t="shared" si="34"/>
        <v>265</v>
      </c>
      <c r="C280" s="304">
        <f t="shared" ca="1" si="35"/>
        <v>-321.27447741047945</v>
      </c>
      <c r="D280" s="304">
        <f ca="1">IF(ROUND(E279,0)&lt;&gt;0, IF(ROUND(D279,0)&lt;&gt;0, 'Career Comparison'!$F$28-C280, 0), 0)</f>
        <v>569.06952505774689</v>
      </c>
      <c r="E280" s="304">
        <f ca="1">IF(G$7&gt;=B280, E279*(1+'Government Figures'!$D$8/12)-'Career Comparison'!$F$28, 0)</f>
        <v>153778.2250547751</v>
      </c>
      <c r="F280" s="312">
        <f>'College Schedule'!$L$8*(1+'Government Figures'!$B$8/12)^B280</f>
        <v>3169.5602044790016</v>
      </c>
      <c r="G280" s="278">
        <v>1</v>
      </c>
      <c r="H280" s="279">
        <f t="shared" ca="1" si="38"/>
        <v>0.17320110972991043</v>
      </c>
      <c r="I280" s="304">
        <f>G280*('College Schedule'!$L$9)*(1+'Government Figures'!$B$8/12)^B280</f>
        <v>7058.4590311688171</v>
      </c>
      <c r="J280" s="304">
        <f t="shared" ca="1" si="36"/>
        <v>2418.5708418610002</v>
      </c>
      <c r="K280" s="304">
        <f t="shared" ca="1" si="32"/>
        <v>1001.3132915584367</v>
      </c>
      <c r="L280" s="278">
        <v>1</v>
      </c>
      <c r="M280" s="279">
        <f t="shared" si="39"/>
        <v>0.13735784313725496</v>
      </c>
      <c r="N280" s="304">
        <f>L280*('College Schedule'!$L$10)*(1+'Government Figures'!$B$8/12)^B280</f>
        <v>4235.0754187012908</v>
      </c>
      <c r="O280" s="304">
        <f t="shared" si="37"/>
        <v>483.79438918587266</v>
      </c>
      <c r="P280" s="304">
        <f t="shared" si="33"/>
        <v>200.29587055653863</v>
      </c>
      <c r="Q280" s="277"/>
      <c r="R280" s="281"/>
      <c r="S280" s="281"/>
      <c r="T280" s="281"/>
      <c r="U280" s="281"/>
      <c r="V280" s="281"/>
      <c r="W280" s="281"/>
      <c r="X280" s="281"/>
      <c r="Y280" s="281"/>
      <c r="Z280" s="281"/>
      <c r="AA280" s="281"/>
      <c r="AB280" s="281"/>
      <c r="AC280" s="281"/>
      <c r="AD280" s="281"/>
    </row>
    <row r="281" spans="1:30" s="288" customFormat="1" x14ac:dyDescent="0.25">
      <c r="A281" s="287"/>
      <c r="B281" s="274">
        <f t="shared" si="34"/>
        <v>266</v>
      </c>
      <c r="C281" s="304">
        <f t="shared" ca="1" si="35"/>
        <v>-322.46587026421912</v>
      </c>
      <c r="D281" s="304">
        <f ca="1">IF(ROUND(E280,0)&lt;&gt;0, IF(ROUND(D280,0)&lt;&gt;0, 'Career Comparison'!$F$28-C281, 0), 0)</f>
        <v>570.26091791148656</v>
      </c>
      <c r="E281" s="304">
        <f ca="1">IF(G$7&gt;=B281, E280*(1+'Government Figures'!$D$8/12)-'Career Comparison'!$F$28, 0)</f>
        <v>154100.69092503932</v>
      </c>
      <c r="F281" s="312">
        <f>'College Schedule'!$L$8*(1+'Government Figures'!$B$8/12)^B281</f>
        <v>3174.8428048198002</v>
      </c>
      <c r="G281" s="278">
        <v>1</v>
      </c>
      <c r="H281" s="279">
        <f t="shared" ca="1" si="38"/>
        <v>0.17320110972991043</v>
      </c>
      <c r="I281" s="304">
        <f>G281*('College Schedule'!$L$9)*(1+'Government Figures'!$B$8/12)^B281</f>
        <v>7070.2231295540987</v>
      </c>
      <c r="J281" s="304">
        <f t="shared" ca="1" si="36"/>
        <v>2423.0147850101807</v>
      </c>
      <c r="K281" s="304">
        <f t="shared" ca="1" si="32"/>
        <v>999.8203952390985</v>
      </c>
      <c r="L281" s="278">
        <v>1</v>
      </c>
      <c r="M281" s="279">
        <f t="shared" si="39"/>
        <v>0.13735784313725496</v>
      </c>
      <c r="N281" s="304">
        <f>L281*('College Schedule'!$L$10)*(1+'Government Figures'!$B$8/12)^B281</f>
        <v>4242.13387773246</v>
      </c>
      <c r="O281" s="304">
        <f t="shared" si="37"/>
        <v>484.60071316784934</v>
      </c>
      <c r="P281" s="304">
        <f t="shared" si="33"/>
        <v>199.96315316358763</v>
      </c>
      <c r="Q281" s="277"/>
      <c r="R281" s="281"/>
      <c r="S281" s="281"/>
      <c r="T281" s="281"/>
      <c r="U281" s="281"/>
      <c r="V281" s="281"/>
      <c r="W281" s="281"/>
      <c r="X281" s="281"/>
      <c r="Y281" s="281"/>
      <c r="Z281" s="281"/>
      <c r="AA281" s="281"/>
      <c r="AB281" s="281"/>
      <c r="AC281" s="281"/>
      <c r="AD281" s="281"/>
    </row>
    <row r="282" spans="1:30" s="288" customFormat="1" x14ac:dyDescent="0.25">
      <c r="A282" s="287"/>
      <c r="B282" s="274">
        <f t="shared" si="34"/>
        <v>267</v>
      </c>
      <c r="C282" s="304">
        <f t="shared" ca="1" si="35"/>
        <v>-323.66168119976646</v>
      </c>
      <c r="D282" s="304">
        <f ca="1">IF(ROUND(E281,0)&lt;&gt;0, IF(ROUND(D281,0)&lt;&gt;0, 'Career Comparison'!$F$28-C282, 0), 0)</f>
        <v>571.4567288470339</v>
      </c>
      <c r="E282" s="304">
        <f ca="1">IF(G$7&gt;=B282, E281*(1+'Government Figures'!$D$8/12)-'Career Comparison'!$F$28, 0)</f>
        <v>154424.35260623909</v>
      </c>
      <c r="F282" s="312">
        <f>'College Schedule'!$L$8*(1+'Government Figures'!$B$8/12)^B282</f>
        <v>3180.1342094944998</v>
      </c>
      <c r="G282" s="278">
        <v>1</v>
      </c>
      <c r="H282" s="279">
        <f t="shared" ca="1" si="38"/>
        <v>0.17320110972991043</v>
      </c>
      <c r="I282" s="304">
        <f>G282*('College Schedule'!$L$9)*(1+'Government Figures'!$B$8/12)^B282</f>
        <v>7082.0068347700226</v>
      </c>
      <c r="J282" s="304">
        <f t="shared" ca="1" si="36"/>
        <v>2427.4661347312767</v>
      </c>
      <c r="K282" s="304">
        <f t="shared" ca="1" si="32"/>
        <v>998.32941265186457</v>
      </c>
      <c r="L282" s="278">
        <v>1</v>
      </c>
      <c r="M282" s="279">
        <f t="shared" si="39"/>
        <v>0.13735784313725496</v>
      </c>
      <c r="N282" s="304">
        <f>L282*('College Schedule'!$L$10)*(1+'Government Figures'!$B$8/12)^B282</f>
        <v>4249.2041008620145</v>
      </c>
      <c r="O282" s="304">
        <f t="shared" si="37"/>
        <v>485.40838102312955</v>
      </c>
      <c r="P282" s="304">
        <f t="shared" si="33"/>
        <v>199.63098845733595</v>
      </c>
      <c r="Q282" s="277"/>
      <c r="R282" s="281"/>
      <c r="S282" s="281"/>
      <c r="T282" s="281"/>
      <c r="U282" s="281"/>
      <c r="V282" s="281"/>
      <c r="W282" s="281"/>
      <c r="X282" s="281"/>
      <c r="Y282" s="281"/>
      <c r="Z282" s="281"/>
      <c r="AA282" s="281"/>
      <c r="AB282" s="281"/>
      <c r="AC282" s="281"/>
      <c r="AD282" s="281"/>
    </row>
    <row r="283" spans="1:30" s="288" customFormat="1" x14ac:dyDescent="0.25">
      <c r="A283" s="287"/>
      <c r="B283" s="274">
        <f t="shared" si="34"/>
        <v>268</v>
      </c>
      <c r="C283" s="304">
        <f t="shared" ca="1" si="35"/>
        <v>-324.86192660089</v>
      </c>
      <c r="D283" s="304">
        <f ca="1">IF(ROUND(E282,0)&lt;&gt;0, IF(ROUND(D282,0)&lt;&gt;0, 'Career Comparison'!$F$28-C283, 0), 0)</f>
        <v>572.65697424815744</v>
      </c>
      <c r="E283" s="304">
        <f ca="1">IF(G$7&gt;=B283, E282*(1+'Government Figures'!$D$8/12)-'Career Comparison'!$F$28, 0)</f>
        <v>154749.21453283998</v>
      </c>
      <c r="F283" s="312">
        <f>'College Schedule'!$L$8*(1+'Government Figures'!$B$8/12)^B283</f>
        <v>3185.4344331769912</v>
      </c>
      <c r="G283" s="278">
        <v>1</v>
      </c>
      <c r="H283" s="279">
        <f t="shared" ca="1" si="38"/>
        <v>0.17320110972991043</v>
      </c>
      <c r="I283" s="304">
        <f>G283*('College Schedule'!$L$9)*(1+'Government Figures'!$B$8/12)^B283</f>
        <v>7093.8101794946406</v>
      </c>
      <c r="J283" s="304">
        <f t="shared" ca="1" si="36"/>
        <v>2431.9249033685755</v>
      </c>
      <c r="K283" s="304">
        <f t="shared" ca="1" si="32"/>
        <v>996.84034249871627</v>
      </c>
      <c r="L283" s="278">
        <v>1</v>
      </c>
      <c r="M283" s="279">
        <f t="shared" si="39"/>
        <v>0.13735784313725496</v>
      </c>
      <c r="N283" s="304">
        <f>L283*('College Schedule'!$L$10)*(1+'Government Figures'!$B$8/12)^B283</f>
        <v>4256.2861076967847</v>
      </c>
      <c r="O283" s="304">
        <f t="shared" si="37"/>
        <v>486.2173949915009</v>
      </c>
      <c r="P283" s="304">
        <f t="shared" si="33"/>
        <v>199.29937551969897</v>
      </c>
      <c r="Q283" s="277"/>
      <c r="R283" s="281"/>
      <c r="S283" s="281"/>
      <c r="T283" s="281"/>
      <c r="U283" s="281"/>
      <c r="V283" s="281"/>
      <c r="W283" s="281"/>
      <c r="X283" s="281"/>
      <c r="Y283" s="281"/>
      <c r="Z283" s="281"/>
      <c r="AA283" s="281"/>
      <c r="AB283" s="281"/>
      <c r="AC283" s="281"/>
      <c r="AD283" s="281"/>
    </row>
    <row r="284" spans="1:30" s="288" customFormat="1" x14ac:dyDescent="0.25">
      <c r="A284" s="287"/>
      <c r="B284" s="274">
        <f t="shared" si="34"/>
        <v>269</v>
      </c>
      <c r="C284" s="304">
        <f t="shared" ca="1" si="35"/>
        <v>-326.06662291203975</v>
      </c>
      <c r="D284" s="304">
        <f ca="1">IF(ROUND(E283,0)&lt;&gt;0, IF(ROUND(D283,0)&lt;&gt;0, 'Career Comparison'!$F$28-C284, 0), 0)</f>
        <v>573.86167055930719</v>
      </c>
      <c r="E284" s="304">
        <f ca="1">IF(G$7&gt;=B284, E283*(1+'Government Figures'!$D$8/12)-'Career Comparison'!$F$28, 0)</f>
        <v>155075.28115575202</v>
      </c>
      <c r="F284" s="312">
        <f>'College Schedule'!$L$8*(1+'Government Figures'!$B$8/12)^B284</f>
        <v>3190.7434905656196</v>
      </c>
      <c r="G284" s="278">
        <v>1</v>
      </c>
      <c r="H284" s="279">
        <f t="shared" ca="1" si="38"/>
        <v>0.17320110972991043</v>
      </c>
      <c r="I284" s="304">
        <f>G284*('College Schedule'!$L$9)*(1+'Government Figures'!$B$8/12)^B284</f>
        <v>7105.6331964604651</v>
      </c>
      <c r="J284" s="304">
        <f t="shared" ca="1" si="36"/>
        <v>2436.3911032869346</v>
      </c>
      <c r="K284" s="304">
        <f t="shared" ca="1" si="32"/>
        <v>995.35318347753946</v>
      </c>
      <c r="L284" s="278">
        <v>1</v>
      </c>
      <c r="M284" s="279">
        <f t="shared" si="39"/>
        <v>0.13735784313725496</v>
      </c>
      <c r="N284" s="304">
        <f>L284*('College Schedule'!$L$10)*(1+'Government Figures'!$B$8/12)^B284</f>
        <v>4263.3799178762793</v>
      </c>
      <c r="O284" s="304">
        <f t="shared" si="37"/>
        <v>487.02775731648671</v>
      </c>
      <c r="P284" s="304">
        <f t="shared" si="33"/>
        <v>198.9683134341181</v>
      </c>
      <c r="Q284" s="277"/>
      <c r="R284" s="281"/>
      <c r="S284" s="281"/>
      <c r="T284" s="281"/>
      <c r="U284" s="281"/>
      <c r="V284" s="281"/>
      <c r="W284" s="281"/>
      <c r="X284" s="281"/>
      <c r="Y284" s="281"/>
      <c r="Z284" s="281"/>
      <c r="AA284" s="281"/>
      <c r="AB284" s="281"/>
      <c r="AC284" s="281"/>
      <c r="AD284" s="281"/>
    </row>
    <row r="285" spans="1:30" s="288" customFormat="1" x14ac:dyDescent="0.25">
      <c r="A285" s="287"/>
      <c r="B285" s="274">
        <f t="shared" si="34"/>
        <v>270</v>
      </c>
      <c r="C285" s="304">
        <f t="shared" ca="1" si="35"/>
        <v>-327.27578663866734</v>
      </c>
      <c r="D285" s="304">
        <f ca="1">IF(ROUND(E284,0)&lt;&gt;0, IF(ROUND(D284,0)&lt;&gt;0, 'Career Comparison'!$F$28-C285, 0), 0)</f>
        <v>575.07083428593478</v>
      </c>
      <c r="E285" s="304">
        <f ca="1">IF(G$7&gt;=B285, E284*(1+'Government Figures'!$D$8/12)-'Career Comparison'!$F$28, 0)</f>
        <v>155402.55694239069</v>
      </c>
      <c r="F285" s="312">
        <f>'College Schedule'!$L$8*(1+'Government Figures'!$B$8/12)^B285</f>
        <v>3196.0613963832297</v>
      </c>
      <c r="G285" s="278">
        <v>1</v>
      </c>
      <c r="H285" s="279">
        <f t="shared" ca="1" si="38"/>
        <v>0.17320110972991043</v>
      </c>
      <c r="I285" s="304">
        <f>G285*('College Schedule'!$L$9)*(1+'Government Figures'!$B$8/12)^B285</f>
        <v>7117.4759184545665</v>
      </c>
      <c r="J285" s="304">
        <f t="shared" ca="1" si="36"/>
        <v>2440.8647468718245</v>
      </c>
      <c r="K285" s="304">
        <f t="shared" ca="1" si="32"/>
        <v>993.86793428215697</v>
      </c>
      <c r="L285" s="278">
        <v>1</v>
      </c>
      <c r="M285" s="279">
        <f t="shared" si="39"/>
        <v>0.13735784313725496</v>
      </c>
      <c r="N285" s="304">
        <f>L285*('College Schedule'!$L$10)*(1+'Government Figures'!$B$8/12)^B285</f>
        <v>4270.4855510727411</v>
      </c>
      <c r="O285" s="304">
        <f t="shared" si="37"/>
        <v>487.83947024534791</v>
      </c>
      <c r="P285" s="304">
        <f t="shared" si="33"/>
        <v>198.63780128555652</v>
      </c>
      <c r="Q285" s="277"/>
      <c r="R285" s="281"/>
      <c r="S285" s="281"/>
      <c r="T285" s="281"/>
      <c r="U285" s="281"/>
      <c r="V285" s="281"/>
      <c r="W285" s="281"/>
      <c r="X285" s="281"/>
      <c r="Y285" s="281"/>
      <c r="Z285" s="281"/>
      <c r="AA285" s="281"/>
      <c r="AB285" s="281"/>
      <c r="AC285" s="281"/>
      <c r="AD285" s="281"/>
    </row>
    <row r="286" spans="1:30" s="288" customFormat="1" x14ac:dyDescent="0.25">
      <c r="A286" s="287"/>
      <c r="B286" s="274">
        <f t="shared" si="34"/>
        <v>271</v>
      </c>
      <c r="C286" s="304">
        <f t="shared" ca="1" si="35"/>
        <v>-328.48943434745888</v>
      </c>
      <c r="D286" s="304">
        <f ca="1">IF(ROUND(E285,0)&lt;&gt;0, IF(ROUND(D285,0)&lt;&gt;0, 'Career Comparison'!$F$28-C286, 0), 0)</f>
        <v>576.28448199472632</v>
      </c>
      <c r="E286" s="304">
        <f ca="1">IF(G$7&gt;=B286, E285*(1+'Government Figures'!$D$8/12)-'Career Comparison'!$F$28, 0)</f>
        <v>155731.04637673814</v>
      </c>
      <c r="F286" s="312">
        <f>'College Schedule'!$L$8*(1+'Government Figures'!$B$8/12)^B286</f>
        <v>3201.3881653772019</v>
      </c>
      <c r="G286" s="278">
        <v>1</v>
      </c>
      <c r="H286" s="279">
        <f t="shared" ca="1" si="38"/>
        <v>0.17320110972991043</v>
      </c>
      <c r="I286" s="304">
        <f>G286*('College Schedule'!$L$9)*(1+'Government Figures'!$B$8/12)^B286</f>
        <v>7129.3383783186582</v>
      </c>
      <c r="J286" s="304">
        <f t="shared" ca="1" si="36"/>
        <v>2445.345846529357</v>
      </c>
      <c r="K286" s="304">
        <f t="shared" ca="1" si="32"/>
        <v>992.38459360235402</v>
      </c>
      <c r="L286" s="278">
        <v>1</v>
      </c>
      <c r="M286" s="279">
        <f t="shared" si="39"/>
        <v>0.13735784313725496</v>
      </c>
      <c r="N286" s="304">
        <f>L286*('College Schedule'!$L$10)*(1+'Government Figures'!$B$8/12)^B286</f>
        <v>4277.6030269911953</v>
      </c>
      <c r="O286" s="304">
        <f t="shared" si="37"/>
        <v>488.65253602908979</v>
      </c>
      <c r="P286" s="304">
        <f t="shared" si="33"/>
        <v>198.30783816049728</v>
      </c>
      <c r="Q286" s="277"/>
      <c r="R286" s="281"/>
      <c r="S286" s="281"/>
      <c r="T286" s="281"/>
      <c r="U286" s="281"/>
      <c r="V286" s="281"/>
      <c r="W286" s="281"/>
      <c r="X286" s="281"/>
      <c r="Y286" s="281"/>
      <c r="Z286" s="281"/>
      <c r="AA286" s="281"/>
      <c r="AB286" s="281"/>
      <c r="AC286" s="281"/>
      <c r="AD286" s="281"/>
    </row>
    <row r="287" spans="1:30" s="288" customFormat="1" x14ac:dyDescent="0.25">
      <c r="A287" s="287"/>
      <c r="B287" s="274">
        <f t="shared" si="34"/>
        <v>272</v>
      </c>
      <c r="C287" s="304">
        <f t="shared" ca="1" si="35"/>
        <v>-329.70758266648045</v>
      </c>
      <c r="D287" s="304">
        <f ca="1">IF(ROUND(E286,0)&lt;&gt;0, IF(ROUND(D286,0)&lt;&gt;0, 'Career Comparison'!$F$28-C287, 0), 0)</f>
        <v>577.50263031374789</v>
      </c>
      <c r="E287" s="304">
        <f ca="1">IF(G$7&gt;=B287, E286*(1+'Government Figures'!$D$8/12)-'Career Comparison'!$F$28, 0)</f>
        <v>156060.75395940462</v>
      </c>
      <c r="F287" s="312">
        <f>'College Schedule'!$L$8*(1+'Government Figures'!$B$8/12)^B287</f>
        <v>3206.7238123194975</v>
      </c>
      <c r="G287" s="278">
        <v>1</v>
      </c>
      <c r="H287" s="279">
        <f t="shared" ca="1" si="38"/>
        <v>0.17320110972991043</v>
      </c>
      <c r="I287" s="304">
        <f>G287*('College Schedule'!$L$9)*(1+'Government Figures'!$B$8/12)^B287</f>
        <v>7141.2206089491901</v>
      </c>
      <c r="J287" s="304">
        <f t="shared" ca="1" si="36"/>
        <v>2449.8344146863187</v>
      </c>
      <c r="K287" s="304">
        <f t="shared" ca="1" si="32"/>
        <v>990.9031601239044</v>
      </c>
      <c r="L287" s="278">
        <v>1</v>
      </c>
      <c r="M287" s="279">
        <f t="shared" si="39"/>
        <v>0.13735784313725496</v>
      </c>
      <c r="N287" s="304">
        <f>L287*('College Schedule'!$L$10)*(1+'Government Figures'!$B$8/12)^B287</f>
        <v>4284.7323653695148</v>
      </c>
      <c r="O287" s="304">
        <f t="shared" si="37"/>
        <v>489.46695692247204</v>
      </c>
      <c r="P287" s="304">
        <f t="shared" si="33"/>
        <v>197.97842314694179</v>
      </c>
      <c r="Q287" s="277"/>
      <c r="R287" s="281"/>
      <c r="S287" s="281"/>
      <c r="T287" s="281"/>
      <c r="U287" s="281"/>
      <c r="V287" s="281"/>
      <c r="W287" s="281"/>
      <c r="X287" s="281"/>
      <c r="Y287" s="281"/>
      <c r="Z287" s="281"/>
      <c r="AA287" s="281"/>
      <c r="AB287" s="281"/>
      <c r="AC287" s="281"/>
      <c r="AD287" s="281"/>
    </row>
    <row r="288" spans="1:30" s="288" customFormat="1" x14ac:dyDescent="0.25">
      <c r="A288" s="287"/>
      <c r="B288" s="274">
        <f t="shared" si="34"/>
        <v>273</v>
      </c>
      <c r="C288" s="304">
        <f t="shared" ca="1" si="35"/>
        <v>-330.93024828555644</v>
      </c>
      <c r="D288" s="304">
        <f ca="1">IF(ROUND(E287,0)&lt;&gt;0, IF(ROUND(D287,0)&lt;&gt;0, 'Career Comparison'!$F$28-C288, 0), 0)</f>
        <v>578.72529593282388</v>
      </c>
      <c r="E288" s="304">
        <f ca="1">IF(G$7&gt;=B288, E287*(1+'Government Figures'!$D$8/12)-'Career Comparison'!$F$28, 0)</f>
        <v>156391.68420769018</v>
      </c>
      <c r="F288" s="312">
        <f>'College Schedule'!$L$8*(1+'Government Figures'!$B$8/12)^B288</f>
        <v>3212.0683520066964</v>
      </c>
      <c r="G288" s="278">
        <v>1</v>
      </c>
      <c r="H288" s="279">
        <f t="shared" ca="1" si="38"/>
        <v>0.17320110972991043</v>
      </c>
      <c r="I288" s="304">
        <f>G288*('College Schedule'!$L$9)*(1+'Government Figures'!$B$8/12)^B288</f>
        <v>7153.1226432974381</v>
      </c>
      <c r="J288" s="304">
        <f t="shared" ca="1" si="36"/>
        <v>2454.3304637902074</v>
      </c>
      <c r="K288" s="304">
        <f t="shared" ca="1" si="32"/>
        <v>989.42363252859798</v>
      </c>
      <c r="L288" s="278">
        <v>1</v>
      </c>
      <c r="M288" s="279">
        <f t="shared" si="39"/>
        <v>0.13735784313725496</v>
      </c>
      <c r="N288" s="304">
        <f>L288*('College Schedule'!$L$10)*(1+'Government Figures'!$B$8/12)^B288</f>
        <v>4291.8735859784638</v>
      </c>
      <c r="O288" s="304">
        <f t="shared" si="37"/>
        <v>490.28273518400965</v>
      </c>
      <c r="P288" s="304">
        <f t="shared" si="33"/>
        <v>197.64955533440539</v>
      </c>
      <c r="Q288" s="277"/>
      <c r="R288" s="281"/>
      <c r="S288" s="281"/>
      <c r="T288" s="281"/>
      <c r="U288" s="281"/>
      <c r="V288" s="281"/>
      <c r="W288" s="281"/>
      <c r="X288" s="281"/>
      <c r="Y288" s="281"/>
      <c r="Z288" s="281"/>
      <c r="AA288" s="281"/>
      <c r="AB288" s="281"/>
      <c r="AC288" s="281"/>
      <c r="AD288" s="281"/>
    </row>
    <row r="289" spans="1:30" s="288" customFormat="1" x14ac:dyDescent="0.25">
      <c r="A289" s="287"/>
      <c r="B289" s="274">
        <f t="shared" si="34"/>
        <v>274</v>
      </c>
      <c r="C289" s="304">
        <f t="shared" ca="1" si="35"/>
        <v>-332.15744795626961</v>
      </c>
      <c r="D289" s="304">
        <f ca="1">IF(ROUND(E288,0)&lt;&gt;0, IF(ROUND(D288,0)&lt;&gt;0, 'Career Comparison'!$F$28-C289, 0), 0)</f>
        <v>579.95249560353705</v>
      </c>
      <c r="E289" s="304">
        <f ca="1">IF(G$7&gt;=B289, E288*(1+'Government Figures'!$D$8/12)-'Career Comparison'!$F$28, 0)</f>
        <v>156723.84165564645</v>
      </c>
      <c r="F289" s="312">
        <f>'College Schedule'!$L$8*(1+'Government Figures'!$B$8/12)^B289</f>
        <v>3217.4217992600411</v>
      </c>
      <c r="G289" s="278">
        <v>1</v>
      </c>
      <c r="H289" s="279">
        <f t="shared" ca="1" si="38"/>
        <v>0.17320110972991043</v>
      </c>
      <c r="I289" s="304">
        <f>G289*('College Schedule'!$L$9)*(1+'Government Figures'!$B$8/12)^B289</f>
        <v>7165.0445143696015</v>
      </c>
      <c r="J289" s="304">
        <f t="shared" ca="1" si="36"/>
        <v>2458.834006309271</v>
      </c>
      <c r="K289" s="304">
        <f t="shared" ca="1" si="32"/>
        <v>987.94600949427104</v>
      </c>
      <c r="L289" s="278">
        <v>1</v>
      </c>
      <c r="M289" s="279">
        <f t="shared" si="39"/>
        <v>0.13735784313725496</v>
      </c>
      <c r="N289" s="304">
        <f>L289*('College Schedule'!$L$10)*(1+'Government Figures'!$B$8/12)^B289</f>
        <v>4299.0267086217618</v>
      </c>
      <c r="O289" s="304">
        <f t="shared" si="37"/>
        <v>491.0998730759834</v>
      </c>
      <c r="P289" s="304">
        <f t="shared" si="33"/>
        <v>197.32123381391654</v>
      </c>
      <c r="Q289" s="277"/>
      <c r="R289" s="281"/>
      <c r="S289" s="281"/>
      <c r="T289" s="281"/>
      <c r="U289" s="281"/>
      <c r="V289" s="281"/>
      <c r="W289" s="281"/>
      <c r="X289" s="281"/>
      <c r="Y289" s="281"/>
      <c r="Z289" s="281"/>
      <c r="AA289" s="281"/>
      <c r="AB289" s="281"/>
      <c r="AC289" s="281"/>
      <c r="AD289" s="281"/>
    </row>
    <row r="290" spans="1:30" s="288" customFormat="1" x14ac:dyDescent="0.25">
      <c r="A290" s="287"/>
      <c r="B290" s="274">
        <f t="shared" si="34"/>
        <v>275</v>
      </c>
      <c r="C290" s="304">
        <f t="shared" ca="1" si="35"/>
        <v>-333.38919849245576</v>
      </c>
      <c r="D290" s="304">
        <f ca="1">IF(ROUND(E289,0)&lt;&gt;0, IF(ROUND(D289,0)&lt;&gt;0, 'Career Comparison'!$F$28-C290, 0), 0)</f>
        <v>581.1842461397232</v>
      </c>
      <c r="E290" s="304">
        <f ca="1">IF(G$7&gt;=B290, E289*(1+'Government Figures'!$D$8/12)-'Career Comparison'!$F$28, 0)</f>
        <v>157057.23085413891</v>
      </c>
      <c r="F290" s="312">
        <f>'College Schedule'!$L$8*(1+'Government Figures'!$B$8/12)^B290</f>
        <v>3222.7841689254751</v>
      </c>
      <c r="G290" s="278">
        <v>1</v>
      </c>
      <c r="H290" s="279">
        <f t="shared" ca="1" si="38"/>
        <v>0.17320110972991043</v>
      </c>
      <c r="I290" s="304">
        <f>G290*('College Schedule'!$L$9)*(1+'Government Figures'!$B$8/12)^B290</f>
        <v>7176.9862552268851</v>
      </c>
      <c r="J290" s="304">
        <f t="shared" ca="1" si="36"/>
        <v>2463.3450547325319</v>
      </c>
      <c r="K290" s="304">
        <f t="shared" ca="1" si="32"/>
        <v>986.47028969482733</v>
      </c>
      <c r="L290" s="278">
        <v>1</v>
      </c>
      <c r="M290" s="279">
        <f t="shared" si="39"/>
        <v>0.13735784313725496</v>
      </c>
      <c r="N290" s="304">
        <f>L290*('College Schedule'!$L$10)*(1+'Government Figures'!$B$8/12)^B290</f>
        <v>4306.1917531361314</v>
      </c>
      <c r="O290" s="304">
        <f t="shared" si="37"/>
        <v>491.91837286444252</v>
      </c>
      <c r="P290" s="304">
        <f t="shared" si="33"/>
        <v>196.99345767801262</v>
      </c>
      <c r="Q290" s="277"/>
      <c r="R290" s="281"/>
      <c r="S290" s="281"/>
      <c r="T290" s="281"/>
      <c r="U290" s="281"/>
      <c r="V290" s="281"/>
      <c r="W290" s="281"/>
      <c r="X290" s="281"/>
      <c r="Y290" s="281"/>
      <c r="Z290" s="281"/>
      <c r="AA290" s="281"/>
      <c r="AB290" s="281"/>
      <c r="AC290" s="281"/>
      <c r="AD290" s="281"/>
    </row>
    <row r="291" spans="1:30" s="288" customFormat="1" x14ac:dyDescent="0.25">
      <c r="A291" s="287"/>
      <c r="B291" s="274">
        <f t="shared" si="34"/>
        <v>276</v>
      </c>
      <c r="C291" s="304">
        <f t="shared" ca="1" si="35"/>
        <v>-334.62551677017473</v>
      </c>
      <c r="D291" s="304">
        <f ca="1">IF(ROUND(E290,0)&lt;&gt;0, IF(ROUND(D290,0)&lt;&gt;0, 'Career Comparison'!$F$28-C291, 0), 0)</f>
        <v>582.42056441744216</v>
      </c>
      <c r="E291" s="304">
        <f ca="1">IF(G$7&gt;=B291, E290*(1+'Government Figures'!$D$8/12)-'Career Comparison'!$F$28, 0)</f>
        <v>157391.85637090908</v>
      </c>
      <c r="F291" s="312">
        <f>'College Schedule'!$L$8*(1+'Government Figures'!$B$8/12)^B291</f>
        <v>3228.1554758736843</v>
      </c>
      <c r="G291" s="278">
        <v>1</v>
      </c>
      <c r="H291" s="279">
        <f t="shared" ca="1" si="38"/>
        <v>0.17320110972991043</v>
      </c>
      <c r="I291" s="304">
        <f>G291*('College Schedule'!$L$9)*(1+'Government Figures'!$B$8/12)^B291</f>
        <v>7188.947898985597</v>
      </c>
      <c r="J291" s="304">
        <f t="shared" ca="1" si="36"/>
        <v>2467.8636215698316</v>
      </c>
      <c r="K291" s="304">
        <f t="shared" ca="1" si="32"/>
        <v>984.99647180027125</v>
      </c>
      <c r="L291" s="278">
        <v>1</v>
      </c>
      <c r="M291" s="279">
        <f t="shared" si="39"/>
        <v>0.13735784313725496</v>
      </c>
      <c r="N291" s="304">
        <f>L291*('College Schedule'!$L$10)*(1+'Government Figures'!$B$8/12)^B291</f>
        <v>4313.3687393913588</v>
      </c>
      <c r="O291" s="304">
        <f t="shared" si="37"/>
        <v>492.73823681921704</v>
      </c>
      <c r="P291" s="304">
        <f t="shared" si="33"/>
        <v>196.66622602074034</v>
      </c>
      <c r="Q291" s="277"/>
      <c r="R291" s="281"/>
      <c r="S291" s="281"/>
      <c r="T291" s="281"/>
      <c r="U291" s="281"/>
      <c r="V291" s="281"/>
      <c r="W291" s="281"/>
      <c r="X291" s="281"/>
      <c r="Y291" s="281"/>
      <c r="Z291" s="281"/>
      <c r="AA291" s="281"/>
      <c r="AB291" s="281"/>
      <c r="AC291" s="281"/>
      <c r="AD291" s="281"/>
    </row>
    <row r="292" spans="1:30" s="288" customFormat="1" x14ac:dyDescent="0.25">
      <c r="A292" s="287"/>
      <c r="B292" s="274">
        <f t="shared" si="34"/>
        <v>277</v>
      </c>
      <c r="C292" s="304">
        <f t="shared" ca="1" si="35"/>
        <v>-335.86641972820507</v>
      </c>
      <c r="D292" s="304">
        <f ca="1">IF(ROUND(E291,0)&lt;&gt;0, IF(ROUND(D291,0)&lt;&gt;0, 'Career Comparison'!$F$28-C292, 0), 0)</f>
        <v>583.66146737547251</v>
      </c>
      <c r="E292" s="304">
        <f ca="1">IF(G$7&gt;=B292, E291*(1+'Government Figures'!$D$8/12)-'Career Comparison'!$F$28, 0)</f>
        <v>157727.72279063729</v>
      </c>
      <c r="F292" s="312">
        <f>'College Schedule'!$L$8*(1+'Government Figures'!$B$8/12)^B292</f>
        <v>3233.5357350001409</v>
      </c>
      <c r="G292" s="278">
        <v>1</v>
      </c>
      <c r="H292" s="279">
        <f t="shared" ca="1" si="38"/>
        <v>0.17320110972991043</v>
      </c>
      <c r="I292" s="304">
        <f>G292*('College Schedule'!$L$9)*(1+'Government Figures'!$B$8/12)^B292</f>
        <v>7200.9294788172401</v>
      </c>
      <c r="J292" s="304">
        <f t="shared" ca="1" si="36"/>
        <v>2472.3897193518605</v>
      </c>
      <c r="K292" s="304">
        <f t="shared" ca="1" si="32"/>
        <v>983.5245544767306</v>
      </c>
      <c r="L292" s="278">
        <v>1</v>
      </c>
      <c r="M292" s="279">
        <f t="shared" si="39"/>
        <v>0.13735784313725496</v>
      </c>
      <c r="N292" s="304">
        <f>L292*('College Schedule'!$L$10)*(1+'Government Figures'!$B$8/12)^B292</f>
        <v>4320.5576872903448</v>
      </c>
      <c r="O292" s="304">
        <f t="shared" si="37"/>
        <v>493.55946721391547</v>
      </c>
      <c r="P292" s="304">
        <f t="shared" si="33"/>
        <v>196.33953793764931</v>
      </c>
      <c r="Q292" s="277"/>
      <c r="R292" s="281"/>
      <c r="S292" s="281"/>
      <c r="T292" s="281"/>
      <c r="U292" s="281"/>
      <c r="V292" s="281"/>
      <c r="W292" s="281"/>
      <c r="X292" s="281"/>
      <c r="Y292" s="281"/>
      <c r="Z292" s="281"/>
      <c r="AA292" s="281"/>
      <c r="AB292" s="281"/>
      <c r="AC292" s="281"/>
      <c r="AD292" s="281"/>
    </row>
    <row r="293" spans="1:30" s="288" customFormat="1" x14ac:dyDescent="0.25">
      <c r="A293" s="287"/>
      <c r="B293" s="274">
        <f t="shared" si="34"/>
        <v>278</v>
      </c>
      <c r="C293" s="304">
        <f t="shared" ca="1" si="35"/>
        <v>-337.11192436804413</v>
      </c>
      <c r="D293" s="304">
        <f ca="1">IF(ROUND(E292,0)&lt;&gt;0, IF(ROUND(D292,0)&lt;&gt;0, 'Career Comparison'!$F$28-C293, 0), 0)</f>
        <v>584.90697201531157</v>
      </c>
      <c r="E293" s="304">
        <f ca="1">IF(G$7&gt;=B293, E292*(1+'Government Figures'!$D$8/12)-'Career Comparison'!$F$28, 0)</f>
        <v>158064.83471500533</v>
      </c>
      <c r="F293" s="312">
        <f>'College Schedule'!$L$8*(1+'Government Figures'!$B$8/12)^B293</f>
        <v>3238.924961225141</v>
      </c>
      <c r="G293" s="278">
        <v>1</v>
      </c>
      <c r="H293" s="279">
        <f t="shared" ca="1" si="38"/>
        <v>0.17320110972991043</v>
      </c>
      <c r="I293" s="304">
        <f>G293*('College Schedule'!$L$9)*(1+'Government Figures'!$B$8/12)^B293</f>
        <v>7212.9310279486017</v>
      </c>
      <c r="J293" s="304">
        <f t="shared" ca="1" si="36"/>
        <v>2476.9233606301914</v>
      </c>
      <c r="K293" s="304">
        <f t="shared" ca="1" si="32"/>
        <v>982.05453638648316</v>
      </c>
      <c r="L293" s="278">
        <v>1</v>
      </c>
      <c r="M293" s="279">
        <f t="shared" si="39"/>
        <v>0.13735784313725496</v>
      </c>
      <c r="N293" s="304">
        <f>L293*('College Schedule'!$L$10)*(1+'Government Figures'!$B$8/12)^B293</f>
        <v>4327.7586167691616</v>
      </c>
      <c r="O293" s="304">
        <f t="shared" si="37"/>
        <v>494.38206632593847</v>
      </c>
      <c r="P293" s="304">
        <f t="shared" si="33"/>
        <v>196.01339252579263</v>
      </c>
      <c r="Q293" s="277"/>
      <c r="R293" s="281"/>
      <c r="S293" s="281"/>
      <c r="T293" s="281"/>
      <c r="U293" s="281"/>
      <c r="V293" s="281"/>
      <c r="W293" s="281"/>
      <c r="X293" s="281"/>
      <c r="Y293" s="281"/>
      <c r="Z293" s="281"/>
      <c r="AA293" s="281"/>
      <c r="AB293" s="281"/>
      <c r="AC293" s="281"/>
      <c r="AD293" s="281"/>
    </row>
    <row r="294" spans="1:30" s="288" customFormat="1" x14ac:dyDescent="0.25">
      <c r="A294" s="287"/>
      <c r="B294" s="274">
        <f t="shared" si="34"/>
        <v>279</v>
      </c>
      <c r="C294" s="304">
        <f t="shared" ca="1" si="35"/>
        <v>-338.36204775422812</v>
      </c>
      <c r="D294" s="304">
        <f ca="1">IF(ROUND(E293,0)&lt;&gt;0, IF(ROUND(D293,0)&lt;&gt;0, 'Career Comparison'!$F$28-C294, 0), 0)</f>
        <v>586.15709540149555</v>
      </c>
      <c r="E294" s="304">
        <f ca="1">IF(G$7&gt;=B294, E293*(1+'Government Figures'!$D$8/12)-'Career Comparison'!$F$28, 0)</f>
        <v>158403.19676275956</v>
      </c>
      <c r="F294" s="312">
        <f>'College Schedule'!$L$8*(1+'Government Figures'!$B$8/12)^B294</f>
        <v>3244.3231694938499</v>
      </c>
      <c r="G294" s="278">
        <v>1</v>
      </c>
      <c r="H294" s="279">
        <f t="shared" ca="1" si="38"/>
        <v>0.17320110972991043</v>
      </c>
      <c r="I294" s="304">
        <f>G294*('College Schedule'!$L$9)*(1+'Government Figures'!$B$8/12)^B294</f>
        <v>7224.9525796618509</v>
      </c>
      <c r="J294" s="304">
        <f t="shared" ca="1" si="36"/>
        <v>2481.4645579773214</v>
      </c>
      <c r="K294" s="304">
        <f t="shared" ca="1" si="32"/>
        <v>980.58641618798754</v>
      </c>
      <c r="L294" s="278">
        <v>1</v>
      </c>
      <c r="M294" s="279">
        <f t="shared" si="39"/>
        <v>0.13735784313725496</v>
      </c>
      <c r="N294" s="304">
        <f>L294*('College Schedule'!$L$10)*(1+'Government Figures'!$B$8/12)^B294</f>
        <v>4334.9715477971113</v>
      </c>
      <c r="O294" s="304">
        <f t="shared" si="37"/>
        <v>495.20603643648246</v>
      </c>
      <c r="P294" s="304">
        <f t="shared" si="33"/>
        <v>195.6877888837235</v>
      </c>
      <c r="Q294" s="277"/>
      <c r="R294" s="281"/>
      <c r="S294" s="281"/>
      <c r="T294" s="281"/>
      <c r="U294" s="281"/>
      <c r="V294" s="281"/>
      <c r="W294" s="281"/>
      <c r="X294" s="281"/>
      <c r="Y294" s="281"/>
      <c r="Z294" s="281"/>
      <c r="AA294" s="281"/>
      <c r="AB294" s="281"/>
      <c r="AC294" s="281"/>
      <c r="AD294" s="281"/>
    </row>
    <row r="295" spans="1:30" s="288" customFormat="1" x14ac:dyDescent="0.25">
      <c r="A295" s="287"/>
      <c r="B295" s="274">
        <f t="shared" si="34"/>
        <v>280</v>
      </c>
      <c r="C295" s="304">
        <f t="shared" ca="1" si="35"/>
        <v>-339.6168070146523</v>
      </c>
      <c r="D295" s="304">
        <f ca="1">IF(ROUND(E294,0)&lt;&gt;0, IF(ROUND(D294,0)&lt;&gt;0, 'Career Comparison'!$F$28-C295, 0), 0)</f>
        <v>587.41185466191973</v>
      </c>
      <c r="E295" s="304">
        <f ca="1">IF(G$7&gt;=B295, E294*(1+'Government Figures'!$D$8/12)-'Career Comparison'!$F$28, 0)</f>
        <v>158742.81356977421</v>
      </c>
      <c r="F295" s="312">
        <f>'College Schedule'!$L$8*(1+'Government Figures'!$B$8/12)^B295</f>
        <v>3249.7303747763403</v>
      </c>
      <c r="G295" s="278">
        <v>1</v>
      </c>
      <c r="H295" s="279">
        <f t="shared" ca="1" si="38"/>
        <v>0.17320110972991043</v>
      </c>
      <c r="I295" s="304">
        <f>G295*('College Schedule'!$L$9)*(1+'Government Figures'!$B$8/12)^B295</f>
        <v>7236.9941672946225</v>
      </c>
      <c r="J295" s="304">
        <f t="shared" ca="1" si="36"/>
        <v>2486.0133239866973</v>
      </c>
      <c r="K295" s="304">
        <f t="shared" ca="1" si="32"/>
        <v>979.12019253590358</v>
      </c>
      <c r="L295" s="278">
        <v>1</v>
      </c>
      <c r="M295" s="279">
        <f t="shared" si="39"/>
        <v>0.13735784313725496</v>
      </c>
      <c r="N295" s="304">
        <f>L295*('College Schedule'!$L$10)*(1+'Government Figures'!$B$8/12)^B295</f>
        <v>4342.1965003767737</v>
      </c>
      <c r="O295" s="304">
        <f t="shared" si="37"/>
        <v>496.03137983054285</v>
      </c>
      <c r="P295" s="304">
        <f t="shared" si="33"/>
        <v>195.36272611149121</v>
      </c>
      <c r="Q295" s="277"/>
      <c r="R295" s="281"/>
      <c r="S295" s="281"/>
      <c r="T295" s="281"/>
      <c r="U295" s="281"/>
      <c r="V295" s="281"/>
      <c r="W295" s="281"/>
      <c r="X295" s="281"/>
      <c r="Y295" s="281"/>
      <c r="Z295" s="281"/>
      <c r="AA295" s="281"/>
      <c r="AB295" s="281"/>
      <c r="AC295" s="281"/>
      <c r="AD295" s="281"/>
    </row>
    <row r="296" spans="1:30" s="288" customFormat="1" x14ac:dyDescent="0.25">
      <c r="A296" s="287"/>
      <c r="B296" s="274">
        <f t="shared" si="34"/>
        <v>281</v>
      </c>
      <c r="C296" s="304">
        <f t="shared" ca="1" si="35"/>
        <v>-340.87621934065828</v>
      </c>
      <c r="D296" s="304">
        <f ca="1">IF(ROUND(E295,0)&lt;&gt;0, IF(ROUND(D295,0)&lt;&gt;0, 'Career Comparison'!$F$28-C296, 0), 0)</f>
        <v>588.67126698792572</v>
      </c>
      <c r="E296" s="304">
        <f ca="1">IF(G$7&gt;=B296, E295*(1+'Government Figures'!$D$8/12)-'Career Comparison'!$F$28, 0)</f>
        <v>159083.68978911487</v>
      </c>
      <c r="F296" s="312">
        <f>'College Schedule'!$L$8*(1+'Government Figures'!$B$8/12)^B296</f>
        <v>3255.1465920676337</v>
      </c>
      <c r="G296" s="278">
        <v>1</v>
      </c>
      <c r="H296" s="279">
        <f t="shared" ca="1" si="38"/>
        <v>0.17320110972991043</v>
      </c>
      <c r="I296" s="304">
        <f>G296*('College Schedule'!$L$9)*(1+'Government Figures'!$B$8/12)^B296</f>
        <v>7249.0558242401121</v>
      </c>
      <c r="J296" s="304">
        <f t="shared" ca="1" si="36"/>
        <v>2490.5696712727527</v>
      </c>
      <c r="K296" s="304">
        <f t="shared" ca="1" si="32"/>
        <v>977.65586408112131</v>
      </c>
      <c r="L296" s="278">
        <v>1</v>
      </c>
      <c r="M296" s="279">
        <f t="shared" si="39"/>
        <v>0.13735784313725496</v>
      </c>
      <c r="N296" s="304">
        <f>L296*('College Schedule'!$L$10)*(1+'Government Figures'!$B$8/12)^B296</f>
        <v>4349.4334945440678</v>
      </c>
      <c r="O296" s="304">
        <f t="shared" si="37"/>
        <v>496.85809879692715</v>
      </c>
      <c r="P296" s="304">
        <f t="shared" si="33"/>
        <v>195.03820331064159</v>
      </c>
      <c r="Q296" s="277"/>
      <c r="R296" s="281"/>
      <c r="S296" s="281"/>
      <c r="T296" s="281"/>
      <c r="U296" s="281"/>
      <c r="V296" s="281"/>
      <c r="W296" s="281"/>
      <c r="X296" s="281"/>
      <c r="Y296" s="281"/>
      <c r="Z296" s="281"/>
      <c r="AA296" s="281"/>
      <c r="AB296" s="281"/>
      <c r="AC296" s="281"/>
      <c r="AD296" s="281"/>
    </row>
    <row r="297" spans="1:30" s="288" customFormat="1" x14ac:dyDescent="0.25">
      <c r="A297" s="287"/>
      <c r="B297" s="274">
        <f t="shared" si="34"/>
        <v>282</v>
      </c>
      <c r="C297" s="304">
        <f t="shared" ca="1" si="35"/>
        <v>-342.14030198738328</v>
      </c>
      <c r="D297" s="304">
        <f ca="1">IF(ROUND(E296,0)&lt;&gt;0, IF(ROUND(D296,0)&lt;&gt;0, 'Career Comparison'!$F$28-C297, 0), 0)</f>
        <v>589.93534963465072</v>
      </c>
      <c r="E297" s="304">
        <f ca="1">IF(G$7&gt;=B297, E296*(1+'Government Figures'!$D$8/12)-'Career Comparison'!$F$28, 0)</f>
        <v>159425.83009110225</v>
      </c>
      <c r="F297" s="312">
        <f>'College Schedule'!$L$8*(1+'Government Figures'!$B$8/12)^B297</f>
        <v>3260.5718363877468</v>
      </c>
      <c r="G297" s="278">
        <v>1</v>
      </c>
      <c r="H297" s="279">
        <f t="shared" ca="1" si="38"/>
        <v>0.17320110972991043</v>
      </c>
      <c r="I297" s="304">
        <f>G297*('College Schedule'!$L$9)*(1+'Government Figures'!$B$8/12)^B297</f>
        <v>7261.1375839471784</v>
      </c>
      <c r="J297" s="304">
        <f t="shared" ca="1" si="36"/>
        <v>2495.1336124709519</v>
      </c>
      <c r="K297" s="304">
        <f t="shared" ca="1" si="32"/>
        <v>976.19342947078951</v>
      </c>
      <c r="L297" s="278">
        <v>1</v>
      </c>
      <c r="M297" s="279">
        <f t="shared" si="39"/>
        <v>0.13735784313725496</v>
      </c>
      <c r="N297" s="304">
        <f>L297*('College Schedule'!$L$10)*(1+'Government Figures'!$B$8/12)^B297</f>
        <v>4356.6825503683076</v>
      </c>
      <c r="O297" s="304">
        <f t="shared" si="37"/>
        <v>497.68619562825506</v>
      </c>
      <c r="P297" s="304">
        <f t="shared" si="33"/>
        <v>194.7142195842118</v>
      </c>
      <c r="Q297" s="277"/>
      <c r="R297" s="281"/>
      <c r="S297" s="281"/>
      <c r="T297" s="281"/>
      <c r="U297" s="281"/>
      <c r="V297" s="281"/>
      <c r="W297" s="281"/>
      <c r="X297" s="281"/>
      <c r="Y297" s="281"/>
      <c r="Z297" s="281"/>
      <c r="AA297" s="281"/>
      <c r="AB297" s="281"/>
      <c r="AC297" s="281"/>
      <c r="AD297" s="281"/>
    </row>
    <row r="298" spans="1:30" s="288" customFormat="1" x14ac:dyDescent="0.25">
      <c r="A298" s="287"/>
      <c r="B298" s="274">
        <f t="shared" si="34"/>
        <v>283</v>
      </c>
      <c r="C298" s="304">
        <f t="shared" ca="1" si="35"/>
        <v>-343.40907227393473</v>
      </c>
      <c r="D298" s="304">
        <f ca="1">IF(ROUND(E297,0)&lt;&gt;0, IF(ROUND(D297,0)&lt;&gt;0, 'Career Comparison'!$F$28-C298, 0), 0)</f>
        <v>591.20411992120216</v>
      </c>
      <c r="E298" s="304">
        <f ca="1">IF(G$7&gt;=B298, E297*(1+'Government Figures'!$D$8/12)-'Career Comparison'!$F$28, 0)</f>
        <v>159769.23916337619</v>
      </c>
      <c r="F298" s="312">
        <f>'College Schedule'!$L$8*(1+'Government Figures'!$B$8/12)^B298</f>
        <v>3266.0061227817268</v>
      </c>
      <c r="G298" s="278">
        <v>1</v>
      </c>
      <c r="H298" s="279">
        <f t="shared" ca="1" si="38"/>
        <v>0.17320110972991043</v>
      </c>
      <c r="I298" s="304">
        <f>G298*('College Schedule'!$L$9)*(1+'Government Figures'!$B$8/12)^B298</f>
        <v>7273.2394799204258</v>
      </c>
      <c r="J298" s="304">
        <f t="shared" ca="1" si="36"/>
        <v>2499.7051602378174</v>
      </c>
      <c r="K298" s="304">
        <f t="shared" ca="1" si="32"/>
        <v>974.73288734834011</v>
      </c>
      <c r="L298" s="278">
        <v>1</v>
      </c>
      <c r="M298" s="279">
        <f t="shared" si="39"/>
        <v>0.13735784313725496</v>
      </c>
      <c r="N298" s="304">
        <f>L298*('College Schedule'!$L$10)*(1+'Government Figures'!$B$8/12)^B298</f>
        <v>4363.9436879522564</v>
      </c>
      <c r="O298" s="304">
        <f t="shared" si="37"/>
        <v>498.51567262096978</v>
      </c>
      <c r="P298" s="304">
        <f t="shared" si="33"/>
        <v>194.39077403673008</v>
      </c>
      <c r="Q298" s="277"/>
      <c r="R298" s="281"/>
      <c r="S298" s="281"/>
      <c r="T298" s="281"/>
      <c r="U298" s="281"/>
      <c r="V298" s="281"/>
      <c r="W298" s="281"/>
      <c r="X298" s="281"/>
      <c r="Y298" s="281"/>
      <c r="Z298" s="281"/>
      <c r="AA298" s="281"/>
      <c r="AB298" s="281"/>
      <c r="AC298" s="281"/>
      <c r="AD298" s="281"/>
    </row>
    <row r="299" spans="1:30" s="288" customFormat="1" x14ac:dyDescent="0.25">
      <c r="A299" s="287"/>
      <c r="B299" s="274">
        <f t="shared" si="34"/>
        <v>284</v>
      </c>
      <c r="C299" s="304">
        <f t="shared" ca="1" si="35"/>
        <v>-344.68254758359399</v>
      </c>
      <c r="D299" s="304">
        <f ca="1">IF(ROUND(E298,0)&lt;&gt;0, IF(ROUND(D298,0)&lt;&gt;0, 'Career Comparison'!$F$28-C299, 0), 0)</f>
        <v>592.47759523086143</v>
      </c>
      <c r="E299" s="304">
        <f ca="1">IF(G$7&gt;=B299, E298*(1+'Government Figures'!$D$8/12)-'Career Comparison'!$F$28, 0)</f>
        <v>160113.92171095978</v>
      </c>
      <c r="F299" s="312">
        <f>'College Schedule'!$L$8*(1+'Government Figures'!$B$8/12)^B299</f>
        <v>3271.4494663196965</v>
      </c>
      <c r="G299" s="278">
        <v>1</v>
      </c>
      <c r="H299" s="279">
        <f t="shared" ca="1" si="38"/>
        <v>0.17320110972991043</v>
      </c>
      <c r="I299" s="304">
        <f>G299*('College Schedule'!$L$9)*(1+'Government Figures'!$B$8/12)^B299</f>
        <v>7285.3615457202932</v>
      </c>
      <c r="J299" s="304">
        <f t="shared" ca="1" si="36"/>
        <v>2504.2843272509585</v>
      </c>
      <c r="K299" s="304">
        <f t="shared" ca="1" si="32"/>
        <v>973.27423635351022</v>
      </c>
      <c r="L299" s="278">
        <v>1</v>
      </c>
      <c r="M299" s="279">
        <f t="shared" si="39"/>
        <v>0.13735784313725496</v>
      </c>
      <c r="N299" s="304">
        <f>L299*('College Schedule'!$L$10)*(1+'Government Figures'!$B$8/12)^B299</f>
        <v>4371.2169274321768</v>
      </c>
      <c r="O299" s="304">
        <f t="shared" si="37"/>
        <v>499.34653207533756</v>
      </c>
      <c r="P299" s="304">
        <f t="shared" si="33"/>
        <v>194.06786577421039</v>
      </c>
      <c r="Q299" s="277"/>
      <c r="R299" s="281"/>
      <c r="S299" s="281"/>
      <c r="T299" s="281"/>
      <c r="U299" s="281"/>
      <c r="V299" s="281"/>
      <c r="W299" s="281"/>
      <c r="X299" s="281"/>
      <c r="Y299" s="281"/>
      <c r="Z299" s="281"/>
      <c r="AA299" s="281"/>
      <c r="AB299" s="281"/>
      <c r="AC299" s="281"/>
      <c r="AD299" s="281"/>
    </row>
    <row r="300" spans="1:30" s="288" customFormat="1" x14ac:dyDescent="0.25">
      <c r="A300" s="287"/>
      <c r="B300" s="274">
        <f t="shared" si="34"/>
        <v>285</v>
      </c>
      <c r="C300" s="304">
        <f t="shared" ca="1" si="35"/>
        <v>-345.96074536422384</v>
      </c>
      <c r="D300" s="304">
        <f ca="1">IF(ROUND(E299,0)&lt;&gt;0, IF(ROUND(D299,0)&lt;&gt;0, 'Career Comparison'!$F$28-C300, 0), 0)</f>
        <v>593.75579301149128</v>
      </c>
      <c r="E300" s="304">
        <f ca="1">IF(G$7&gt;=B300, E299*(1+'Government Figures'!$D$8/12)-'Career Comparison'!$F$28, 0)</f>
        <v>160459.88245632401</v>
      </c>
      <c r="F300" s="312">
        <f>'College Schedule'!$L$8*(1+'Government Figures'!$B$8/12)^B300</f>
        <v>3276.9018820968968</v>
      </c>
      <c r="G300" s="278">
        <v>1</v>
      </c>
      <c r="H300" s="279">
        <f t="shared" ca="1" si="38"/>
        <v>0.17320110972991043</v>
      </c>
      <c r="I300" s="304">
        <f>G300*('College Schedule'!$L$9)*(1+'Government Figures'!$B$8/12)^B300</f>
        <v>7297.5038149631619</v>
      </c>
      <c r="J300" s="304">
        <f t="shared" ca="1" si="36"/>
        <v>2508.8711262091233</v>
      </c>
      <c r="K300" s="304">
        <f t="shared" ca="1" si="32"/>
        <v>971.81747512237575</v>
      </c>
      <c r="L300" s="278">
        <v>1</v>
      </c>
      <c r="M300" s="279">
        <f t="shared" si="39"/>
        <v>0.13735784313725496</v>
      </c>
      <c r="N300" s="304">
        <f>L300*('College Schedule'!$L$10)*(1+'Government Figures'!$B$8/12)^B300</f>
        <v>4378.5022889778975</v>
      </c>
      <c r="O300" s="304">
        <f t="shared" si="37"/>
        <v>500.17877629546274</v>
      </c>
      <c r="P300" s="304">
        <f t="shared" si="33"/>
        <v>193.74549390415342</v>
      </c>
      <c r="Q300" s="277"/>
      <c r="R300" s="281"/>
      <c r="S300" s="281"/>
      <c r="T300" s="281"/>
      <c r="U300" s="281"/>
      <c r="V300" s="281"/>
      <c r="W300" s="281"/>
      <c r="X300" s="281"/>
      <c r="Y300" s="281"/>
      <c r="Z300" s="281"/>
      <c r="AA300" s="281"/>
      <c r="AB300" s="281"/>
      <c r="AC300" s="281"/>
      <c r="AD300" s="281"/>
    </row>
    <row r="301" spans="1:30" s="288" customFormat="1" x14ac:dyDescent="0.25">
      <c r="A301" s="287"/>
      <c r="B301" s="274">
        <f t="shared" si="34"/>
        <v>286</v>
      </c>
      <c r="C301" s="304">
        <f t="shared" ca="1" si="35"/>
        <v>-347.24368312829756</v>
      </c>
      <c r="D301" s="304">
        <f ca="1">IF(ROUND(E300,0)&lt;&gt;0, IF(ROUND(D300,0)&lt;&gt;0, 'Career Comparison'!$F$28-C301, 0), 0)</f>
        <v>595.038730775565</v>
      </c>
      <c r="E301" s="304">
        <f ca="1">IF(G$7&gt;=B301, E300*(1+'Government Figures'!$D$8/12)-'Career Comparison'!$F$28, 0)</f>
        <v>160807.1261394523</v>
      </c>
      <c r="F301" s="312">
        <f>'College Schedule'!$L$8*(1+'Government Figures'!$B$8/12)^B301</f>
        <v>3282.3633852337243</v>
      </c>
      <c r="G301" s="278">
        <v>1</v>
      </c>
      <c r="H301" s="279">
        <f t="shared" ca="1" si="38"/>
        <v>0.17320110972991043</v>
      </c>
      <c r="I301" s="304">
        <f>G301*('College Schedule'!$L$9)*(1+'Government Figures'!$B$8/12)^B301</f>
        <v>7309.6663213214324</v>
      </c>
      <c r="J301" s="304">
        <f t="shared" ca="1" si="36"/>
        <v>2513.4655698322163</v>
      </c>
      <c r="K301" s="304">
        <f t="shared" ca="1" si="32"/>
        <v>970.36260228736921</v>
      </c>
      <c r="L301" s="278">
        <v>1</v>
      </c>
      <c r="M301" s="279">
        <f t="shared" si="39"/>
        <v>0.13735784313725496</v>
      </c>
      <c r="N301" s="304">
        <f>L301*('College Schedule'!$L$10)*(1+'Government Figures'!$B$8/12)^B301</f>
        <v>4385.79979279286</v>
      </c>
      <c r="O301" s="304">
        <f t="shared" si="37"/>
        <v>501.01240758928861</v>
      </c>
      <c r="P301" s="304">
        <f t="shared" si="33"/>
        <v>193.42365753554188</v>
      </c>
      <c r="Q301" s="277"/>
      <c r="R301" s="281"/>
      <c r="S301" s="281"/>
      <c r="T301" s="281"/>
      <c r="U301" s="281"/>
      <c r="V301" s="281"/>
      <c r="W301" s="281"/>
      <c r="X301" s="281"/>
      <c r="Y301" s="281"/>
      <c r="Z301" s="281"/>
      <c r="AA301" s="281"/>
      <c r="AB301" s="281"/>
      <c r="AC301" s="281"/>
      <c r="AD301" s="281"/>
    </row>
    <row r="302" spans="1:30" s="288" customFormat="1" x14ac:dyDescent="0.25">
      <c r="A302" s="287"/>
      <c r="B302" s="274">
        <f t="shared" si="34"/>
        <v>287</v>
      </c>
      <c r="C302" s="304">
        <f t="shared" ca="1" si="35"/>
        <v>-348.53137845321908</v>
      </c>
      <c r="D302" s="304">
        <f ca="1">IF(ROUND(E301,0)&lt;&gt;0, IF(ROUND(D301,0)&lt;&gt;0, 'Career Comparison'!$F$28-C302, 0), 0)</f>
        <v>596.32642610048651</v>
      </c>
      <c r="E302" s="304">
        <f ca="1">IF(G$7&gt;=B302, E301*(1+'Government Figures'!$D$8/12)-'Career Comparison'!$F$28, 0)</f>
        <v>161155.65751790552</v>
      </c>
      <c r="F302" s="312">
        <f>'College Schedule'!$L$8*(1+'Government Figures'!$B$8/12)^B302</f>
        <v>3287.8339908757812</v>
      </c>
      <c r="G302" s="278">
        <v>1</v>
      </c>
      <c r="H302" s="279">
        <f t="shared" ca="1" si="38"/>
        <v>0.17320110972991043</v>
      </c>
      <c r="I302" s="304">
        <f>G302*('College Schedule'!$L$9)*(1+'Government Figures'!$B$8/12)^B302</f>
        <v>7321.8490985236367</v>
      </c>
      <c r="J302" s="304">
        <f t="shared" ca="1" si="36"/>
        <v>2518.0676708613501</v>
      </c>
      <c r="K302" s="304">
        <f t="shared" ca="1" si="32"/>
        <v>968.90961647731319</v>
      </c>
      <c r="L302" s="278">
        <v>1</v>
      </c>
      <c r="M302" s="279">
        <f t="shared" si="39"/>
        <v>0.13735784313725496</v>
      </c>
      <c r="N302" s="304">
        <f>L302*('College Schedule'!$L$10)*(1+'Government Figures'!$B$8/12)^B302</f>
        <v>4393.1094591141828</v>
      </c>
      <c r="O302" s="304">
        <f t="shared" si="37"/>
        <v>501.84742826860474</v>
      </c>
      <c r="P302" s="304">
        <f t="shared" si="33"/>
        <v>193.10235577883856</v>
      </c>
      <c r="Q302" s="277"/>
      <c r="R302" s="281"/>
      <c r="S302" s="281"/>
      <c r="T302" s="281"/>
      <c r="U302" s="281"/>
      <c r="V302" s="281"/>
      <c r="W302" s="281"/>
      <c r="X302" s="281"/>
      <c r="Y302" s="281"/>
      <c r="Z302" s="281"/>
      <c r="AA302" s="281"/>
      <c r="AB302" s="281"/>
      <c r="AC302" s="281"/>
      <c r="AD302" s="281"/>
    </row>
    <row r="303" spans="1:30" s="288" customFormat="1" x14ac:dyDescent="0.25">
      <c r="A303" s="287"/>
      <c r="B303" s="274">
        <f t="shared" si="34"/>
        <v>288</v>
      </c>
      <c r="C303" s="304">
        <f t="shared" ca="1" si="35"/>
        <v>-349.8238489816431</v>
      </c>
      <c r="D303" s="304">
        <f ca="1">IF(ROUND(E302,0)&lt;&gt;0, IF(ROUND(D302,0)&lt;&gt;0, 'Career Comparison'!$F$28-C303, 0), 0)</f>
        <v>597.61889662891053</v>
      </c>
      <c r="E303" s="304">
        <f ca="1">IF(G$7&gt;=B303, E302*(1+'Government Figures'!$D$8/12)-'Career Comparison'!$F$28, 0)</f>
        <v>161505.48136688716</v>
      </c>
      <c r="F303" s="312">
        <f>'College Schedule'!$L$8*(1+'Government Figures'!$B$8/12)^B303</f>
        <v>3293.3137141939083</v>
      </c>
      <c r="G303" s="278">
        <v>1</v>
      </c>
      <c r="H303" s="279">
        <f t="shared" ca="1" si="38"/>
        <v>0.17320110972991043</v>
      </c>
      <c r="I303" s="304">
        <f>G303*('College Schedule'!$L$9)*(1+'Government Figures'!$B$8/12)^B303</f>
        <v>7334.0521803545107</v>
      </c>
      <c r="J303" s="304">
        <f t="shared" ca="1" si="36"/>
        <v>2522.6774420588645</v>
      </c>
      <c r="K303" s="304">
        <f t="shared" ca="1" si="32"/>
        <v>967.45851631743801</v>
      </c>
      <c r="L303" s="278">
        <v>1</v>
      </c>
      <c r="M303" s="279">
        <f t="shared" si="39"/>
        <v>0.13735784313725496</v>
      </c>
      <c r="N303" s="304">
        <f>L303*('College Schedule'!$L$10)*(1+'Government Figures'!$B$8/12)^B303</f>
        <v>4400.4313082127073</v>
      </c>
      <c r="O303" s="304">
        <f t="shared" si="37"/>
        <v>502.6838406490524</v>
      </c>
      <c r="P303" s="304">
        <f t="shared" si="33"/>
        <v>192.7815877459833</v>
      </c>
      <c r="Q303" s="277"/>
      <c r="R303" s="281"/>
      <c r="S303" s="281"/>
      <c r="T303" s="281"/>
      <c r="U303" s="281"/>
      <c r="V303" s="281"/>
      <c r="W303" s="281"/>
      <c r="X303" s="281"/>
      <c r="Y303" s="281"/>
      <c r="Z303" s="281"/>
      <c r="AA303" s="281"/>
      <c r="AB303" s="281"/>
      <c r="AC303" s="281"/>
      <c r="AD303" s="281"/>
    </row>
    <row r="304" spans="1:30" s="288" customFormat="1" x14ac:dyDescent="0.25">
      <c r="A304" s="287"/>
      <c r="B304" s="274">
        <f t="shared" si="34"/>
        <v>289</v>
      </c>
      <c r="C304" s="304">
        <f t="shared" ca="1" si="35"/>
        <v>-351.12111242162064</v>
      </c>
      <c r="D304" s="304">
        <f ca="1">IF(ROUND(E303,0)&lt;&gt;0, IF(ROUND(D303,0)&lt;&gt;0, 'Career Comparison'!$F$28-C304, 0), 0)</f>
        <v>598.91616006888808</v>
      </c>
      <c r="E304" s="304">
        <f ca="1">IF(G$7&gt;=B304, E303*(1+'Government Figures'!$D$8/12)-'Career Comparison'!$F$28, 0)</f>
        <v>161856.60247930879</v>
      </c>
      <c r="F304" s="312">
        <f>'College Schedule'!$L$8*(1+'Government Figures'!$B$8/12)^B304</f>
        <v>3298.8025703842318</v>
      </c>
      <c r="G304" s="278">
        <v>1</v>
      </c>
      <c r="H304" s="279">
        <f t="shared" ca="1" si="38"/>
        <v>0.17320110972991043</v>
      </c>
      <c r="I304" s="304">
        <f>G304*('College Schedule'!$L$9)*(1+'Government Figures'!$B$8/12)^B304</f>
        <v>7346.2756006551026</v>
      </c>
      <c r="J304" s="304">
        <f t="shared" ca="1" si="36"/>
        <v>2527.2948962083756</v>
      </c>
      <c r="K304" s="304">
        <f t="shared" ca="1" si="32"/>
        <v>966.009300429414</v>
      </c>
      <c r="L304" s="278">
        <v>1</v>
      </c>
      <c r="M304" s="279">
        <f t="shared" si="39"/>
        <v>0.13735784313725496</v>
      </c>
      <c r="N304" s="304">
        <f>L304*('College Schedule'!$L$10)*(1+'Government Figures'!$B$8/12)^B304</f>
        <v>4407.7653603930621</v>
      </c>
      <c r="O304" s="304">
        <f t="shared" si="37"/>
        <v>503.52164705013411</v>
      </c>
      <c r="P304" s="304">
        <f t="shared" si="33"/>
        <v>192.46135255039192</v>
      </c>
      <c r="Q304" s="277"/>
      <c r="R304" s="281"/>
      <c r="S304" s="281"/>
      <c r="T304" s="281"/>
      <c r="U304" s="281"/>
      <c r="V304" s="281"/>
      <c r="W304" s="281"/>
      <c r="X304" s="281"/>
      <c r="Y304" s="281"/>
      <c r="Z304" s="281"/>
      <c r="AA304" s="281"/>
      <c r="AB304" s="281"/>
      <c r="AC304" s="281"/>
      <c r="AD304" s="281"/>
    </row>
    <row r="305" spans="1:30" s="288" customFormat="1" x14ac:dyDescent="0.25">
      <c r="A305" s="287"/>
      <c r="B305" s="274">
        <f t="shared" si="34"/>
        <v>290</v>
      </c>
      <c r="C305" s="304">
        <f t="shared" ca="1" si="35"/>
        <v>-352.42318654686096</v>
      </c>
      <c r="D305" s="304">
        <f ca="1">IF(ROUND(E304,0)&lt;&gt;0, IF(ROUND(D304,0)&lt;&gt;0, 'Career Comparison'!$F$28-C305, 0), 0)</f>
        <v>600.2182341941284</v>
      </c>
      <c r="E305" s="304">
        <f ca="1">IF(G$7&gt;=B305, E304*(1+'Government Figures'!$D$8/12)-'Career Comparison'!$F$28, 0)</f>
        <v>162209.02566585565</v>
      </c>
      <c r="F305" s="312">
        <f>'College Schedule'!$L$8*(1+'Government Figures'!$B$8/12)^B305</f>
        <v>3304.3005746682052</v>
      </c>
      <c r="G305" s="278">
        <v>1</v>
      </c>
      <c r="H305" s="279">
        <f t="shared" ca="1" si="38"/>
        <v>0.17320110972991043</v>
      </c>
      <c r="I305" s="304">
        <f>G305*('College Schedule'!$L$9)*(1+'Government Figures'!$B$8/12)^B305</f>
        <v>7358.5193933228602</v>
      </c>
      <c r="J305" s="304">
        <f t="shared" ca="1" si="36"/>
        <v>2531.9200461148012</v>
      </c>
      <c r="K305" s="304">
        <f t="shared" ca="1" si="32"/>
        <v>964.56196743137173</v>
      </c>
      <c r="L305" s="278">
        <v>1</v>
      </c>
      <c r="M305" s="279">
        <f t="shared" si="39"/>
        <v>0.13735784313725496</v>
      </c>
      <c r="N305" s="304">
        <f>L305*('College Schedule'!$L$10)*(1+'Government Figures'!$B$8/12)^B305</f>
        <v>4415.1116359937168</v>
      </c>
      <c r="O305" s="304">
        <f t="shared" si="37"/>
        <v>504.36084979521775</v>
      </c>
      <c r="P305" s="304">
        <f t="shared" si="33"/>
        <v>192.14164930695276</v>
      </c>
      <c r="Q305" s="277"/>
      <c r="R305" s="281"/>
      <c r="S305" s="281"/>
      <c r="T305" s="281"/>
      <c r="U305" s="281"/>
      <c r="V305" s="281"/>
      <c r="W305" s="281"/>
      <c r="X305" s="281"/>
      <c r="Y305" s="281"/>
      <c r="Z305" s="281"/>
      <c r="AA305" s="281"/>
      <c r="AB305" s="281"/>
      <c r="AC305" s="281"/>
      <c r="AD305" s="281"/>
    </row>
    <row r="306" spans="1:30" s="288" customFormat="1" x14ac:dyDescent="0.25">
      <c r="A306" s="287"/>
      <c r="B306" s="274">
        <f t="shared" si="34"/>
        <v>291</v>
      </c>
      <c r="C306" s="304">
        <f t="shared" ca="1" si="35"/>
        <v>-353.7300891969644</v>
      </c>
      <c r="D306" s="304">
        <f ca="1">IF(ROUND(E305,0)&lt;&gt;0, IF(ROUND(D305,0)&lt;&gt;0, 'Career Comparison'!$F$28-C306, 0), 0)</f>
        <v>601.52513684423184</v>
      </c>
      <c r="E306" s="304">
        <f ca="1">IF(G$7&gt;=B306, E305*(1+'Government Figures'!$D$8/12)-'Career Comparison'!$F$28, 0)</f>
        <v>162562.75575505261</v>
      </c>
      <c r="F306" s="312">
        <f>'College Schedule'!$L$8*(1+'Government Figures'!$B$8/12)^B306</f>
        <v>3309.8077422926526</v>
      </c>
      <c r="G306" s="278">
        <v>1</v>
      </c>
      <c r="H306" s="279">
        <f t="shared" ca="1" si="38"/>
        <v>0.17320110972991043</v>
      </c>
      <c r="I306" s="304">
        <f>G306*('College Schedule'!$L$9)*(1+'Government Figures'!$B$8/12)^B306</f>
        <v>7370.7835923117327</v>
      </c>
      <c r="J306" s="304">
        <f t="shared" ca="1" si="36"/>
        <v>2536.5529046044053</v>
      </c>
      <c r="K306" s="304">
        <f t="shared" ca="1" si="32"/>
        <v>963.11651593793101</v>
      </c>
      <c r="L306" s="278">
        <v>1</v>
      </c>
      <c r="M306" s="279">
        <f t="shared" si="39"/>
        <v>0.13735784313725496</v>
      </c>
      <c r="N306" s="304">
        <f>L306*('College Schedule'!$L$10)*(1+'Government Figures'!$B$8/12)^B306</f>
        <v>4422.47015538704</v>
      </c>
      <c r="O306" s="304">
        <f t="shared" si="37"/>
        <v>505.20145121154292</v>
      </c>
      <c r="P306" s="304">
        <f t="shared" si="33"/>
        <v>191.82247713202412</v>
      </c>
      <c r="Q306" s="277"/>
      <c r="R306" s="281"/>
      <c r="S306" s="281"/>
      <c r="T306" s="281"/>
      <c r="U306" s="281"/>
      <c r="V306" s="281"/>
      <c r="W306" s="281"/>
      <c r="X306" s="281"/>
      <c r="Y306" s="281"/>
      <c r="Z306" s="281"/>
      <c r="AA306" s="281"/>
      <c r="AB306" s="281"/>
      <c r="AC306" s="281"/>
      <c r="AD306" s="281"/>
    </row>
    <row r="307" spans="1:30" s="288" customFormat="1" x14ac:dyDescent="0.25">
      <c r="A307" s="287"/>
      <c r="B307" s="274">
        <f t="shared" si="34"/>
        <v>292</v>
      </c>
      <c r="C307" s="304">
        <f t="shared" ca="1" si="35"/>
        <v>-355.0418382777425</v>
      </c>
      <c r="D307" s="304">
        <f ca="1">IF(ROUND(E306,0)&lt;&gt;0, IF(ROUND(D306,0)&lt;&gt;0, 'Career Comparison'!$F$28-C307, 0), 0)</f>
        <v>602.83688592500994</v>
      </c>
      <c r="E307" s="304">
        <f ca="1">IF(G$7&gt;=B307, E306*(1+'Government Figures'!$D$8/12)-'Career Comparison'!$F$28, 0)</f>
        <v>162917.79759333035</v>
      </c>
      <c r="F307" s="312">
        <f>'College Schedule'!$L$8*(1+'Government Figures'!$B$8/12)^B307</f>
        <v>3315.3240885298069</v>
      </c>
      <c r="G307" s="278">
        <v>1</v>
      </c>
      <c r="H307" s="279">
        <f t="shared" ca="1" si="38"/>
        <v>0.17320110972991043</v>
      </c>
      <c r="I307" s="304">
        <f>G307*('College Schedule'!$L$9)*(1+'Government Figures'!$B$8/12)^B307</f>
        <v>7383.0682316322527</v>
      </c>
      <c r="J307" s="304">
        <f t="shared" ca="1" si="36"/>
        <v>2541.1934845248252</v>
      </c>
      <c r="K307" s="304">
        <f t="shared" ca="1" si="32"/>
        <v>961.67294456022444</v>
      </c>
      <c r="L307" s="278">
        <v>1</v>
      </c>
      <c r="M307" s="279">
        <f t="shared" si="39"/>
        <v>0.13735784313725496</v>
      </c>
      <c r="N307" s="304">
        <f>L307*('College Schedule'!$L$10)*(1+'Government Figures'!$B$8/12)^B307</f>
        <v>4429.8409389793524</v>
      </c>
      <c r="O307" s="304">
        <f t="shared" si="37"/>
        <v>506.04345363022912</v>
      </c>
      <c r="P307" s="304">
        <f t="shared" si="33"/>
        <v>191.50383514343287</v>
      </c>
      <c r="Q307" s="277"/>
      <c r="R307" s="281"/>
      <c r="S307" s="281"/>
      <c r="T307" s="281"/>
      <c r="U307" s="281"/>
      <c r="V307" s="281"/>
      <c r="W307" s="281"/>
      <c r="X307" s="281"/>
      <c r="Y307" s="281"/>
      <c r="Z307" s="281"/>
      <c r="AA307" s="281"/>
      <c r="AB307" s="281"/>
      <c r="AC307" s="281"/>
      <c r="AD307" s="281"/>
    </row>
    <row r="308" spans="1:30" s="288" customFormat="1" x14ac:dyDescent="0.25">
      <c r="A308" s="287"/>
      <c r="B308" s="274">
        <f t="shared" si="34"/>
        <v>293</v>
      </c>
      <c r="C308" s="304">
        <f t="shared" ca="1" si="35"/>
        <v>-356.35845176136354</v>
      </c>
      <c r="D308" s="304">
        <f ca="1">IF(ROUND(E307,0)&lt;&gt;0, IF(ROUND(D307,0)&lt;&gt;0, 'Career Comparison'!$F$28-C308, 0), 0)</f>
        <v>604.15349940863098</v>
      </c>
      <c r="E308" s="304">
        <f ca="1">IF(G$7&gt;=B308, E307*(1+'Government Figures'!$D$8/12)-'Career Comparison'!$F$28, 0)</f>
        <v>163274.15604509172</v>
      </c>
      <c r="F308" s="312">
        <f>'College Schedule'!$L$8*(1+'Government Figures'!$B$8/12)^B308</f>
        <v>3320.8496286773566</v>
      </c>
      <c r="G308" s="278">
        <v>1</v>
      </c>
      <c r="H308" s="279">
        <f t="shared" ca="1" si="38"/>
        <v>0.17320110972991043</v>
      </c>
      <c r="I308" s="304">
        <f>G308*('College Schedule'!$L$9)*(1+'Government Figures'!$B$8/12)^B308</f>
        <v>7395.3733453516397</v>
      </c>
      <c r="J308" s="304">
        <f t="shared" ca="1" si="36"/>
        <v>2545.8417987451112</v>
      </c>
      <c r="K308" s="304">
        <f t="shared" ca="1" si="32"/>
        <v>960.23125190592043</v>
      </c>
      <c r="L308" s="278">
        <v>1</v>
      </c>
      <c r="M308" s="279">
        <f t="shared" si="39"/>
        <v>0.13735784313725496</v>
      </c>
      <c r="N308" s="304">
        <f>L308*('College Schedule'!$L$10)*(1+'Government Figures'!$B$8/12)^B308</f>
        <v>4437.2240072109844</v>
      </c>
      <c r="O308" s="304">
        <f t="shared" si="37"/>
        <v>506.88685938627941</v>
      </c>
      <c r="P308" s="304">
        <f t="shared" si="33"/>
        <v>191.18572246047032</v>
      </c>
      <c r="Q308" s="277"/>
      <c r="R308" s="281"/>
      <c r="S308" s="281"/>
      <c r="T308" s="281"/>
      <c r="U308" s="281"/>
      <c r="V308" s="281"/>
      <c r="W308" s="281"/>
      <c r="X308" s="281"/>
      <c r="Y308" s="281"/>
      <c r="Z308" s="281"/>
      <c r="AA308" s="281"/>
      <c r="AB308" s="281"/>
      <c r="AC308" s="281"/>
      <c r="AD308" s="281"/>
    </row>
    <row r="309" spans="1:30" s="288" customFormat="1" x14ac:dyDescent="0.25">
      <c r="A309" s="287"/>
      <c r="B309" s="274">
        <f t="shared" si="34"/>
        <v>294</v>
      </c>
      <c r="C309" s="304">
        <f t="shared" ca="1" si="35"/>
        <v>-357.67994768664357</v>
      </c>
      <c r="D309" s="304">
        <f ca="1">IF(ROUND(E308,0)&lt;&gt;0, IF(ROUND(D308,0)&lt;&gt;0, 'Career Comparison'!$F$28-C309, 0), 0)</f>
        <v>605.47499533391101</v>
      </c>
      <c r="E309" s="304">
        <f ca="1">IF(G$7&gt;=B309, E308*(1+'Government Figures'!$D$8/12)-'Career Comparison'!$F$28, 0)</f>
        <v>163631.83599277836</v>
      </c>
      <c r="F309" s="312">
        <f>'College Schedule'!$L$8*(1+'Government Figures'!$B$8/12)^B309</f>
        <v>3326.3843780584857</v>
      </c>
      <c r="G309" s="278">
        <v>1</v>
      </c>
      <c r="H309" s="279">
        <f t="shared" ca="1" si="38"/>
        <v>0.17320110972991043</v>
      </c>
      <c r="I309" s="304">
        <f>G309*('College Schedule'!$L$9)*(1+'Government Figures'!$B$8/12)^B309</f>
        <v>7407.6989675938921</v>
      </c>
      <c r="J309" s="304">
        <f t="shared" ca="1" si="36"/>
        <v>2550.4978601557655</v>
      </c>
      <c r="K309" s="304">
        <f t="shared" ca="1" si="32"/>
        <v>958.7914365792526</v>
      </c>
      <c r="L309" s="278">
        <v>1</v>
      </c>
      <c r="M309" s="279">
        <f t="shared" si="39"/>
        <v>0.13735784313725496</v>
      </c>
      <c r="N309" s="304">
        <f>L309*('College Schedule'!$L$10)*(1+'Government Figures'!$B$8/12)^B309</f>
        <v>4444.6193805563362</v>
      </c>
      <c r="O309" s="304">
        <f t="shared" si="37"/>
        <v>507.73167081858992</v>
      </c>
      <c r="P309" s="304">
        <f t="shared" si="33"/>
        <v>190.86813820389142</v>
      </c>
      <c r="Q309" s="277"/>
      <c r="R309" s="281"/>
      <c r="S309" s="281"/>
      <c r="T309" s="281"/>
      <c r="U309" s="281"/>
      <c r="V309" s="281"/>
      <c r="W309" s="281"/>
      <c r="X309" s="281"/>
      <c r="Y309" s="281"/>
      <c r="Z309" s="281"/>
      <c r="AA309" s="281"/>
      <c r="AB309" s="281"/>
      <c r="AC309" s="281"/>
      <c r="AD309" s="281"/>
    </row>
    <row r="310" spans="1:30" s="288" customFormat="1" x14ac:dyDescent="0.25">
      <c r="A310" s="287"/>
      <c r="B310" s="274">
        <f t="shared" si="34"/>
        <v>295</v>
      </c>
      <c r="C310" s="304">
        <f t="shared" ca="1" si="35"/>
        <v>-359.00634415930836</v>
      </c>
      <c r="D310" s="304">
        <f ca="1">IF(ROUND(E309,0)&lt;&gt;0, IF(ROUND(D309,0)&lt;&gt;0, 'Career Comparison'!$F$28-C310, 0), 0)</f>
        <v>606.80139180657579</v>
      </c>
      <c r="E310" s="304">
        <f ca="1">IF(G$7&gt;=B310, E309*(1+'Government Figures'!$D$8/12)-'Career Comparison'!$F$28, 0)</f>
        <v>163990.84233693767</v>
      </c>
      <c r="F310" s="312">
        <f>'College Schedule'!$L$8*(1+'Government Figures'!$B$8/12)^B310</f>
        <v>3331.9283520219174</v>
      </c>
      <c r="G310" s="278">
        <v>1</v>
      </c>
      <c r="H310" s="279">
        <f t="shared" ca="1" si="38"/>
        <v>0.17320110972991043</v>
      </c>
      <c r="I310" s="304">
        <f>G310*('College Schedule'!$L$9)*(1+'Government Figures'!$B$8/12)^B310</f>
        <v>7420.0451325398835</v>
      </c>
      <c r="J310" s="304">
        <f t="shared" ca="1" si="36"/>
        <v>2555.1616816687701</v>
      </c>
      <c r="K310" s="304">
        <f t="shared" ca="1" si="32"/>
        <v>957.35349718104044</v>
      </c>
      <c r="L310" s="278">
        <v>1</v>
      </c>
      <c r="M310" s="279">
        <f t="shared" si="39"/>
        <v>0.13735784313725496</v>
      </c>
      <c r="N310" s="304">
        <f>L310*('College Schedule'!$L$10)*(1+'Government Figures'!$B$8/12)^B310</f>
        <v>4452.0270795239312</v>
      </c>
      <c r="O310" s="304">
        <f t="shared" si="37"/>
        <v>508.57789026995442</v>
      </c>
      <c r="P310" s="304">
        <f t="shared" si="33"/>
        <v>190.55108149591157</v>
      </c>
      <c r="Q310" s="277"/>
      <c r="R310" s="281"/>
      <c r="S310" s="281"/>
      <c r="T310" s="281"/>
      <c r="U310" s="281"/>
      <c r="V310" s="281"/>
      <c r="W310" s="281"/>
      <c r="X310" s="281"/>
      <c r="Y310" s="281"/>
      <c r="Z310" s="281"/>
      <c r="AA310" s="281"/>
      <c r="AB310" s="281"/>
      <c r="AC310" s="281"/>
      <c r="AD310" s="281"/>
    </row>
    <row r="311" spans="1:30" s="288" customFormat="1" x14ac:dyDescent="0.25">
      <c r="A311" s="287"/>
      <c r="B311" s="274">
        <f t="shared" si="34"/>
        <v>296</v>
      </c>
      <c r="C311" s="304">
        <f t="shared" ca="1" si="35"/>
        <v>-360.33765935222618</v>
      </c>
      <c r="D311" s="304">
        <f ca="1">IF(ROUND(E310,0)&lt;&gt;0, IF(ROUND(D310,0)&lt;&gt;0, 'Career Comparison'!$F$28-C311, 0), 0)</f>
        <v>608.13270699949362</v>
      </c>
      <c r="E311" s="304">
        <f ca="1">IF(G$7&gt;=B311, E310*(1+'Government Figures'!$D$8/12)-'Career Comparison'!$F$28, 0)</f>
        <v>164351.17999628989</v>
      </c>
      <c r="F311" s="312">
        <f>'College Schedule'!$L$8*(1+'Government Figures'!$B$8/12)^B311</f>
        <v>3337.4815659419542</v>
      </c>
      <c r="G311" s="278">
        <v>1</v>
      </c>
      <c r="H311" s="279">
        <f t="shared" ca="1" si="38"/>
        <v>0.17320110972991043</v>
      </c>
      <c r="I311" s="304">
        <f>G311*('College Schedule'!$L$9)*(1+'Government Figures'!$B$8/12)^B311</f>
        <v>7432.411874427451</v>
      </c>
      <c r="J311" s="304">
        <f t="shared" ca="1" si="36"/>
        <v>2559.8332762176315</v>
      </c>
      <c r="K311" s="304">
        <f t="shared" ca="1" si="32"/>
        <v>955.91743230871737</v>
      </c>
      <c r="L311" s="278">
        <v>1</v>
      </c>
      <c r="M311" s="279">
        <f t="shared" si="39"/>
        <v>0.13735784313725496</v>
      </c>
      <c r="N311" s="304">
        <f>L311*('College Schedule'!$L$10)*(1+'Government Figures'!$B$8/12)^B311</f>
        <v>4459.4471246564717</v>
      </c>
      <c r="O311" s="304">
        <f t="shared" si="37"/>
        <v>509.42552008707116</v>
      </c>
      <c r="P311" s="304">
        <f t="shared" si="33"/>
        <v>190.23455146020416</v>
      </c>
      <c r="Q311" s="277"/>
      <c r="R311" s="281"/>
      <c r="S311" s="281"/>
      <c r="T311" s="281"/>
      <c r="U311" s="281"/>
      <c r="V311" s="281"/>
      <c r="W311" s="281"/>
      <c r="X311" s="281"/>
      <c r="Y311" s="281"/>
      <c r="Z311" s="281"/>
      <c r="AA311" s="281"/>
      <c r="AB311" s="281"/>
      <c r="AC311" s="281"/>
      <c r="AD311" s="281"/>
    </row>
    <row r="312" spans="1:30" s="288" customFormat="1" x14ac:dyDescent="0.25">
      <c r="A312" s="287"/>
      <c r="B312" s="274">
        <f t="shared" si="34"/>
        <v>297</v>
      </c>
      <c r="C312" s="304">
        <f t="shared" ca="1" si="35"/>
        <v>-361.67391150566982</v>
      </c>
      <c r="D312" s="304">
        <f ca="1">IF(ROUND(E311,0)&lt;&gt;0, IF(ROUND(D311,0)&lt;&gt;0, 'Career Comparison'!$F$28-C312, 0), 0)</f>
        <v>609.46895915293726</v>
      </c>
      <c r="E312" s="304">
        <f ca="1">IF(G$7&gt;=B312, E311*(1+'Government Figures'!$D$8/12)-'Career Comparison'!$F$28, 0)</f>
        <v>164712.85390779556</v>
      </c>
      <c r="F312" s="312">
        <f>'College Schedule'!$L$8*(1+'Government Figures'!$B$8/12)^B312</f>
        <v>3343.0440352185237</v>
      </c>
      <c r="G312" s="278">
        <v>1</v>
      </c>
      <c r="H312" s="279">
        <f t="shared" ca="1" si="38"/>
        <v>0.17320110972991043</v>
      </c>
      <c r="I312" s="304">
        <f>G312*('College Schedule'!$L$9)*(1+'Government Figures'!$B$8/12)^B312</f>
        <v>7444.7992275514962</v>
      </c>
      <c r="J312" s="304">
        <f t="shared" ca="1" si="36"/>
        <v>2564.5126567574061</v>
      </c>
      <c r="K312" s="304">
        <f t="shared" ca="1" si="32"/>
        <v>954.48324055635135</v>
      </c>
      <c r="L312" s="278">
        <v>1</v>
      </c>
      <c r="M312" s="279">
        <f t="shared" si="39"/>
        <v>0.13735784313725496</v>
      </c>
      <c r="N312" s="304">
        <f>L312*('College Schedule'!$L$10)*(1+'Government Figures'!$B$8/12)^B312</f>
        <v>4466.8795365308988</v>
      </c>
      <c r="O312" s="304">
        <f t="shared" si="37"/>
        <v>510.27456262054966</v>
      </c>
      <c r="P312" s="304">
        <f t="shared" si="33"/>
        <v>189.91854722189819</v>
      </c>
      <c r="Q312" s="277"/>
      <c r="R312" s="281"/>
      <c r="S312" s="281"/>
      <c r="T312" s="281"/>
      <c r="U312" s="281"/>
      <c r="V312" s="281"/>
      <c r="W312" s="281"/>
      <c r="X312" s="281"/>
      <c r="Y312" s="281"/>
      <c r="Z312" s="281"/>
      <c r="AA312" s="281"/>
      <c r="AB312" s="281"/>
      <c r="AC312" s="281"/>
      <c r="AD312" s="281"/>
    </row>
    <row r="313" spans="1:30" s="288" customFormat="1" x14ac:dyDescent="0.25">
      <c r="A313" s="287"/>
      <c r="B313" s="274">
        <f t="shared" si="34"/>
        <v>298</v>
      </c>
      <c r="C313" s="304">
        <f t="shared" ca="1" si="35"/>
        <v>-363.01511892749113</v>
      </c>
      <c r="D313" s="304">
        <f ca="1">IF(ROUND(E312,0)&lt;&gt;0, IF(ROUND(D312,0)&lt;&gt;0, 'Career Comparison'!$F$28-C313, 0), 0)</f>
        <v>610.81016657475857</v>
      </c>
      <c r="E313" s="304">
        <f ca="1">IF(G$7&gt;=B313, E312*(1+'Government Figures'!$D$8/12)-'Career Comparison'!$F$28, 0)</f>
        <v>165075.86902672306</v>
      </c>
      <c r="F313" s="312">
        <f>'College Schedule'!$L$8*(1+'Government Figures'!$B$8/12)^B313</f>
        <v>3348.6157752772215</v>
      </c>
      <c r="G313" s="278">
        <v>1</v>
      </c>
      <c r="H313" s="279">
        <f t="shared" ca="1" si="38"/>
        <v>0.17320110972991043</v>
      </c>
      <c r="I313" s="304">
        <f>G313*('College Schedule'!$L$9)*(1+'Government Figures'!$B$8/12)^B313</f>
        <v>7457.2072262640822</v>
      </c>
      <c r="J313" s="304">
        <f t="shared" ca="1" si="36"/>
        <v>2569.1998362647469</v>
      </c>
      <c r="K313" s="304">
        <f t="shared" ca="1" si="32"/>
        <v>953.05092051467261</v>
      </c>
      <c r="L313" s="278">
        <v>1</v>
      </c>
      <c r="M313" s="279">
        <f t="shared" si="39"/>
        <v>0.13735784313725496</v>
      </c>
      <c r="N313" s="304">
        <f>L313*('College Schedule'!$L$10)*(1+'Government Figures'!$B$8/12)^B313</f>
        <v>4474.3243357584506</v>
      </c>
      <c r="O313" s="304">
        <f t="shared" si="37"/>
        <v>511.12502022491753</v>
      </c>
      <c r="P313" s="304">
        <f t="shared" si="33"/>
        <v>189.60306790757616</v>
      </c>
      <c r="Q313" s="277"/>
      <c r="R313" s="281"/>
      <c r="S313" s="281"/>
      <c r="T313" s="281"/>
      <c r="U313" s="281"/>
      <c r="V313" s="281"/>
      <c r="W313" s="281"/>
      <c r="X313" s="281"/>
      <c r="Y313" s="281"/>
      <c r="Z313" s="281"/>
      <c r="AA313" s="281"/>
      <c r="AB313" s="281"/>
      <c r="AC313" s="281"/>
      <c r="AD313" s="281"/>
    </row>
    <row r="314" spans="1:30" s="288" customFormat="1" x14ac:dyDescent="0.25">
      <c r="A314" s="287"/>
      <c r="B314" s="274">
        <f t="shared" si="34"/>
        <v>299</v>
      </c>
      <c r="C314" s="304">
        <f t="shared" ca="1" si="35"/>
        <v>-364.36129999352852</v>
      </c>
      <c r="D314" s="304">
        <f ca="1">IF(ROUND(E313,0)&lt;&gt;0, IF(ROUND(D313,0)&lt;&gt;0, 'Career Comparison'!$F$28-C314, 0), 0)</f>
        <v>612.15634764079596</v>
      </c>
      <c r="E314" s="304">
        <f ca="1">IF(G$7&gt;=B314, E313*(1+'Government Figures'!$D$8/12)-'Career Comparison'!$F$28, 0)</f>
        <v>165440.23032671658</v>
      </c>
      <c r="F314" s="312">
        <f>'College Schedule'!$L$8*(1+'Government Figures'!$B$8/12)^B314</f>
        <v>3354.1968015693506</v>
      </c>
      <c r="G314" s="278">
        <v>1</v>
      </c>
      <c r="H314" s="279">
        <f t="shared" ca="1" si="38"/>
        <v>0.17320110972991043</v>
      </c>
      <c r="I314" s="304">
        <f>G314*('College Schedule'!$L$9)*(1+'Government Figures'!$B$8/12)^B314</f>
        <v>7469.6359049745233</v>
      </c>
      <c r="J314" s="304">
        <f t="shared" ca="1" si="36"/>
        <v>2573.8948277379341</v>
      </c>
      <c r="K314" s="304">
        <f t="shared" ca="1" si="32"/>
        <v>951.62047077109867</v>
      </c>
      <c r="L314" s="278">
        <v>1</v>
      </c>
      <c r="M314" s="279">
        <f t="shared" si="39"/>
        <v>0.13735784313725496</v>
      </c>
      <c r="N314" s="304">
        <f>L314*('College Schedule'!$L$10)*(1+'Government Figures'!$B$8/12)^B314</f>
        <v>4481.7815429847151</v>
      </c>
      <c r="O314" s="304">
        <f t="shared" si="37"/>
        <v>511.97689525862552</v>
      </c>
      <c r="P314" s="304">
        <f t="shared" si="33"/>
        <v>189.2881126452711</v>
      </c>
      <c r="Q314" s="277"/>
      <c r="R314" s="281"/>
      <c r="S314" s="281"/>
      <c r="T314" s="281"/>
      <c r="U314" s="281"/>
      <c r="V314" s="281"/>
      <c r="W314" s="281"/>
      <c r="X314" s="281"/>
      <c r="Y314" s="281"/>
      <c r="Z314" s="281"/>
      <c r="AA314" s="281"/>
      <c r="AB314" s="281"/>
      <c r="AC314" s="281"/>
      <c r="AD314" s="281"/>
    </row>
    <row r="315" spans="1:30" s="288" customFormat="1" x14ac:dyDescent="0.25">
      <c r="A315" s="287"/>
      <c r="B315" s="274">
        <f t="shared" si="34"/>
        <v>300</v>
      </c>
      <c r="C315" s="304">
        <f t="shared" ca="1" si="35"/>
        <v>-365.71247314766515</v>
      </c>
      <c r="D315" s="304">
        <f ca="1">IF(ROUND(E314,0)&lt;&gt;0, IF(ROUND(D314,0)&lt;&gt;0, 'Career Comparison'!$F$28-C315, 0), 0)</f>
        <v>613.50752079493259</v>
      </c>
      <c r="E315" s="304">
        <f ca="1">IF(G$7&gt;=B315, E314*(1+'Government Figures'!$D$8/12)-'Career Comparison'!$F$28, 0)</f>
        <v>165805.94279986425</v>
      </c>
      <c r="F315" s="312">
        <f>'College Schedule'!$L$8*(1+'Government Figures'!$B$8/12)^B315</f>
        <v>3359.787129571966</v>
      </c>
      <c r="G315" s="278">
        <v>1</v>
      </c>
      <c r="H315" s="279">
        <f t="shared" ca="1" si="38"/>
        <v>0.17320110972991043</v>
      </c>
      <c r="I315" s="304">
        <f>G315*('College Schedule'!$L$9)*(1+'Government Figures'!$B$8/12)^B315</f>
        <v>7482.0852981494809</v>
      </c>
      <c r="J315" s="304">
        <f t="shared" ca="1" si="36"/>
        <v>2578.5976441969092</v>
      </c>
      <c r="K315" s="304">
        <f t="shared" ca="1" si="32"/>
        <v>950.19188990975522</v>
      </c>
      <c r="L315" s="278">
        <v>1</v>
      </c>
      <c r="M315" s="279">
        <f t="shared" si="39"/>
        <v>0.13735784313725496</v>
      </c>
      <c r="N315" s="304">
        <f>L315*('College Schedule'!$L$10)*(1+'Government Figures'!$B$8/12)^B315</f>
        <v>4489.2511788896891</v>
      </c>
      <c r="O315" s="304">
        <f t="shared" si="37"/>
        <v>512.83019008405608</v>
      </c>
      <c r="P315" s="304">
        <f t="shared" si="33"/>
        <v>188.97368056446484</v>
      </c>
      <c r="Q315" s="277"/>
      <c r="R315" s="281"/>
      <c r="S315" s="281"/>
      <c r="T315" s="281"/>
      <c r="U315" s="281"/>
      <c r="V315" s="281"/>
      <c r="W315" s="281"/>
      <c r="X315" s="281"/>
      <c r="Y315" s="281"/>
      <c r="Z315" s="281"/>
      <c r="AA315" s="281"/>
      <c r="AB315" s="281"/>
      <c r="AC315" s="281"/>
      <c r="AD315" s="281"/>
    </row>
    <row r="316" spans="1:30" s="288" customFormat="1" x14ac:dyDescent="0.25">
      <c r="A316" s="287"/>
      <c r="B316" s="274">
        <f t="shared" si="34"/>
        <v>301</v>
      </c>
      <c r="C316" s="304">
        <f t="shared" ca="1" si="35"/>
        <v>-367.0686569022364</v>
      </c>
      <c r="D316" s="304">
        <f ca="1">IF(ROUND(E315,0)&lt;&gt;0, IF(ROUND(D315,0)&lt;&gt;0, 'Career Comparison'!$F$28-C316, 0), 0)</f>
        <v>614.86370454950384</v>
      </c>
      <c r="E316" s="304">
        <f ca="1">IF(G$7&gt;=B316, E315*(1+'Government Figures'!$D$8/12)-'Career Comparison'!$F$28, 0)</f>
        <v>166173.01145676649</v>
      </c>
      <c r="F316" s="312">
        <f>'College Schedule'!$L$8*(1+'Government Figures'!$B$8/12)^B316</f>
        <v>3365.3867747879203</v>
      </c>
      <c r="G316" s="278">
        <v>1</v>
      </c>
      <c r="H316" s="279">
        <f t="shared" ca="1" si="38"/>
        <v>0.17320110972991043</v>
      </c>
      <c r="I316" s="304">
        <f>G316*('College Schedule'!$L$9)*(1+'Government Figures'!$B$8/12)^B316</f>
        <v>7494.5554403130654</v>
      </c>
      <c r="J316" s="304">
        <f t="shared" ca="1" si="36"/>
        <v>2583.3082986833174</v>
      </c>
      <c r="K316" s="304">
        <f t="shared" ca="1" si="32"/>
        <v>948.76517651150323</v>
      </c>
      <c r="L316" s="278">
        <v>1</v>
      </c>
      <c r="M316" s="279">
        <f t="shared" si="39"/>
        <v>0.13735784313725496</v>
      </c>
      <c r="N316" s="304">
        <f>L316*('College Schedule'!$L$10)*(1+'Government Figures'!$B$8/12)^B316</f>
        <v>4496.7332641878402</v>
      </c>
      <c r="O316" s="304">
        <f t="shared" si="37"/>
        <v>513.68490706752982</v>
      </c>
      <c r="P316" s="304">
        <f t="shared" si="33"/>
        <v>188.65977079608544</v>
      </c>
      <c r="Q316" s="277"/>
      <c r="R316" s="281"/>
      <c r="S316" s="281"/>
      <c r="T316" s="281"/>
      <c r="U316" s="281"/>
      <c r="V316" s="281"/>
      <c r="W316" s="281"/>
      <c r="X316" s="281"/>
      <c r="Y316" s="281"/>
      <c r="Z316" s="281"/>
      <c r="AA316" s="281"/>
      <c r="AB316" s="281"/>
      <c r="AC316" s="281"/>
      <c r="AD316" s="281"/>
    </row>
    <row r="317" spans="1:30" s="288" customFormat="1" x14ac:dyDescent="0.25">
      <c r="A317" s="287"/>
      <c r="B317" s="274">
        <f t="shared" si="34"/>
        <v>302</v>
      </c>
      <c r="C317" s="304">
        <f t="shared" ca="1" si="35"/>
        <v>-368.42986983826268</v>
      </c>
      <c r="D317" s="304">
        <f ca="1">IF(ROUND(E316,0)&lt;&gt;0, IF(ROUND(D316,0)&lt;&gt;0, 'Career Comparison'!$F$28-C317, 0), 0)</f>
        <v>616.22491748553011</v>
      </c>
      <c r="E317" s="304">
        <f ca="1">IF(G$7&gt;=B317, E316*(1+'Government Figures'!$D$8/12)-'Career Comparison'!$F$28, 0)</f>
        <v>166541.44132660475</v>
      </c>
      <c r="F317" s="312">
        <f>'College Schedule'!$L$8*(1+'Government Figures'!$B$8/12)^B317</f>
        <v>3370.9957527459001</v>
      </c>
      <c r="G317" s="278">
        <v>1</v>
      </c>
      <c r="H317" s="279">
        <f t="shared" ca="1" si="38"/>
        <v>0.17320110972991043</v>
      </c>
      <c r="I317" s="304">
        <f>G317*('College Schedule'!$L$9)*(1+'Government Figures'!$B$8/12)^B317</f>
        <v>7507.0463660469204</v>
      </c>
      <c r="J317" s="304">
        <f t="shared" ca="1" si="36"/>
        <v>2588.0268042605353</v>
      </c>
      <c r="K317" s="304">
        <f t="shared" ca="1" si="32"/>
        <v>947.34032915396062</v>
      </c>
      <c r="L317" s="278">
        <v>1</v>
      </c>
      <c r="M317" s="279">
        <f t="shared" si="39"/>
        <v>0.13735784313725496</v>
      </c>
      <c r="N317" s="304">
        <f>L317*('College Schedule'!$L$10)*(1+'Government Figures'!$B$8/12)^B317</f>
        <v>4504.2278196281532</v>
      </c>
      <c r="O317" s="304">
        <f t="shared" si="37"/>
        <v>514.54104857930906</v>
      </c>
      <c r="P317" s="304">
        <f t="shared" si="33"/>
        <v>188.34638247250388</v>
      </c>
      <c r="Q317" s="277"/>
      <c r="R317" s="281"/>
      <c r="S317" s="281"/>
      <c r="T317" s="281"/>
      <c r="U317" s="281"/>
      <c r="V317" s="281"/>
      <c r="W317" s="281"/>
      <c r="X317" s="281"/>
      <c r="Y317" s="281"/>
      <c r="Z317" s="281"/>
      <c r="AA317" s="281"/>
      <c r="AB317" s="281"/>
      <c r="AC317" s="281"/>
      <c r="AD317" s="281"/>
    </row>
    <row r="318" spans="1:30" s="288" customFormat="1" x14ac:dyDescent="0.25">
      <c r="A318" s="287"/>
      <c r="B318" s="274">
        <f t="shared" si="34"/>
        <v>303</v>
      </c>
      <c r="C318" s="304">
        <f t="shared" ca="1" si="35"/>
        <v>-369.79613060556585</v>
      </c>
      <c r="D318" s="304">
        <f ca="1">IF(ROUND(E317,0)&lt;&gt;0, IF(ROUND(D317,0)&lt;&gt;0, 'Career Comparison'!$F$28-C318, 0), 0)</f>
        <v>617.59117825283329</v>
      </c>
      <c r="E318" s="304">
        <f ca="1">IF(G$7&gt;=B318, E317*(1+'Government Figures'!$D$8/12)-'Career Comparison'!$F$28, 0)</f>
        <v>166911.23745721031</v>
      </c>
      <c r="F318" s="312">
        <f>'College Schedule'!$L$8*(1+'Government Figures'!$B$8/12)^B318</f>
        <v>3376.614079000477</v>
      </c>
      <c r="G318" s="278">
        <v>1</v>
      </c>
      <c r="H318" s="279">
        <f t="shared" ca="1" si="38"/>
        <v>0.17320110972991043</v>
      </c>
      <c r="I318" s="304">
        <f>G318*('College Schedule'!$L$9)*(1+'Government Figures'!$B$8/12)^B318</f>
        <v>7519.558109990332</v>
      </c>
      <c r="J318" s="304">
        <f t="shared" ca="1" si="36"/>
        <v>2592.7531740137147</v>
      </c>
      <c r="K318" s="304">
        <f t="shared" ca="1" si="32"/>
        <v>945.91734641152891</v>
      </c>
      <c r="L318" s="278">
        <v>1</v>
      </c>
      <c r="M318" s="279">
        <f t="shared" si="39"/>
        <v>0.13735784313725496</v>
      </c>
      <c r="N318" s="304">
        <f>L318*('College Schedule'!$L$10)*(1+'Government Figures'!$B$8/12)^B318</f>
        <v>4511.7348659941999</v>
      </c>
      <c r="O318" s="304">
        <f t="shared" si="37"/>
        <v>515.39861699360745</v>
      </c>
      <c r="P318" s="304">
        <f t="shared" si="33"/>
        <v>188.03351472753275</v>
      </c>
      <c r="Q318" s="277"/>
      <c r="R318" s="281"/>
      <c r="S318" s="281"/>
      <c r="T318" s="281"/>
      <c r="U318" s="281"/>
      <c r="V318" s="281"/>
      <c r="W318" s="281"/>
      <c r="X318" s="281"/>
      <c r="Y318" s="281"/>
      <c r="Z318" s="281"/>
      <c r="AA318" s="281"/>
      <c r="AB318" s="281"/>
      <c r="AC318" s="281"/>
      <c r="AD318" s="281"/>
    </row>
    <row r="319" spans="1:30" s="288" customFormat="1" x14ac:dyDescent="0.25">
      <c r="A319" s="287"/>
      <c r="B319" s="274">
        <f t="shared" si="34"/>
        <v>304</v>
      </c>
      <c r="C319" s="304">
        <f t="shared" ca="1" si="35"/>
        <v>-371.16745792323491</v>
      </c>
      <c r="D319" s="304">
        <f ca="1">IF(ROUND(E318,0)&lt;&gt;0, IF(ROUND(D318,0)&lt;&gt;0, 'Career Comparison'!$F$28-C319, 0), 0)</f>
        <v>618.96250557050234</v>
      </c>
      <c r="E319" s="304">
        <f ca="1">IF(G$7&gt;=B319, E318*(1+'Government Figures'!$D$8/12)-'Career Comparison'!$F$28, 0)</f>
        <v>167282.40491513355</v>
      </c>
      <c r="F319" s="312">
        <f>'College Schedule'!$L$8*(1+'Government Figures'!$B$8/12)^B319</f>
        <v>3382.2417691321448</v>
      </c>
      <c r="G319" s="278">
        <v>1</v>
      </c>
      <c r="H319" s="279">
        <f t="shared" ca="1" si="38"/>
        <v>0.17320110972991043</v>
      </c>
      <c r="I319" s="304">
        <f>G319*('College Schedule'!$L$9)*(1+'Government Figures'!$B$8/12)^B319</f>
        <v>7532.0907068403176</v>
      </c>
      <c r="J319" s="304">
        <f t="shared" ca="1" si="36"/>
        <v>2597.4874210498165</v>
      </c>
      <c r="K319" s="304">
        <f t="shared" ca="1" si="32"/>
        <v>944.49622685541567</v>
      </c>
      <c r="L319" s="278">
        <v>1</v>
      </c>
      <c r="M319" s="279">
        <f t="shared" si="39"/>
        <v>0.13735784313725496</v>
      </c>
      <c r="N319" s="304">
        <f>L319*('College Schedule'!$L$10)*(1+'Government Figures'!$B$8/12)^B319</f>
        <v>4519.2544241041915</v>
      </c>
      <c r="O319" s="304">
        <f t="shared" si="37"/>
        <v>516.25761468859764</v>
      </c>
      <c r="P319" s="304">
        <f t="shared" si="33"/>
        <v>187.72116669642418</v>
      </c>
      <c r="Q319" s="277"/>
      <c r="R319" s="281"/>
      <c r="S319" s="281"/>
      <c r="T319" s="281"/>
      <c r="U319" s="281"/>
      <c r="V319" s="281"/>
      <c r="W319" s="281"/>
      <c r="X319" s="281"/>
      <c r="Y319" s="281"/>
      <c r="Z319" s="281"/>
      <c r="AA319" s="281"/>
      <c r="AB319" s="281"/>
      <c r="AC319" s="281"/>
      <c r="AD319" s="281"/>
    </row>
    <row r="320" spans="1:30" s="288" customFormat="1" x14ac:dyDescent="0.25">
      <c r="A320" s="287"/>
      <c r="B320" s="274">
        <f t="shared" si="34"/>
        <v>305</v>
      </c>
      <c r="C320" s="304">
        <f t="shared" ca="1" si="35"/>
        <v>-372.54387057971326</v>
      </c>
      <c r="D320" s="304">
        <f ca="1">IF(ROUND(E319,0)&lt;&gt;0, IF(ROUND(D319,0)&lt;&gt;0, 'Career Comparison'!$F$28-C320, 0), 0)</f>
        <v>620.3389182269807</v>
      </c>
      <c r="E320" s="304">
        <f ca="1">IF(G$7&gt;=B320, E319*(1+'Government Figures'!$D$8/12)-'Career Comparison'!$F$28, 0)</f>
        <v>167654.94878571326</v>
      </c>
      <c r="F320" s="312">
        <f>'College Schedule'!$L$8*(1+'Government Figures'!$B$8/12)^B320</f>
        <v>3387.8788387473651</v>
      </c>
      <c r="G320" s="278">
        <v>1</v>
      </c>
      <c r="H320" s="279">
        <f t="shared" ca="1" si="38"/>
        <v>0.17320110972991043</v>
      </c>
      <c r="I320" s="304">
        <f>G320*('College Schedule'!$L$9)*(1+'Government Figures'!$B$8/12)^B320</f>
        <v>7544.6441913517183</v>
      </c>
      <c r="J320" s="304">
        <f t="shared" ca="1" si="36"/>
        <v>2602.229558497645</v>
      </c>
      <c r="K320" s="304">
        <f t="shared" ca="1" si="32"/>
        <v>943.07696905365822</v>
      </c>
      <c r="L320" s="278">
        <v>1</v>
      </c>
      <c r="M320" s="279">
        <f t="shared" si="39"/>
        <v>0.13735784313725496</v>
      </c>
      <c r="N320" s="304">
        <f>L320*('College Schedule'!$L$10)*(1+'Government Figures'!$B$8/12)^B320</f>
        <v>4526.7865148110313</v>
      </c>
      <c r="O320" s="304">
        <f t="shared" si="37"/>
        <v>517.11804404641134</v>
      </c>
      <c r="P320" s="304">
        <f t="shared" si="33"/>
        <v>187.40933751586508</v>
      </c>
      <c r="Q320" s="277"/>
      <c r="R320" s="281"/>
      <c r="S320" s="281"/>
      <c r="T320" s="281"/>
      <c r="U320" s="281"/>
      <c r="V320" s="281"/>
      <c r="W320" s="281"/>
      <c r="X320" s="281"/>
      <c r="Y320" s="281"/>
      <c r="Z320" s="281"/>
      <c r="AA320" s="281"/>
      <c r="AB320" s="281"/>
      <c r="AC320" s="281"/>
      <c r="AD320" s="281"/>
    </row>
    <row r="321" spans="1:30" s="288" customFormat="1" x14ac:dyDescent="0.25">
      <c r="A321" s="287"/>
      <c r="B321" s="274">
        <f t="shared" si="34"/>
        <v>306</v>
      </c>
      <c r="C321" s="304">
        <f t="shared" ca="1" si="35"/>
        <v>-373.92538743311889</v>
      </c>
      <c r="D321" s="304">
        <f ca="1">IF(ROUND(E320,0)&lt;&gt;0, IF(ROUND(D320,0)&lt;&gt;0, 'Career Comparison'!$F$28-C321, 0), 0)</f>
        <v>621.72043508038632</v>
      </c>
      <c r="E321" s="304">
        <f ca="1">IF(G$7&gt;=B321, E320*(1+'Government Figures'!$D$8/12)-'Career Comparison'!$F$28, 0)</f>
        <v>168028.87417314638</v>
      </c>
      <c r="F321" s="312">
        <f>'College Schedule'!$L$8*(1+'Government Figures'!$B$8/12)^B321</f>
        <v>3393.5253034786101</v>
      </c>
      <c r="G321" s="278">
        <v>1</v>
      </c>
      <c r="H321" s="279">
        <f t="shared" ca="1" si="38"/>
        <v>0.17320110972991043</v>
      </c>
      <c r="I321" s="304">
        <f>G321*('College Schedule'!$L$9)*(1+'Government Figures'!$B$8/12)^B321</f>
        <v>7557.2185983373038</v>
      </c>
      <c r="J321" s="304">
        <f t="shared" ca="1" si="36"/>
        <v>2606.9795995078871</v>
      </c>
      <c r="K321" s="304">
        <f t="shared" ca="1" si="32"/>
        <v>941.65957157114758</v>
      </c>
      <c r="L321" s="278">
        <v>1</v>
      </c>
      <c r="M321" s="279">
        <f t="shared" si="39"/>
        <v>0.13735784313725496</v>
      </c>
      <c r="N321" s="304">
        <f>L321*('College Schedule'!$L$10)*(1+'Government Figures'!$B$8/12)^B321</f>
        <v>4534.3311590023832</v>
      </c>
      <c r="O321" s="304">
        <f t="shared" si="37"/>
        <v>517.9799074531561</v>
      </c>
      <c r="P321" s="304">
        <f t="shared" si="33"/>
        <v>187.09802632397853</v>
      </c>
      <c r="Q321" s="277"/>
      <c r="R321" s="281"/>
      <c r="S321" s="281"/>
      <c r="T321" s="281"/>
      <c r="U321" s="281"/>
      <c r="V321" s="281"/>
      <c r="W321" s="281"/>
      <c r="X321" s="281"/>
      <c r="Y321" s="281"/>
      <c r="Z321" s="281"/>
      <c r="AA321" s="281"/>
      <c r="AB321" s="281"/>
      <c r="AC321" s="281"/>
      <c r="AD321" s="281"/>
    </row>
    <row r="322" spans="1:30" s="288" customFormat="1" x14ac:dyDescent="0.25">
      <c r="A322" s="287"/>
      <c r="B322" s="274">
        <f t="shared" si="34"/>
        <v>307</v>
      </c>
      <c r="C322" s="304">
        <f t="shared" ca="1" si="35"/>
        <v>-375.31202741150628</v>
      </c>
      <c r="D322" s="304">
        <f ca="1">IF(ROUND(E321,0)&lt;&gt;0, IF(ROUND(D321,0)&lt;&gt;0, 'Career Comparison'!$F$28-C322, 0), 0)</f>
        <v>623.10707505877372</v>
      </c>
      <c r="E322" s="304">
        <f ca="1">IF(G$7&gt;=B322, E321*(1+'Government Figures'!$D$8/12)-'Career Comparison'!$F$28, 0)</f>
        <v>168404.18620055789</v>
      </c>
      <c r="F322" s="312">
        <f>'College Schedule'!$L$8*(1+'Government Figures'!$B$8/12)^B322</f>
        <v>3399.1811789844091</v>
      </c>
      <c r="G322" s="278">
        <v>1</v>
      </c>
      <c r="H322" s="279">
        <f t="shared" ca="1" si="38"/>
        <v>0.17320110972991043</v>
      </c>
      <c r="I322" s="304">
        <f>G322*('College Schedule'!$L$9)*(1+'Government Figures'!$B$8/12)^B322</f>
        <v>7569.8139626678676</v>
      </c>
      <c r="J322" s="304">
        <f t="shared" ca="1" si="36"/>
        <v>2611.7375572531455</v>
      </c>
      <c r="K322" s="304">
        <f t="shared" ca="1" si="32"/>
        <v>940.24403296965124</v>
      </c>
      <c r="L322" s="278">
        <v>1</v>
      </c>
      <c r="M322" s="279">
        <f t="shared" si="39"/>
        <v>0.13735784313725496</v>
      </c>
      <c r="N322" s="304">
        <f>L322*('College Schedule'!$L$10)*(1+'Government Figures'!$B$8/12)^B322</f>
        <v>4541.8883776007215</v>
      </c>
      <c r="O322" s="304">
        <f t="shared" si="37"/>
        <v>518.84320729891078</v>
      </c>
      <c r="P322" s="304">
        <f t="shared" si="33"/>
        <v>186.78723226031715</v>
      </c>
      <c r="Q322" s="277"/>
      <c r="R322" s="281"/>
      <c r="S322" s="281"/>
      <c r="T322" s="281"/>
      <c r="U322" s="281"/>
      <c r="V322" s="281"/>
      <c r="W322" s="281"/>
      <c r="X322" s="281"/>
      <c r="Y322" s="281"/>
      <c r="Z322" s="281"/>
      <c r="AA322" s="281"/>
      <c r="AB322" s="281"/>
      <c r="AC322" s="281"/>
      <c r="AD322" s="281"/>
    </row>
    <row r="323" spans="1:30" s="288" customFormat="1" x14ac:dyDescent="0.25">
      <c r="A323" s="287"/>
      <c r="B323" s="274">
        <f t="shared" si="34"/>
        <v>308</v>
      </c>
      <c r="C323" s="304">
        <f t="shared" ca="1" si="35"/>
        <v>-376.70380951315747</v>
      </c>
      <c r="D323" s="304">
        <f ca="1">IF(ROUND(E322,0)&lt;&gt;0, IF(ROUND(D322,0)&lt;&gt;0, 'Career Comparison'!$F$28-C323, 0), 0)</f>
        <v>624.4988571604249</v>
      </c>
      <c r="E323" s="304">
        <f ca="1">IF(G$7&gt;=B323, E322*(1+'Government Figures'!$D$8/12)-'Career Comparison'!$F$28, 0)</f>
        <v>168780.89001007105</v>
      </c>
      <c r="F323" s="312">
        <f>'College Schedule'!$L$8*(1+'Government Figures'!$B$8/12)^B323</f>
        <v>3404.8464809493826</v>
      </c>
      <c r="G323" s="278">
        <v>1</v>
      </c>
      <c r="H323" s="279">
        <f t="shared" ca="1" si="38"/>
        <v>0.17320110972991043</v>
      </c>
      <c r="I323" s="304">
        <f>G323*('College Schedule'!$L$9)*(1+'Government Figures'!$B$8/12)^B323</f>
        <v>7582.4303192723137</v>
      </c>
      <c r="J323" s="304">
        <f t="shared" ca="1" si="36"/>
        <v>2616.5034449279797</v>
      </c>
      <c r="K323" s="304">
        <f t="shared" ca="1" si="32"/>
        <v>938.83035180783929</v>
      </c>
      <c r="L323" s="278">
        <v>1</v>
      </c>
      <c r="M323" s="279">
        <f t="shared" si="39"/>
        <v>0.13735784313725496</v>
      </c>
      <c r="N323" s="304">
        <f>L323*('College Schedule'!$L$10)*(1+'Government Figures'!$B$8/12)^B323</f>
        <v>4549.4581915633889</v>
      </c>
      <c r="O323" s="304">
        <f t="shared" si="37"/>
        <v>519.70794597774284</v>
      </c>
      <c r="P323" s="304">
        <f t="shared" si="33"/>
        <v>186.47695446586502</v>
      </c>
      <c r="Q323" s="277"/>
      <c r="R323" s="281"/>
      <c r="S323" s="281"/>
      <c r="T323" s="281"/>
      <c r="U323" s="281"/>
      <c r="V323" s="281"/>
      <c r="W323" s="281"/>
      <c r="X323" s="281"/>
      <c r="Y323" s="281"/>
      <c r="Z323" s="281"/>
      <c r="AA323" s="281"/>
      <c r="AB323" s="281"/>
      <c r="AC323" s="281"/>
      <c r="AD323" s="281"/>
    </row>
    <row r="324" spans="1:30" s="288" customFormat="1" x14ac:dyDescent="0.25">
      <c r="A324" s="287"/>
      <c r="B324" s="274">
        <f t="shared" si="34"/>
        <v>309</v>
      </c>
      <c r="C324" s="304">
        <f t="shared" ca="1" si="35"/>
        <v>-378.10075280675665</v>
      </c>
      <c r="D324" s="304">
        <f ca="1">IF(ROUND(E323,0)&lt;&gt;0, IF(ROUND(D323,0)&lt;&gt;0, 'Career Comparison'!$F$28-C324, 0), 0)</f>
        <v>625.89580045402408</v>
      </c>
      <c r="E324" s="304">
        <f ca="1">IF(G$7&gt;=B324, E323*(1+'Government Figures'!$D$8/12)-'Career Comparison'!$F$28, 0)</f>
        <v>169158.9907628778</v>
      </c>
      <c r="F324" s="312">
        <f>'College Schedule'!$L$8*(1+'Government Figures'!$B$8/12)^B324</f>
        <v>3410.5212250842992</v>
      </c>
      <c r="G324" s="278">
        <v>1</v>
      </c>
      <c r="H324" s="279">
        <f t="shared" ca="1" si="38"/>
        <v>0.17320110972991043</v>
      </c>
      <c r="I324" s="304">
        <f>G324*('College Schedule'!$L$9)*(1+'Government Figures'!$B$8/12)^B324</f>
        <v>7595.0677031377691</v>
      </c>
      <c r="J324" s="304">
        <f t="shared" ca="1" si="36"/>
        <v>2621.2772757489392</v>
      </c>
      <c r="K324" s="304">
        <f t="shared" ca="1" si="32"/>
        <v>937.4185266413042</v>
      </c>
      <c r="L324" s="278">
        <v>1</v>
      </c>
      <c r="M324" s="279">
        <f t="shared" si="39"/>
        <v>0.13735784313725496</v>
      </c>
      <c r="N324" s="304">
        <f>L324*('College Schedule'!$L$10)*(1+'Government Figures'!$B$8/12)^B324</f>
        <v>4557.040621882662</v>
      </c>
      <c r="O324" s="304">
        <f t="shared" si="37"/>
        <v>520.57412588770512</v>
      </c>
      <c r="P324" s="304">
        <f t="shared" si="33"/>
        <v>186.16719208303115</v>
      </c>
      <c r="Q324" s="277"/>
      <c r="R324" s="281"/>
      <c r="S324" s="281"/>
      <c r="T324" s="281"/>
      <c r="U324" s="281"/>
      <c r="V324" s="281"/>
      <c r="W324" s="281"/>
      <c r="X324" s="281"/>
      <c r="Y324" s="281"/>
      <c r="Z324" s="281"/>
      <c r="AA324" s="281"/>
      <c r="AB324" s="281"/>
      <c r="AC324" s="281"/>
      <c r="AD324" s="281"/>
    </row>
    <row r="325" spans="1:30" s="288" customFormat="1" x14ac:dyDescent="0.25">
      <c r="A325" s="287"/>
      <c r="B325" s="274">
        <f t="shared" si="34"/>
        <v>310</v>
      </c>
      <c r="C325" s="304">
        <f t="shared" ca="1" si="35"/>
        <v>-379.50287643176853</v>
      </c>
      <c r="D325" s="304">
        <f ca="1">IF(ROUND(E324,0)&lt;&gt;0, IF(ROUND(D324,0)&lt;&gt;0, 'Career Comparison'!$F$28-C325, 0), 0)</f>
        <v>627.29792407903597</v>
      </c>
      <c r="E325" s="304">
        <f ca="1">IF(G$7&gt;=B325, E324*(1+'Government Figures'!$D$8/12)-'Career Comparison'!$F$28, 0)</f>
        <v>169538.49363930957</v>
      </c>
      <c r="F325" s="312">
        <f>'College Schedule'!$L$8*(1+'Government Figures'!$B$8/12)^B325</f>
        <v>3416.2054271261063</v>
      </c>
      <c r="G325" s="278">
        <v>1</v>
      </c>
      <c r="H325" s="279">
        <f t="shared" ca="1" si="38"/>
        <v>0.17320110972991043</v>
      </c>
      <c r="I325" s="304">
        <f>G325*('College Schedule'!$L$9)*(1+'Government Figures'!$B$8/12)^B325</f>
        <v>7607.7261493096648</v>
      </c>
      <c r="J325" s="304">
        <f t="shared" ca="1" si="36"/>
        <v>2626.0590629545986</v>
      </c>
      <c r="K325" s="304">
        <f t="shared" ca="1" si="32"/>
        <v>936.00855602258548</v>
      </c>
      <c r="L325" s="278">
        <v>1</v>
      </c>
      <c r="M325" s="279">
        <f t="shared" si="39"/>
        <v>0.13735784313725496</v>
      </c>
      <c r="N325" s="304">
        <f>L325*('College Schedule'!$L$10)*(1+'Government Figures'!$B$8/12)^B325</f>
        <v>4564.6356895857998</v>
      </c>
      <c r="O325" s="304">
        <f t="shared" si="37"/>
        <v>521.44174943085136</v>
      </c>
      <c r="P325" s="304">
        <f t="shared" si="33"/>
        <v>185.85794425565066</v>
      </c>
      <c r="Q325" s="277"/>
      <c r="R325" s="281"/>
      <c r="S325" s="281"/>
      <c r="T325" s="281"/>
      <c r="U325" s="281"/>
      <c r="V325" s="281"/>
      <c r="W325" s="281"/>
      <c r="X325" s="281"/>
      <c r="Y325" s="281"/>
      <c r="Z325" s="281"/>
      <c r="AA325" s="281"/>
      <c r="AB325" s="281"/>
      <c r="AC325" s="281"/>
      <c r="AD325" s="281"/>
    </row>
    <row r="326" spans="1:30" s="288" customFormat="1" x14ac:dyDescent="0.25">
      <c r="A326" s="287"/>
      <c r="B326" s="274">
        <f t="shared" si="34"/>
        <v>311</v>
      </c>
      <c r="C326" s="304">
        <f t="shared" ca="1" si="35"/>
        <v>-380.91019959852565</v>
      </c>
      <c r="D326" s="304">
        <f ca="1">IF(ROUND(E325,0)&lt;&gt;0, IF(ROUND(D325,0)&lt;&gt;0, 'Career Comparison'!$F$28-C326, 0), 0)</f>
        <v>628.70524724579309</v>
      </c>
      <c r="E326" s="304">
        <f ca="1">IF(G$7&gt;=B326, E325*(1+'Government Figures'!$D$8/12)-'Career Comparison'!$F$28, 0)</f>
        <v>169919.4038389081</v>
      </c>
      <c r="F326" s="312">
        <f>'College Schedule'!$L$8*(1+'Government Figures'!$B$8/12)^B326</f>
        <v>3421.8991028379833</v>
      </c>
      <c r="G326" s="278">
        <v>1</v>
      </c>
      <c r="H326" s="279">
        <f t="shared" ca="1" si="38"/>
        <v>0.17320110972991043</v>
      </c>
      <c r="I326" s="304">
        <f>G326*('College Schedule'!$L$9)*(1+'Government Figures'!$B$8/12)^B326</f>
        <v>7620.405692891848</v>
      </c>
      <c r="J326" s="304">
        <f t="shared" ca="1" si="36"/>
        <v>2630.8488198056025</v>
      </c>
      <c r="K326" s="304">
        <f t="shared" ca="1" si="32"/>
        <v>934.60043850119564</v>
      </c>
      <c r="L326" s="278">
        <v>1</v>
      </c>
      <c r="M326" s="279">
        <f t="shared" si="39"/>
        <v>0.13735784313725496</v>
      </c>
      <c r="N326" s="304">
        <f>L326*('College Schedule'!$L$10)*(1+'Government Figures'!$B$8/12)^B326</f>
        <v>4572.2434157351099</v>
      </c>
      <c r="O326" s="304">
        <f t="shared" si="37"/>
        <v>522.3108190132366</v>
      </c>
      <c r="P326" s="304">
        <f t="shared" si="33"/>
        <v>185.54921012898032</v>
      </c>
      <c r="Q326" s="277"/>
      <c r="R326" s="281"/>
      <c r="S326" s="281"/>
      <c r="T326" s="281"/>
      <c r="U326" s="281"/>
      <c r="V326" s="281"/>
      <c r="W326" s="281"/>
      <c r="X326" s="281"/>
      <c r="Y326" s="281"/>
      <c r="Z326" s="281"/>
      <c r="AA326" s="281"/>
      <c r="AB326" s="281"/>
      <c r="AC326" s="281"/>
      <c r="AD326" s="281"/>
    </row>
    <row r="327" spans="1:30" s="288" customFormat="1" x14ac:dyDescent="0.25">
      <c r="A327" s="287"/>
      <c r="B327" s="274">
        <f t="shared" si="34"/>
        <v>312</v>
      </c>
      <c r="C327" s="304">
        <f t="shared" ca="1" si="35"/>
        <v>-382.32274158869404</v>
      </c>
      <c r="D327" s="304">
        <f ca="1">IF(ROUND(E326,0)&lt;&gt;0, IF(ROUND(D326,0)&lt;&gt;0, 'Career Comparison'!$F$28-C327, 0), 0)</f>
        <v>630.11778923596148</v>
      </c>
      <c r="E327" s="304">
        <f ca="1">IF(G$7&gt;=B327, E326*(1+'Government Figures'!$D$8/12)-'Career Comparison'!$F$28, 0)</f>
        <v>170301.72658049679</v>
      </c>
      <c r="F327" s="312">
        <f>'College Schedule'!$L$8*(1+'Government Figures'!$B$8/12)^B327</f>
        <v>3427.6022680093806</v>
      </c>
      <c r="G327" s="278">
        <v>1</v>
      </c>
      <c r="H327" s="279">
        <f t="shared" ca="1" si="38"/>
        <v>0.17320110972991043</v>
      </c>
      <c r="I327" s="304">
        <f>G327*('College Schedule'!$L$9)*(1+'Government Figures'!$B$8/12)^B327</f>
        <v>7633.1063690466699</v>
      </c>
      <c r="J327" s="304">
        <f t="shared" ca="1" si="36"/>
        <v>2635.6465595846912</v>
      </c>
      <c r="K327" s="304">
        <f t="shared" ca="1" si="32"/>
        <v>933.19417262363868</v>
      </c>
      <c r="L327" s="278">
        <v>1</v>
      </c>
      <c r="M327" s="279">
        <f t="shared" si="39"/>
        <v>0.13735784313725496</v>
      </c>
      <c r="N327" s="304">
        <f>L327*('College Schedule'!$L$10)*(1+'Government Figures'!$B$8/12)^B327</f>
        <v>4579.8638214280027</v>
      </c>
      <c r="O327" s="304">
        <f t="shared" si="37"/>
        <v>523.18133704492539</v>
      </c>
      <c r="P327" s="304">
        <f t="shared" si="33"/>
        <v>185.24098884969629</v>
      </c>
      <c r="Q327" s="277"/>
      <c r="R327" s="281"/>
      <c r="S327" s="281"/>
      <c r="T327" s="281"/>
      <c r="U327" s="281"/>
      <c r="V327" s="281"/>
      <c r="W327" s="281"/>
      <c r="X327" s="281"/>
      <c r="Y327" s="281"/>
      <c r="Z327" s="281"/>
      <c r="AA327" s="281"/>
      <c r="AB327" s="281"/>
      <c r="AC327" s="281"/>
      <c r="AD327" s="281"/>
    </row>
    <row r="328" spans="1:30" s="288" customFormat="1" x14ac:dyDescent="0.25">
      <c r="A328" s="287"/>
      <c r="B328" s="274">
        <f t="shared" si="34"/>
        <v>313</v>
      </c>
      <c r="C328" s="304">
        <f t="shared" ca="1" si="35"/>
        <v>-383.74052175541874</v>
      </c>
      <c r="D328" s="304">
        <f ca="1">IF(ROUND(E327,0)&lt;&gt;0, IF(ROUND(D327,0)&lt;&gt;0, 'Career Comparison'!$F$28-C328, 0), 0)</f>
        <v>631.53556940268618</v>
      </c>
      <c r="E328" s="304">
        <f ca="1">IF(G$7&gt;=B328, E327*(1+'Government Figures'!$D$8/12)-'Career Comparison'!$F$28, 0)</f>
        <v>170685.46710225221</v>
      </c>
      <c r="F328" s="312">
        <f>'College Schedule'!$L$8*(1+'Government Figures'!$B$8/12)^B328</f>
        <v>3433.3149384560629</v>
      </c>
      <c r="G328" s="278">
        <v>1</v>
      </c>
      <c r="H328" s="279">
        <f t="shared" ca="1" si="38"/>
        <v>0.17320110972991043</v>
      </c>
      <c r="I328" s="304">
        <f>G328*('College Schedule'!$L$9)*(1+'Government Figures'!$B$8/12)^B328</f>
        <v>7645.8282129950803</v>
      </c>
      <c r="J328" s="304">
        <f t="shared" ca="1" si="36"/>
        <v>2640.4522955967445</v>
      </c>
      <c r="K328" s="304">
        <f t="shared" ca="1" si="32"/>
        <v>931.78975693343568</v>
      </c>
      <c r="L328" s="278">
        <v>1</v>
      </c>
      <c r="M328" s="279">
        <f t="shared" si="39"/>
        <v>0.13735784313725496</v>
      </c>
      <c r="N328" s="304">
        <f>L328*('College Schedule'!$L$10)*(1+'Government Figures'!$B$8/12)^B328</f>
        <v>4587.4969277970495</v>
      </c>
      <c r="O328" s="304">
        <f t="shared" si="37"/>
        <v>524.05330594000043</v>
      </c>
      <c r="P328" s="304">
        <f t="shared" si="33"/>
        <v>184.93327956589289</v>
      </c>
      <c r="Q328" s="277"/>
      <c r="R328" s="281"/>
      <c r="S328" s="281"/>
      <c r="T328" s="281"/>
      <c r="U328" s="281"/>
      <c r="V328" s="281"/>
      <c r="W328" s="281"/>
      <c r="X328" s="281"/>
      <c r="Y328" s="281"/>
      <c r="Z328" s="281"/>
      <c r="AA328" s="281"/>
      <c r="AB328" s="281"/>
      <c r="AC328" s="281"/>
      <c r="AD328" s="281"/>
    </row>
    <row r="329" spans="1:30" s="288" customFormat="1" x14ac:dyDescent="0.25">
      <c r="A329" s="287"/>
      <c r="B329" s="274">
        <f t="shared" si="34"/>
        <v>314</v>
      </c>
      <c r="C329" s="304">
        <f t="shared" ca="1" si="35"/>
        <v>-385.16355952361482</v>
      </c>
      <c r="D329" s="304">
        <f ca="1">IF(ROUND(E328,0)&lt;&gt;0, IF(ROUND(D328,0)&lt;&gt;0, 'Career Comparison'!$F$28-C329, 0), 0)</f>
        <v>632.95860717088226</v>
      </c>
      <c r="E329" s="304">
        <f ca="1">IF(G$7&gt;=B329, E328*(1+'Government Figures'!$D$8/12)-'Career Comparison'!$F$28, 0)</f>
        <v>171070.63066177582</v>
      </c>
      <c r="F329" s="312">
        <f>'College Schedule'!$L$8*(1+'Government Figures'!$B$8/12)^B329</f>
        <v>3439.0371300201564</v>
      </c>
      <c r="G329" s="278">
        <v>1</v>
      </c>
      <c r="H329" s="279">
        <f t="shared" ca="1" si="38"/>
        <v>0.17320110972991043</v>
      </c>
      <c r="I329" s="304">
        <f>G329*('College Schedule'!$L$9)*(1+'Government Figures'!$B$8/12)^B329</f>
        <v>7658.571260016739</v>
      </c>
      <c r="J329" s="304">
        <f t="shared" ca="1" si="36"/>
        <v>2645.2660411688175</v>
      </c>
      <c r="K329" s="304">
        <f t="shared" ca="1" si="32"/>
        <v>930.38718997114711</v>
      </c>
      <c r="L329" s="278">
        <v>1</v>
      </c>
      <c r="M329" s="279">
        <f t="shared" si="39"/>
        <v>0.13735784313725496</v>
      </c>
      <c r="N329" s="304">
        <f>L329*('College Schedule'!$L$10)*(1+'Government Figures'!$B$8/12)^B329</f>
        <v>4595.1427560100446</v>
      </c>
      <c r="O329" s="304">
        <f t="shared" si="37"/>
        <v>524.92672811656712</v>
      </c>
      <c r="P329" s="304">
        <f t="shared" si="33"/>
        <v>184.62608142707907</v>
      </c>
      <c r="Q329" s="277"/>
      <c r="R329" s="281"/>
      <c r="S329" s="281"/>
      <c r="T329" s="281"/>
      <c r="U329" s="281"/>
      <c r="V329" s="281"/>
      <c r="W329" s="281"/>
      <c r="X329" s="281"/>
      <c r="Y329" s="281"/>
      <c r="Z329" s="281"/>
      <c r="AA329" s="281"/>
      <c r="AB329" s="281"/>
      <c r="AC329" s="281"/>
      <c r="AD329" s="281"/>
    </row>
    <row r="330" spans="1:30" s="288" customFormat="1" x14ac:dyDescent="0.25">
      <c r="A330" s="287"/>
      <c r="B330" s="274">
        <f t="shared" si="34"/>
        <v>315</v>
      </c>
      <c r="C330" s="304">
        <f t="shared" ca="1" si="35"/>
        <v>-386.59187439017114</v>
      </c>
      <c r="D330" s="304">
        <f ca="1">IF(ROUND(E329,0)&lt;&gt;0, IF(ROUND(D329,0)&lt;&gt;0, 'Career Comparison'!$F$28-C330, 0), 0)</f>
        <v>634.38692203743858</v>
      </c>
      <c r="E330" s="304">
        <f ca="1">IF(G$7&gt;=B330, E329*(1+'Government Figures'!$D$8/12)-'Career Comparison'!$F$28, 0)</f>
        <v>171457.22253616599</v>
      </c>
      <c r="F330" s="312">
        <f>'College Schedule'!$L$8*(1+'Government Figures'!$B$8/12)^B330</f>
        <v>3444.7688585701899</v>
      </c>
      <c r="G330" s="278">
        <v>1</v>
      </c>
      <c r="H330" s="279">
        <f t="shared" ca="1" si="38"/>
        <v>0.17320110972991043</v>
      </c>
      <c r="I330" s="304">
        <f>G330*('College Schedule'!$L$9)*(1+'Government Figures'!$B$8/12)^B330</f>
        <v>7671.3355454501007</v>
      </c>
      <c r="J330" s="304">
        <f t="shared" ca="1" si="36"/>
        <v>2650.0878096501779</v>
      </c>
      <c r="K330" s="304">
        <f t="shared" ca="1" si="32"/>
        <v>928.98647027439699</v>
      </c>
      <c r="L330" s="278">
        <v>1</v>
      </c>
      <c r="M330" s="279">
        <f t="shared" si="39"/>
        <v>0.13735784313725496</v>
      </c>
      <c r="N330" s="304">
        <f>L330*('College Schedule'!$L$10)*(1+'Government Figures'!$B$8/12)^B330</f>
        <v>4602.8013272700609</v>
      </c>
      <c r="O330" s="304">
        <f t="shared" si="37"/>
        <v>525.80160599676128</v>
      </c>
      <c r="P330" s="304">
        <f t="shared" si="33"/>
        <v>184.31939358417691</v>
      </c>
      <c r="Q330" s="277"/>
      <c r="R330" s="281"/>
      <c r="S330" s="281"/>
      <c r="T330" s="281"/>
      <c r="U330" s="281"/>
      <c r="V330" s="281"/>
      <c r="W330" s="281"/>
      <c r="X330" s="281"/>
      <c r="Y330" s="281"/>
      <c r="Z330" s="281"/>
      <c r="AA330" s="281"/>
      <c r="AB330" s="281"/>
      <c r="AC330" s="281"/>
      <c r="AD330" s="281"/>
    </row>
    <row r="331" spans="1:30" s="288" customFormat="1" x14ac:dyDescent="0.25">
      <c r="A331" s="287"/>
      <c r="B331" s="274">
        <f t="shared" si="34"/>
        <v>316</v>
      </c>
      <c r="C331" s="304">
        <f t="shared" ca="1" si="35"/>
        <v>-388.02548592435778</v>
      </c>
      <c r="D331" s="304">
        <f ca="1">IF(ROUND(E330,0)&lt;&gt;0, IF(ROUND(D330,0)&lt;&gt;0, 'Career Comparison'!$F$28-C331, 0), 0)</f>
        <v>635.82053357162522</v>
      </c>
      <c r="E331" s="304">
        <f ca="1">IF(G$7&gt;=B331, E330*(1+'Government Figures'!$D$8/12)-'Career Comparison'!$F$28, 0)</f>
        <v>171845.24802209035</v>
      </c>
      <c r="F331" s="312">
        <f>'College Schedule'!$L$8*(1+'Government Figures'!$B$8/12)^B331</f>
        <v>3450.5101400011404</v>
      </c>
      <c r="G331" s="278">
        <v>1</v>
      </c>
      <c r="H331" s="279">
        <f t="shared" ca="1" si="38"/>
        <v>0.17320110972991043</v>
      </c>
      <c r="I331" s="304">
        <f>G331*('College Schedule'!$L$9)*(1+'Government Figures'!$B$8/12)^B331</f>
        <v>7684.1211046925182</v>
      </c>
      <c r="J331" s="304">
        <f t="shared" ca="1" si="36"/>
        <v>2654.9176144123412</v>
      </c>
      <c r="K331" s="304">
        <f t="shared" ca="1" si="32"/>
        <v>927.58759637789296</v>
      </c>
      <c r="L331" s="278">
        <v>1</v>
      </c>
      <c r="M331" s="279">
        <f t="shared" si="39"/>
        <v>0.13735784313725496</v>
      </c>
      <c r="N331" s="304">
        <f>L331*('College Schedule'!$L$10)*(1+'Government Figures'!$B$8/12)^B331</f>
        <v>4610.4726628155113</v>
      </c>
      <c r="O331" s="304">
        <f t="shared" si="37"/>
        <v>526.67794200675553</v>
      </c>
      <c r="P331" s="304">
        <f t="shared" si="33"/>
        <v>184.01321518951866</v>
      </c>
      <c r="Q331" s="277"/>
      <c r="R331" s="281"/>
      <c r="S331" s="281"/>
      <c r="T331" s="281"/>
      <c r="U331" s="281"/>
      <c r="V331" s="281"/>
      <c r="W331" s="281"/>
      <c r="X331" s="281"/>
      <c r="Y331" s="281"/>
      <c r="Z331" s="281"/>
      <c r="AA331" s="281"/>
      <c r="AB331" s="281"/>
      <c r="AC331" s="281"/>
      <c r="AD331" s="281"/>
    </row>
    <row r="332" spans="1:30" s="288" customFormat="1" x14ac:dyDescent="0.25">
      <c r="A332" s="287"/>
      <c r="B332" s="274">
        <f t="shared" si="34"/>
        <v>317</v>
      </c>
      <c r="C332" s="304">
        <f t="shared" ca="1" si="35"/>
        <v>-389.46441376800067</v>
      </c>
      <c r="D332" s="304">
        <f ca="1">IF(ROUND(E331,0)&lt;&gt;0, IF(ROUND(D331,0)&lt;&gt;0, 'Career Comparison'!$F$28-C332, 0), 0)</f>
        <v>637.25946141526811</v>
      </c>
      <c r="E332" s="304">
        <f ca="1">IF(G$7&gt;=B332, E331*(1+'Government Figures'!$D$8/12)-'Career Comparison'!$F$28, 0)</f>
        <v>172234.71243585835</v>
      </c>
      <c r="F332" s="312">
        <f>'College Schedule'!$L$8*(1+'Government Figures'!$B$8/12)^B332</f>
        <v>3456.2609902344761</v>
      </c>
      <c r="G332" s="278">
        <v>1</v>
      </c>
      <c r="H332" s="279">
        <f t="shared" ca="1" si="38"/>
        <v>0.17320110972991043</v>
      </c>
      <c r="I332" s="304">
        <f>G332*('College Schedule'!$L$9)*(1+'Government Figures'!$B$8/12)^B332</f>
        <v>7696.9279732003397</v>
      </c>
      <c r="J332" s="304">
        <f t="shared" ca="1" si="36"/>
        <v>2659.7554688491073</v>
      </c>
      <c r="K332" s="304">
        <f t="shared" ca="1" si="32"/>
        <v>926.19056681345091</v>
      </c>
      <c r="L332" s="278">
        <v>1</v>
      </c>
      <c r="M332" s="279">
        <f t="shared" si="39"/>
        <v>0.13735784313725496</v>
      </c>
      <c r="N332" s="304">
        <f>L332*('College Schedule'!$L$10)*(1+'Government Figures'!$B$8/12)^B332</f>
        <v>4618.1567839202053</v>
      </c>
      <c r="O332" s="304">
        <f t="shared" si="37"/>
        <v>527.55573857676791</v>
      </c>
      <c r="P332" s="304">
        <f t="shared" si="33"/>
        <v>183.70754539684546</v>
      </c>
      <c r="Q332" s="277"/>
      <c r="R332" s="281"/>
      <c r="S332" s="281"/>
      <c r="T332" s="281"/>
      <c r="U332" s="281"/>
      <c r="V332" s="281"/>
      <c r="W332" s="281"/>
      <c r="X332" s="281"/>
      <c r="Y332" s="281"/>
      <c r="Z332" s="281"/>
      <c r="AA332" s="281"/>
      <c r="AB332" s="281"/>
      <c r="AC332" s="281"/>
      <c r="AD332" s="281"/>
    </row>
    <row r="333" spans="1:30" s="288" customFormat="1" x14ac:dyDescent="0.25">
      <c r="A333" s="287"/>
      <c r="B333" s="274">
        <f t="shared" si="34"/>
        <v>318</v>
      </c>
      <c r="C333" s="304">
        <f t="shared" ca="1" si="35"/>
        <v>-390.90867763571441</v>
      </c>
      <c r="D333" s="304">
        <f ca="1">IF(ROUND(E332,0)&lt;&gt;0, IF(ROUND(D332,0)&lt;&gt;0, 'Career Comparison'!$F$28-C333, 0), 0)</f>
        <v>638.70372528298185</v>
      </c>
      <c r="E333" s="304">
        <f ca="1">IF(G$7&gt;=B333, E332*(1+'Government Figures'!$D$8/12)-'Career Comparison'!$F$28, 0)</f>
        <v>172625.62111349407</v>
      </c>
      <c r="F333" s="312">
        <f>'College Schedule'!$L$8*(1+'Government Figures'!$B$8/12)^B333</f>
        <v>3462.0214252182004</v>
      </c>
      <c r="G333" s="278">
        <v>1</v>
      </c>
      <c r="H333" s="279">
        <f t="shared" ca="1" si="38"/>
        <v>0.17320110972991043</v>
      </c>
      <c r="I333" s="304">
        <f>G333*('College Schedule'!$L$9)*(1+'Government Figures'!$B$8/12)^B333</f>
        <v>7709.7561864890076</v>
      </c>
      <c r="J333" s="304">
        <f t="shared" ca="1" si="36"/>
        <v>2664.6013863766016</v>
      </c>
      <c r="K333" s="304">
        <f t="shared" ca="1" si="32"/>
        <v>924.79538011001625</v>
      </c>
      <c r="L333" s="278">
        <v>1</v>
      </c>
      <c r="M333" s="279">
        <f t="shared" si="39"/>
        <v>0.13735784313725496</v>
      </c>
      <c r="N333" s="304">
        <f>L333*('College Schedule'!$L$10)*(1+'Government Figures'!$B$8/12)^B333</f>
        <v>4625.8537118934055</v>
      </c>
      <c r="O333" s="304">
        <f t="shared" si="37"/>
        <v>528.4349981410619</v>
      </c>
      <c r="P333" s="304">
        <f t="shared" si="33"/>
        <v>183.4023833613023</v>
      </c>
      <c r="Q333" s="277"/>
      <c r="R333" s="281"/>
      <c r="S333" s="281"/>
      <c r="T333" s="281"/>
      <c r="U333" s="281"/>
      <c r="V333" s="281"/>
      <c r="W333" s="281"/>
      <c r="X333" s="281"/>
      <c r="Y333" s="281"/>
      <c r="Z333" s="281"/>
      <c r="AA333" s="281"/>
      <c r="AB333" s="281"/>
      <c r="AC333" s="281"/>
      <c r="AD333" s="281"/>
    </row>
    <row r="334" spans="1:30" s="288" customFormat="1" x14ac:dyDescent="0.25">
      <c r="A334" s="287"/>
      <c r="B334" s="274">
        <f t="shared" si="34"/>
        <v>319</v>
      </c>
      <c r="C334" s="304">
        <f t="shared" ca="1" si="35"/>
        <v>-392.35829731528065</v>
      </c>
      <c r="D334" s="304">
        <f ca="1">IF(ROUND(E333,0)&lt;&gt;0, IF(ROUND(D333,0)&lt;&gt;0, 'Career Comparison'!$F$28-C334, 0), 0)</f>
        <v>640.15334496254809</v>
      </c>
      <c r="E334" s="304">
        <f ca="1">IF(G$7&gt;=B334, E333*(1+'Government Figures'!$D$8/12)-'Career Comparison'!$F$28, 0)</f>
        <v>173017.97941080935</v>
      </c>
      <c r="F334" s="312">
        <f>'College Schedule'!$L$8*(1+'Government Figures'!$B$8/12)^B334</f>
        <v>3467.7914609268983</v>
      </c>
      <c r="G334" s="278">
        <v>1</v>
      </c>
      <c r="H334" s="279">
        <f t="shared" ca="1" si="38"/>
        <v>0.17320110972991043</v>
      </c>
      <c r="I334" s="304">
        <f>G334*('College Schedule'!$L$9)*(1+'Government Figures'!$B$8/12)^B334</f>
        <v>7722.6057801331572</v>
      </c>
      <c r="J334" s="304">
        <f t="shared" ca="1" si="36"/>
        <v>2669.4553804333077</v>
      </c>
      <c r="K334" s="304">
        <f t="shared" ca="1" si="32"/>
        <v>923.40203479368722</v>
      </c>
      <c r="L334" s="278">
        <v>1</v>
      </c>
      <c r="M334" s="279">
        <f t="shared" si="39"/>
        <v>0.13735784313725496</v>
      </c>
      <c r="N334" s="304">
        <f>L334*('College Schedule'!$L$10)*(1+'Government Figures'!$B$8/12)^B334</f>
        <v>4633.5634680798948</v>
      </c>
      <c r="O334" s="304">
        <f t="shared" si="37"/>
        <v>529.31572313796323</v>
      </c>
      <c r="P334" s="304">
        <f t="shared" si="33"/>
        <v>183.09772823943945</v>
      </c>
      <c r="Q334" s="277"/>
      <c r="R334" s="281"/>
      <c r="S334" s="281"/>
      <c r="T334" s="281"/>
      <c r="U334" s="281"/>
      <c r="V334" s="281"/>
      <c r="W334" s="281"/>
      <c r="X334" s="281"/>
      <c r="Y334" s="281"/>
      <c r="Z334" s="281"/>
      <c r="AA334" s="281"/>
      <c r="AB334" s="281"/>
      <c r="AC334" s="281"/>
      <c r="AD334" s="281"/>
    </row>
    <row r="335" spans="1:30" s="288" customFormat="1" x14ac:dyDescent="0.25">
      <c r="A335" s="287"/>
      <c r="B335" s="274">
        <f t="shared" si="34"/>
        <v>320</v>
      </c>
      <c r="C335" s="304">
        <f t="shared" ca="1" si="35"/>
        <v>-393.81329266785178</v>
      </c>
      <c r="D335" s="304">
        <f ca="1">IF(ROUND(E334,0)&lt;&gt;0, IF(ROUND(D334,0)&lt;&gt;0, 'Career Comparison'!$F$28-C335, 0), 0)</f>
        <v>641.60834031511922</v>
      </c>
      <c r="E335" s="304">
        <f ca="1">IF(G$7&gt;=B335, E334*(1+'Government Figures'!$D$8/12)-'Career Comparison'!$F$28, 0)</f>
        <v>173411.7927034772</v>
      </c>
      <c r="F335" s="312">
        <f>'College Schedule'!$L$8*(1+'Government Figures'!$B$8/12)^B335</f>
        <v>3473.5711133617765</v>
      </c>
      <c r="G335" s="278">
        <v>1</v>
      </c>
      <c r="H335" s="279">
        <f t="shared" ca="1" si="38"/>
        <v>0.17320110972991043</v>
      </c>
      <c r="I335" s="304">
        <f>G335*('College Schedule'!$L$9)*(1+'Government Figures'!$B$8/12)^B335</f>
        <v>7735.4767897667134</v>
      </c>
      <c r="J335" s="304">
        <f t="shared" ca="1" si="36"/>
        <v>2674.3174644801093</v>
      </c>
      <c r="K335" s="304">
        <f t="shared" ref="K335:K398" ca="1" si="40">J335/(1+($G$9/12))^B335</f>
        <v>922.01052938773807</v>
      </c>
      <c r="L335" s="278">
        <v>1</v>
      </c>
      <c r="M335" s="279">
        <f t="shared" si="39"/>
        <v>0.13735784313725496</v>
      </c>
      <c r="N335" s="304">
        <f>L335*('College Schedule'!$L$10)*(1+'Government Figures'!$B$8/12)^B335</f>
        <v>4641.2860738600284</v>
      </c>
      <c r="O335" s="304">
        <f t="shared" si="37"/>
        <v>530.19791600986036</v>
      </c>
      <c r="P335" s="304">
        <f t="shared" ref="P335:P398" si="41">O335/(1+($G$9/12))^B335</f>
        <v>182.793579189208</v>
      </c>
      <c r="Q335" s="277"/>
      <c r="R335" s="281"/>
      <c r="S335" s="281"/>
      <c r="T335" s="281"/>
      <c r="U335" s="281"/>
      <c r="V335" s="281"/>
      <c r="W335" s="281"/>
      <c r="X335" s="281"/>
      <c r="Y335" s="281"/>
      <c r="Z335" s="281"/>
      <c r="AA335" s="281"/>
      <c r="AB335" s="281"/>
      <c r="AC335" s="281"/>
      <c r="AD335" s="281"/>
    </row>
    <row r="336" spans="1:30" s="288" customFormat="1" x14ac:dyDescent="0.25">
      <c r="A336" s="287"/>
      <c r="B336" s="274">
        <f t="shared" ref="B336:B399" si="42">B335+1</f>
        <v>321</v>
      </c>
      <c r="C336" s="304">
        <f t="shared" ref="C336:C375" ca="1" si="43">E335-E336</f>
        <v>-395.27368362815469</v>
      </c>
      <c r="D336" s="304">
        <f ca="1">IF(ROUND(E335,0)&lt;&gt;0, IF(ROUND(D335,0)&lt;&gt;0, 'Career Comparison'!$F$28-C336, 0), 0)</f>
        <v>643.06873127542212</v>
      </c>
      <c r="E336" s="304">
        <f ca="1">IF(G$7&gt;=B336, E335*(1+'Government Figures'!$D$8/12)-'Career Comparison'!$F$28, 0)</f>
        <v>173807.06638710535</v>
      </c>
      <c r="F336" s="312">
        <f>'College Schedule'!$L$8*(1+'Government Figures'!$B$8/12)^B336</f>
        <v>3479.3603985507129</v>
      </c>
      <c r="G336" s="278">
        <v>1</v>
      </c>
      <c r="H336" s="279">
        <f t="shared" ca="1" si="38"/>
        <v>0.17320110972991043</v>
      </c>
      <c r="I336" s="304">
        <f>G336*('College Schedule'!$L$9)*(1+'Government Figures'!$B$8/12)^B336</f>
        <v>7748.3692510829915</v>
      </c>
      <c r="J336" s="304">
        <f t="shared" ref="J336:J399" ca="1" si="44">I336*(1-H336)-F336-C336-D336</f>
        <v>2679.1876520003216</v>
      </c>
      <c r="K336" s="304">
        <f t="shared" ca="1" si="40"/>
        <v>920.62086241263808</v>
      </c>
      <c r="L336" s="278">
        <v>1</v>
      </c>
      <c r="M336" s="279">
        <f t="shared" si="39"/>
        <v>0.13735784313725496</v>
      </c>
      <c r="N336" s="304">
        <f>L336*('College Schedule'!$L$10)*(1+'Government Figures'!$B$8/12)^B336</f>
        <v>4649.0215506497952</v>
      </c>
      <c r="O336" s="304">
        <f t="shared" ref="O336:O399" si="45">N336*(1-M336)-F336</f>
        <v>531.08157920320991</v>
      </c>
      <c r="P336" s="304">
        <f t="shared" si="41"/>
        <v>182.48993536995675</v>
      </c>
      <c r="Q336" s="277"/>
      <c r="R336" s="281"/>
      <c r="S336" s="281"/>
      <c r="T336" s="281"/>
      <c r="U336" s="281"/>
      <c r="V336" s="281"/>
      <c r="W336" s="281"/>
      <c r="X336" s="281"/>
      <c r="Y336" s="281"/>
      <c r="Z336" s="281"/>
      <c r="AA336" s="281"/>
      <c r="AB336" s="281"/>
      <c r="AC336" s="281"/>
      <c r="AD336" s="281"/>
    </row>
    <row r="337" spans="1:30" s="288" customFormat="1" x14ac:dyDescent="0.25">
      <c r="A337" s="287"/>
      <c r="B337" s="274">
        <f t="shared" si="42"/>
        <v>322</v>
      </c>
      <c r="C337" s="304">
        <f t="shared" ca="1" si="43"/>
        <v>-396.73949020492728</v>
      </c>
      <c r="D337" s="304">
        <f ca="1">IF(ROUND(E336,0)&lt;&gt;0, IF(ROUND(D336,0)&lt;&gt;0, 'Career Comparison'!$F$28-C337, 0), 0)</f>
        <v>644.53453785219472</v>
      </c>
      <c r="E337" s="304">
        <f ca="1">IF(G$7&gt;=B337, E336*(1+'Government Figures'!$D$8/12)-'Career Comparison'!$F$28, 0)</f>
        <v>174203.80587731028</v>
      </c>
      <c r="F337" s="312">
        <f>'College Schedule'!$L$8*(1+'Government Figures'!$B$8/12)^B337</f>
        <v>3485.1593325482977</v>
      </c>
      <c r="G337" s="278">
        <v>1</v>
      </c>
      <c r="H337" s="279">
        <f t="shared" ca="1" si="38"/>
        <v>0.17320110972991043</v>
      </c>
      <c r="I337" s="304">
        <f>G337*('College Schedule'!$L$9)*(1+'Government Figures'!$B$8/12)^B337</f>
        <v>7761.2831998347965</v>
      </c>
      <c r="J337" s="304">
        <f t="shared" ca="1" si="44"/>
        <v>2684.0659564997341</v>
      </c>
      <c r="K337" s="304">
        <f t="shared" ca="1" si="40"/>
        <v>919.23303238607662</v>
      </c>
      <c r="L337" s="278">
        <v>1</v>
      </c>
      <c r="M337" s="279">
        <f t="shared" si="39"/>
        <v>0.13735784313725496</v>
      </c>
      <c r="N337" s="304">
        <f>L337*('College Schedule'!$L$10)*(1+'Government Figures'!$B$8/12)^B337</f>
        <v>4656.7699199008784</v>
      </c>
      <c r="O337" s="304">
        <f t="shared" si="45"/>
        <v>531.96671516854849</v>
      </c>
      <c r="P337" s="304">
        <f t="shared" si="41"/>
        <v>182.18679594243181</v>
      </c>
      <c r="Q337" s="277"/>
      <c r="R337" s="281"/>
      <c r="S337" s="281"/>
      <c r="T337" s="281"/>
      <c r="U337" s="281"/>
      <c r="V337" s="281"/>
      <c r="W337" s="281"/>
      <c r="X337" s="281"/>
      <c r="Y337" s="281"/>
      <c r="Z337" s="281"/>
      <c r="AA337" s="281"/>
      <c r="AB337" s="281"/>
      <c r="AC337" s="281"/>
      <c r="AD337" s="281"/>
    </row>
    <row r="338" spans="1:30" s="288" customFormat="1" x14ac:dyDescent="0.25">
      <c r="A338" s="287"/>
      <c r="B338" s="274">
        <f t="shared" si="42"/>
        <v>323</v>
      </c>
      <c r="C338" s="304">
        <f t="shared" ca="1" si="43"/>
        <v>-398.21073248112225</v>
      </c>
      <c r="D338" s="304">
        <f ca="1">IF(ROUND(E337,0)&lt;&gt;0, IF(ROUND(D337,0)&lt;&gt;0, 'Career Comparison'!$F$28-C338, 0), 0)</f>
        <v>646.00578012838969</v>
      </c>
      <c r="E338" s="304">
        <f ca="1">IF(G$7&gt;=B338, E337*(1+'Government Figures'!$D$8/12)-'Career Comparison'!$F$28, 0)</f>
        <v>174602.0166097914</v>
      </c>
      <c r="F338" s="312">
        <f>'College Schedule'!$L$8*(1+'Government Figures'!$B$8/12)^B338</f>
        <v>3490.9679314358782</v>
      </c>
      <c r="G338" s="278">
        <v>1</v>
      </c>
      <c r="H338" s="279">
        <f t="shared" ref="H338:H401" ca="1" si="46">H337</f>
        <v>0.17320110972991043</v>
      </c>
      <c r="I338" s="304">
        <f>G338*('College Schedule'!$L$9)*(1+'Government Figures'!$B$8/12)^B338</f>
        <v>7774.218671834521</v>
      </c>
      <c r="J338" s="304">
        <f t="shared" ca="1" si="44"/>
        <v>2688.9523915066461</v>
      </c>
      <c r="K338" s="304">
        <f t="shared" ca="1" si="40"/>
        <v>917.8470378229847</v>
      </c>
      <c r="L338" s="278">
        <v>1</v>
      </c>
      <c r="M338" s="279">
        <f t="shared" ref="M338:M401" si="47">M337</f>
        <v>0.13735784313725496</v>
      </c>
      <c r="N338" s="304">
        <f>L338*('College Schedule'!$L$10)*(1+'Government Figures'!$B$8/12)^B338</f>
        <v>4664.5312031007134</v>
      </c>
      <c r="O338" s="304">
        <f t="shared" si="45"/>
        <v>532.85332636049634</v>
      </c>
      <c r="P338" s="304">
        <f t="shared" si="41"/>
        <v>181.88416006877333</v>
      </c>
      <c r="Q338" s="277"/>
      <c r="R338" s="281"/>
      <c r="S338" s="281"/>
      <c r="T338" s="281"/>
      <c r="U338" s="281"/>
      <c r="V338" s="281"/>
      <c r="W338" s="281"/>
      <c r="X338" s="281"/>
      <c r="Y338" s="281"/>
      <c r="Z338" s="281"/>
      <c r="AA338" s="281"/>
      <c r="AB338" s="281"/>
      <c r="AC338" s="281"/>
      <c r="AD338" s="281"/>
    </row>
    <row r="339" spans="1:30" s="288" customFormat="1" x14ac:dyDescent="0.25">
      <c r="A339" s="287"/>
      <c r="B339" s="274">
        <f t="shared" si="42"/>
        <v>324</v>
      </c>
      <c r="C339" s="304">
        <f t="shared" ca="1" si="43"/>
        <v>-399.68743061405257</v>
      </c>
      <c r="D339" s="304">
        <f ca="1">IF(ROUND(E338,0)&lt;&gt;0, IF(ROUND(D338,0)&lt;&gt;0, 'Career Comparison'!$F$28-C339, 0), 0)</f>
        <v>647.48247826132001</v>
      </c>
      <c r="E339" s="304">
        <f ca="1">IF(G$7&gt;=B339, E338*(1+'Government Figures'!$D$8/12)-'Career Comparison'!$F$28, 0)</f>
        <v>175001.70404040546</v>
      </c>
      <c r="F339" s="312">
        <f>'College Schedule'!$L$8*(1+'Government Figures'!$B$8/12)^B339</f>
        <v>3496.7862113216047</v>
      </c>
      <c r="G339" s="278">
        <v>1</v>
      </c>
      <c r="H339" s="279">
        <f t="shared" ca="1" si="46"/>
        <v>0.17320110972991043</v>
      </c>
      <c r="I339" s="304">
        <f>G339*('College Schedule'!$L$9)*(1+'Government Figures'!$B$8/12)^B339</f>
        <v>7787.1757029542459</v>
      </c>
      <c r="J339" s="304">
        <f t="shared" ca="1" si="44"/>
        <v>2693.8469705719035</v>
      </c>
      <c r="K339" s="304">
        <f t="shared" ca="1" si="40"/>
        <v>916.46287723555633</v>
      </c>
      <c r="L339" s="278">
        <v>1</v>
      </c>
      <c r="M339" s="279">
        <f t="shared" si="47"/>
        <v>0.13735784313725496</v>
      </c>
      <c r="N339" s="304">
        <f>L339*('College Schedule'!$L$10)*(1+'Government Figures'!$B$8/12)^B339</f>
        <v>4672.3054217725485</v>
      </c>
      <c r="O339" s="304">
        <f t="shared" si="45"/>
        <v>533.74141523776416</v>
      </c>
      <c r="P339" s="304">
        <f t="shared" si="41"/>
        <v>181.58202691251304</v>
      </c>
      <c r="Q339" s="277"/>
      <c r="R339" s="281"/>
      <c r="S339" s="281"/>
      <c r="T339" s="281"/>
      <c r="U339" s="281"/>
      <c r="V339" s="281"/>
      <c r="W339" s="281"/>
      <c r="X339" s="281"/>
      <c r="Y339" s="281"/>
      <c r="Z339" s="281"/>
      <c r="AA339" s="281"/>
      <c r="AB339" s="281"/>
      <c r="AC339" s="281"/>
      <c r="AD339" s="281"/>
    </row>
    <row r="340" spans="1:30" s="288" customFormat="1" x14ac:dyDescent="0.25">
      <c r="A340" s="287"/>
      <c r="B340" s="274">
        <f t="shared" si="42"/>
        <v>325</v>
      </c>
      <c r="C340" s="304">
        <f t="shared" ca="1" si="43"/>
        <v>-401.16960483591538</v>
      </c>
      <c r="D340" s="304">
        <f ca="1">IF(ROUND(E339,0)&lt;&gt;0, IF(ROUND(D339,0)&lt;&gt;0, 'Career Comparison'!$F$28-C340, 0), 0)</f>
        <v>648.96465248318282</v>
      </c>
      <c r="E340" s="304">
        <f ca="1">IF(G$7&gt;=B340, E339*(1+'Government Figures'!$D$8/12)-'Career Comparison'!$F$28, 0)</f>
        <v>175402.87364524137</v>
      </c>
      <c r="F340" s="312">
        <f>'College Schedule'!$L$8*(1+'Government Figures'!$B$8/12)^B340</f>
        <v>3502.6141883404744</v>
      </c>
      <c r="G340" s="278">
        <v>1</v>
      </c>
      <c r="H340" s="279">
        <f t="shared" ca="1" si="46"/>
        <v>0.17320110972991043</v>
      </c>
      <c r="I340" s="304">
        <f>G340*('College Schedule'!$L$9)*(1+'Government Figures'!$B$8/12)^B340</f>
        <v>7800.1543291258367</v>
      </c>
      <c r="J340" s="304">
        <f t="shared" ca="1" si="44"/>
        <v>2698.7497072689353</v>
      </c>
      <c r="K340" s="304">
        <f t="shared" ca="1" si="40"/>
        <v>915.08054913326907</v>
      </c>
      <c r="L340" s="278">
        <v>1</v>
      </c>
      <c r="M340" s="279">
        <f t="shared" si="47"/>
        <v>0.13735784313725496</v>
      </c>
      <c r="N340" s="304">
        <f>L340*('College Schedule'!$L$10)*(1+'Government Figures'!$B$8/12)^B340</f>
        <v>4680.0925974755028</v>
      </c>
      <c r="O340" s="304">
        <f t="shared" si="45"/>
        <v>534.63098426316037</v>
      </c>
      <c r="P340" s="304">
        <f t="shared" si="41"/>
        <v>181.280395638572</v>
      </c>
      <c r="Q340" s="277"/>
      <c r="R340" s="281"/>
      <c r="S340" s="281"/>
      <c r="T340" s="281"/>
      <c r="U340" s="281"/>
      <c r="V340" s="281"/>
      <c r="W340" s="281"/>
      <c r="X340" s="281"/>
      <c r="Y340" s="281"/>
      <c r="Z340" s="281"/>
      <c r="AA340" s="281"/>
      <c r="AB340" s="281"/>
      <c r="AC340" s="281"/>
      <c r="AD340" s="281"/>
    </row>
    <row r="341" spans="1:30" s="288" customFormat="1" x14ac:dyDescent="0.25">
      <c r="A341" s="287"/>
      <c r="B341" s="274">
        <f t="shared" si="42"/>
        <v>326</v>
      </c>
      <c r="C341" s="304">
        <f t="shared" ca="1" si="43"/>
        <v>-402.65727545385016</v>
      </c>
      <c r="D341" s="304">
        <f ca="1">IF(ROUND(E340,0)&lt;&gt;0, IF(ROUND(D340,0)&lt;&gt;0, 'Career Comparison'!$F$28-C341, 0), 0)</f>
        <v>650.4523231011176</v>
      </c>
      <c r="E341" s="304">
        <f ca="1">IF(G$7&gt;=B341, E340*(1+'Government Figures'!$D$8/12)-'Career Comparison'!$F$28, 0)</f>
        <v>175805.53092069522</v>
      </c>
      <c r="F341" s="312">
        <f>'College Schedule'!$L$8*(1+'Government Figures'!$B$8/12)^B341</f>
        <v>3508.4518786543754</v>
      </c>
      <c r="G341" s="278">
        <v>1</v>
      </c>
      <c r="H341" s="279">
        <f t="shared" ca="1" si="46"/>
        <v>0.17320110972991043</v>
      </c>
      <c r="I341" s="304">
        <f>G341*('College Schedule'!$L$9)*(1+'Government Figures'!$B$8/12)^B341</f>
        <v>7813.1545863410465</v>
      </c>
      <c r="J341" s="304">
        <f t="shared" ca="1" si="44"/>
        <v>2703.6606151937949</v>
      </c>
      <c r="K341" s="304">
        <f t="shared" ca="1" si="40"/>
        <v>913.70005202290815</v>
      </c>
      <c r="L341" s="278">
        <v>1</v>
      </c>
      <c r="M341" s="279">
        <f t="shared" si="47"/>
        <v>0.13735784313725496</v>
      </c>
      <c r="N341" s="304">
        <f>L341*('College Schedule'!$L$10)*(1+'Government Figures'!$B$8/12)^B341</f>
        <v>4687.8927518046285</v>
      </c>
      <c r="O341" s="304">
        <f t="shared" si="45"/>
        <v>535.52203590359841</v>
      </c>
      <c r="P341" s="304">
        <f t="shared" si="41"/>
        <v>180.9792654132585</v>
      </c>
      <c r="Q341" s="277"/>
      <c r="R341" s="281"/>
      <c r="S341" s="281"/>
      <c r="T341" s="281"/>
      <c r="U341" s="281"/>
      <c r="V341" s="281"/>
      <c r="W341" s="281"/>
      <c r="X341" s="281"/>
      <c r="Y341" s="281"/>
      <c r="Z341" s="281"/>
      <c r="AA341" s="281"/>
      <c r="AB341" s="281"/>
      <c r="AC341" s="281"/>
      <c r="AD341" s="281"/>
    </row>
    <row r="342" spans="1:30" s="288" customFormat="1" x14ac:dyDescent="0.25">
      <c r="A342" s="287"/>
      <c r="B342" s="274">
        <f t="shared" si="42"/>
        <v>327</v>
      </c>
      <c r="C342" s="304">
        <f t="shared" ca="1" si="43"/>
        <v>-404.15046285034623</v>
      </c>
      <c r="D342" s="304">
        <f ca="1">IF(ROUND(E341,0)&lt;&gt;0, IF(ROUND(D341,0)&lt;&gt;0, 'Career Comparison'!$F$28-C342, 0), 0)</f>
        <v>651.94551049761367</v>
      </c>
      <c r="E342" s="304">
        <f ca="1">IF(G$7&gt;=B342, E341*(1+'Government Figures'!$D$8/12)-'Career Comparison'!$F$28, 0)</f>
        <v>176209.68138354557</v>
      </c>
      <c r="F342" s="312">
        <f>'College Schedule'!$L$8*(1+'Government Figures'!$B$8/12)^B342</f>
        <v>3514.2992984521325</v>
      </c>
      <c r="G342" s="278">
        <v>1</v>
      </c>
      <c r="H342" s="279">
        <f t="shared" ca="1" si="46"/>
        <v>0.17320110972991043</v>
      </c>
      <c r="I342" s="304">
        <f>G342*('College Schedule'!$L$9)*(1+'Government Figures'!$B$8/12)^B342</f>
        <v>7826.176510651615</v>
      </c>
      <c r="J342" s="304">
        <f t="shared" ca="1" si="44"/>
        <v>2708.579707965197</v>
      </c>
      <c r="K342" s="304">
        <f t="shared" ca="1" si="40"/>
        <v>912.3213844085883</v>
      </c>
      <c r="L342" s="278">
        <v>1</v>
      </c>
      <c r="M342" s="279">
        <f t="shared" si="47"/>
        <v>0.13735784313725496</v>
      </c>
      <c r="N342" s="304">
        <f>L342*('College Schedule'!$L$10)*(1+'Government Figures'!$B$8/12)^B342</f>
        <v>4695.7059063909701</v>
      </c>
      <c r="O342" s="304">
        <f t="shared" si="45"/>
        <v>536.41457263010489</v>
      </c>
      <c r="P342" s="304">
        <f t="shared" si="41"/>
        <v>180.67863540426652</v>
      </c>
      <c r="Q342" s="277"/>
      <c r="R342" s="281"/>
      <c r="S342" s="281"/>
      <c r="T342" s="281"/>
      <c r="U342" s="281"/>
      <c r="V342" s="281"/>
      <c r="W342" s="281"/>
      <c r="X342" s="281"/>
      <c r="Y342" s="281"/>
      <c r="Z342" s="281"/>
      <c r="AA342" s="281"/>
      <c r="AB342" s="281"/>
      <c r="AC342" s="281"/>
      <c r="AD342" s="281"/>
    </row>
    <row r="343" spans="1:30" s="288" customFormat="1" x14ac:dyDescent="0.25">
      <c r="A343" s="287"/>
      <c r="B343" s="274">
        <f t="shared" si="42"/>
        <v>328</v>
      </c>
      <c r="C343" s="304">
        <f t="shared" ca="1" si="43"/>
        <v>-405.64918748338823</v>
      </c>
      <c r="D343" s="304">
        <f ca="1">IF(ROUND(E342,0)&lt;&gt;0, IF(ROUND(D342,0)&lt;&gt;0, 'Career Comparison'!$F$28-C343, 0), 0)</f>
        <v>653.44423513065567</v>
      </c>
      <c r="E343" s="304">
        <f ca="1">IF(G$7&gt;=B343, E342*(1+'Government Figures'!$D$8/12)-'Career Comparison'!$F$28, 0)</f>
        <v>176615.33057102896</v>
      </c>
      <c r="F343" s="312">
        <f>'College Schedule'!$L$8*(1+'Government Figures'!$B$8/12)^B343</f>
        <v>3520.1564639495532</v>
      </c>
      <c r="G343" s="278">
        <v>1</v>
      </c>
      <c r="H343" s="279">
        <f t="shared" ca="1" si="46"/>
        <v>0.17320110972991043</v>
      </c>
      <c r="I343" s="304">
        <f>G343*('College Schedule'!$L$9)*(1+'Government Figures'!$B$8/12)^B343</f>
        <v>7839.2201381693694</v>
      </c>
      <c r="J343" s="304">
        <f t="shared" ca="1" si="44"/>
        <v>2713.5069992245526</v>
      </c>
      <c r="K343" s="304">
        <f t="shared" ca="1" si="40"/>
        <v>910.94454479177273</v>
      </c>
      <c r="L343" s="278">
        <v>1</v>
      </c>
      <c r="M343" s="279">
        <f t="shared" si="47"/>
        <v>0.13735784313725496</v>
      </c>
      <c r="N343" s="304">
        <f>L343*('College Schedule'!$L$10)*(1+'Government Figures'!$B$8/12)^B343</f>
        <v>4703.5320829016227</v>
      </c>
      <c r="O343" s="304">
        <f t="shared" si="45"/>
        <v>537.30859691782234</v>
      </c>
      <c r="P343" s="304">
        <f t="shared" si="41"/>
        <v>180.37850478067159</v>
      </c>
      <c r="Q343" s="277"/>
      <c r="R343" s="281"/>
      <c r="S343" s="281"/>
      <c r="T343" s="281"/>
      <c r="U343" s="281"/>
      <c r="V343" s="281"/>
      <c r="W343" s="281"/>
      <c r="X343" s="281"/>
      <c r="Y343" s="281"/>
      <c r="Z343" s="281"/>
      <c r="AA343" s="281"/>
      <c r="AB343" s="281"/>
      <c r="AC343" s="281"/>
      <c r="AD343" s="281"/>
    </row>
    <row r="344" spans="1:30" s="288" customFormat="1" x14ac:dyDescent="0.25">
      <c r="A344" s="287"/>
      <c r="B344" s="274">
        <f t="shared" si="42"/>
        <v>329</v>
      </c>
      <c r="C344" s="304">
        <f t="shared" ca="1" si="43"/>
        <v>-407.15346988698002</v>
      </c>
      <c r="D344" s="304">
        <f ca="1">IF(ROUND(E343,0)&lt;&gt;0, IF(ROUND(D343,0)&lt;&gt;0, 'Career Comparison'!$F$28-C344, 0), 0)</f>
        <v>654.94851753424746</v>
      </c>
      <c r="E344" s="304">
        <f ca="1">IF(G$7&gt;=B344, E343*(1+'Government Figures'!$D$8/12)-'Career Comparison'!$F$28, 0)</f>
        <v>177022.48404091594</v>
      </c>
      <c r="F344" s="312">
        <f>'College Schedule'!$L$8*(1+'Government Figures'!$B$8/12)^B344</f>
        <v>3526.0233913894695</v>
      </c>
      <c r="G344" s="278">
        <v>1</v>
      </c>
      <c r="H344" s="279">
        <f t="shared" ca="1" si="46"/>
        <v>0.17320110972991043</v>
      </c>
      <c r="I344" s="304">
        <f>G344*('College Schedule'!$L$9)*(1+'Government Figures'!$B$8/12)^B344</f>
        <v>7852.2855050663184</v>
      </c>
      <c r="J344" s="304">
        <f t="shared" ca="1" si="44"/>
        <v>2718.442502636005</v>
      </c>
      <c r="K344" s="304">
        <f t="shared" ca="1" si="40"/>
        <v>909.56953167129541</v>
      </c>
      <c r="L344" s="278">
        <v>1</v>
      </c>
      <c r="M344" s="279">
        <f t="shared" si="47"/>
        <v>0.13735784313725496</v>
      </c>
      <c r="N344" s="304">
        <f>L344*('College Schedule'!$L$10)*(1+'Government Figures'!$B$8/12)^B344</f>
        <v>4711.3713030397921</v>
      </c>
      <c r="O344" s="304">
        <f t="shared" si="45"/>
        <v>538.20411124601833</v>
      </c>
      <c r="P344" s="304">
        <f t="shared" si="41"/>
        <v>180.0788727129295</v>
      </c>
      <c r="Q344" s="277"/>
      <c r="R344" s="281"/>
      <c r="S344" s="281"/>
      <c r="T344" s="281"/>
      <c r="U344" s="281"/>
      <c r="V344" s="281"/>
      <c r="W344" s="281"/>
      <c r="X344" s="281"/>
      <c r="Y344" s="281"/>
      <c r="Z344" s="281"/>
      <c r="AA344" s="281"/>
      <c r="AB344" s="281"/>
      <c r="AC344" s="281"/>
      <c r="AD344" s="281"/>
    </row>
    <row r="345" spans="1:30" s="288" customFormat="1" x14ac:dyDescent="0.25">
      <c r="A345" s="287"/>
      <c r="B345" s="274">
        <f t="shared" si="42"/>
        <v>330</v>
      </c>
      <c r="C345" s="304">
        <f t="shared" ca="1" si="43"/>
        <v>-408.66333067114465</v>
      </c>
      <c r="D345" s="304">
        <f ca="1">IF(ROUND(E344,0)&lt;&gt;0, IF(ROUND(D344,0)&lt;&gt;0, 'Career Comparison'!$F$28-C345, 0), 0)</f>
        <v>656.45837831841209</v>
      </c>
      <c r="E345" s="304">
        <f ca="1">IF(G$7&gt;=B345, E344*(1+'Government Figures'!$D$8/12)-'Career Comparison'!$F$28, 0)</f>
        <v>177431.14737158708</v>
      </c>
      <c r="F345" s="312">
        <f>'College Schedule'!$L$8*(1+'Government Figures'!$B$8/12)^B345</f>
        <v>3531.9000970417856</v>
      </c>
      <c r="G345" s="278">
        <v>1</v>
      </c>
      <c r="H345" s="279">
        <f t="shared" ca="1" si="46"/>
        <v>0.17320110972991043</v>
      </c>
      <c r="I345" s="304">
        <f>G345*('College Schedule'!$L$9)*(1+'Government Figures'!$B$8/12)^B345</f>
        <v>7865.3726475747626</v>
      </c>
      <c r="J345" s="304">
        <f t="shared" ca="1" si="44"/>
        <v>2723.3862318864772</v>
      </c>
      <c r="K345" s="304">
        <f t="shared" ca="1" si="40"/>
        <v>908.19634354338427</v>
      </c>
      <c r="L345" s="278">
        <v>1</v>
      </c>
      <c r="M345" s="279">
        <f t="shared" si="47"/>
        <v>0.13735784313725496</v>
      </c>
      <c r="N345" s="304">
        <f>L345*('College Schedule'!$L$10)*(1+'Government Figures'!$B$8/12)^B345</f>
        <v>4719.2235885448581</v>
      </c>
      <c r="O345" s="304">
        <f t="shared" si="45"/>
        <v>539.1011180980945</v>
      </c>
      <c r="P345" s="304">
        <f t="shared" si="41"/>
        <v>179.77973837287459</v>
      </c>
      <c r="Q345" s="277"/>
      <c r="R345" s="281"/>
      <c r="S345" s="281"/>
      <c r="T345" s="281"/>
      <c r="U345" s="281"/>
      <c r="V345" s="281"/>
      <c r="W345" s="281"/>
      <c r="X345" s="281"/>
      <c r="Y345" s="281"/>
      <c r="Z345" s="281"/>
      <c r="AA345" s="281"/>
      <c r="AB345" s="281"/>
      <c r="AC345" s="281"/>
      <c r="AD345" s="281"/>
    </row>
    <row r="346" spans="1:30" s="288" customFormat="1" x14ac:dyDescent="0.25">
      <c r="A346" s="287"/>
      <c r="B346" s="274">
        <f t="shared" si="42"/>
        <v>331</v>
      </c>
      <c r="C346" s="304">
        <f t="shared" ca="1" si="43"/>
        <v>-410.17879052239005</v>
      </c>
      <c r="D346" s="304">
        <f ca="1">IF(ROUND(E345,0)&lt;&gt;0, IF(ROUND(D345,0)&lt;&gt;0, 'Career Comparison'!$F$28-C346, 0), 0)</f>
        <v>657.97383816965748</v>
      </c>
      <c r="E346" s="304">
        <f ca="1">IF(G$7&gt;=B346, E345*(1+'Government Figures'!$D$8/12)-'Career Comparison'!$F$28, 0)</f>
        <v>177841.32616210947</v>
      </c>
      <c r="F346" s="312">
        <f>'College Schedule'!$L$8*(1+'Government Figures'!$B$8/12)^B346</f>
        <v>3537.7865972035224</v>
      </c>
      <c r="G346" s="278">
        <v>1</v>
      </c>
      <c r="H346" s="279">
        <f t="shared" ca="1" si="46"/>
        <v>0.17320110972991043</v>
      </c>
      <c r="I346" s="304">
        <f>G346*('College Schedule'!$L$9)*(1+'Government Figures'!$B$8/12)^B346</f>
        <v>7878.4816019873888</v>
      </c>
      <c r="J346" s="304">
        <f t="shared" ca="1" si="44"/>
        <v>2728.3382006857005</v>
      </c>
      <c r="K346" s="304">
        <f t="shared" ca="1" si="40"/>
        <v>906.82497890168122</v>
      </c>
      <c r="L346" s="278">
        <v>1</v>
      </c>
      <c r="M346" s="279">
        <f t="shared" si="47"/>
        <v>0.13735784313725496</v>
      </c>
      <c r="N346" s="304">
        <f>L346*('College Schedule'!$L$10)*(1+'Government Figures'!$B$8/12)^B346</f>
        <v>4727.088961192434</v>
      </c>
      <c r="O346" s="304">
        <f t="shared" si="45"/>
        <v>539.99961996159163</v>
      </c>
      <c r="P346" s="304">
        <f t="shared" si="41"/>
        <v>179.48110093371707</v>
      </c>
      <c r="Q346" s="277"/>
      <c r="R346" s="281"/>
      <c r="S346" s="281"/>
      <c r="T346" s="281"/>
      <c r="U346" s="281"/>
      <c r="V346" s="281"/>
      <c r="W346" s="281"/>
      <c r="X346" s="281"/>
      <c r="Y346" s="281"/>
      <c r="Z346" s="281"/>
      <c r="AA346" s="281"/>
      <c r="AB346" s="281"/>
      <c r="AC346" s="281"/>
      <c r="AD346" s="281"/>
    </row>
    <row r="347" spans="1:30" s="288" customFormat="1" x14ac:dyDescent="0.25">
      <c r="A347" s="287"/>
      <c r="B347" s="274">
        <f t="shared" si="42"/>
        <v>332</v>
      </c>
      <c r="C347" s="304">
        <f t="shared" ca="1" si="43"/>
        <v>-411.69987020391272</v>
      </c>
      <c r="D347" s="304">
        <f ca="1">IF(ROUND(E346,0)&lt;&gt;0, IF(ROUND(D346,0)&lt;&gt;0, 'Career Comparison'!$F$28-C347, 0), 0)</f>
        <v>659.49491785118016</v>
      </c>
      <c r="E347" s="304">
        <f ca="1">IF(G$7&gt;=B347, E346*(1+'Government Figures'!$D$8/12)-'Career Comparison'!$F$28, 0)</f>
        <v>178253.02603231338</v>
      </c>
      <c r="F347" s="312">
        <f>'College Schedule'!$L$8*(1+'Government Figures'!$B$8/12)^B347</f>
        <v>3543.6829081988612</v>
      </c>
      <c r="G347" s="278">
        <v>1</v>
      </c>
      <c r="H347" s="279">
        <f t="shared" ca="1" si="46"/>
        <v>0.17320110972991043</v>
      </c>
      <c r="I347" s="304">
        <f>G347*('College Schedule'!$L$9)*(1+'Government Figures'!$B$8/12)^B347</f>
        <v>7891.6124046573668</v>
      </c>
      <c r="J347" s="304">
        <f t="shared" ca="1" si="44"/>
        <v>2733.2984227662555</v>
      </c>
      <c r="K347" s="304">
        <f t="shared" ca="1" si="40"/>
        <v>905.45543623726269</v>
      </c>
      <c r="L347" s="278">
        <v>1</v>
      </c>
      <c r="M347" s="279">
        <f t="shared" si="47"/>
        <v>0.13735784313725496</v>
      </c>
      <c r="N347" s="304">
        <f>L347*('College Schedule'!$L$10)*(1+'Government Figures'!$B$8/12)^B347</f>
        <v>4734.967442794421</v>
      </c>
      <c r="O347" s="304">
        <f t="shared" si="45"/>
        <v>540.8996193281946</v>
      </c>
      <c r="P347" s="304">
        <f t="shared" si="41"/>
        <v>179.18295957003988</v>
      </c>
      <c r="Q347" s="277"/>
      <c r="R347" s="281"/>
      <c r="S347" s="281"/>
      <c r="T347" s="281"/>
      <c r="U347" s="281"/>
      <c r="V347" s="281"/>
      <c r="W347" s="281"/>
      <c r="X347" s="281"/>
      <c r="Y347" s="281"/>
      <c r="Z347" s="281"/>
      <c r="AA347" s="281"/>
      <c r="AB347" s="281"/>
      <c r="AC347" s="281"/>
      <c r="AD347" s="281"/>
    </row>
    <row r="348" spans="1:30" s="288" customFormat="1" x14ac:dyDescent="0.25">
      <c r="A348" s="287"/>
      <c r="B348" s="274">
        <f t="shared" si="42"/>
        <v>333</v>
      </c>
      <c r="C348" s="304">
        <f t="shared" ca="1" si="43"/>
        <v>-413.22659055591794</v>
      </c>
      <c r="D348" s="304">
        <f ca="1">IF(ROUND(E347,0)&lt;&gt;0, IF(ROUND(D347,0)&lt;&gt;0, 'Career Comparison'!$F$28-C348, 0), 0)</f>
        <v>661.02163820318538</v>
      </c>
      <c r="E348" s="304">
        <f ca="1">IF(G$7&gt;=B348, E347*(1+'Government Figures'!$D$8/12)-'Career Comparison'!$F$28, 0)</f>
        <v>178666.2526228693</v>
      </c>
      <c r="F348" s="312">
        <f>'College Schedule'!$L$8*(1+'Government Figures'!$B$8/12)^B348</f>
        <v>3549.5890463791934</v>
      </c>
      <c r="G348" s="278">
        <v>1</v>
      </c>
      <c r="H348" s="279">
        <f t="shared" ca="1" si="46"/>
        <v>0.17320110972991043</v>
      </c>
      <c r="I348" s="304">
        <f>G348*('College Schedule'!$L$9)*(1+'Government Figures'!$B$8/12)^B348</f>
        <v>7904.7650919984644</v>
      </c>
      <c r="J348" s="304">
        <f t="shared" ca="1" si="44"/>
        <v>2738.266911883612</v>
      </c>
      <c r="K348" s="304">
        <f t="shared" ca="1" si="40"/>
        <v>904.08771403866194</v>
      </c>
      <c r="L348" s="278">
        <v>1</v>
      </c>
      <c r="M348" s="279">
        <f t="shared" si="47"/>
        <v>0.13735784313725496</v>
      </c>
      <c r="N348" s="304">
        <f>L348*('College Schedule'!$L$10)*(1+'Government Figures'!$B$8/12)^B348</f>
        <v>4742.8590551990792</v>
      </c>
      <c r="O348" s="304">
        <f t="shared" si="45"/>
        <v>541.8011186937415</v>
      </c>
      <c r="P348" s="304">
        <f t="shared" si="41"/>
        <v>178.88531345779728</v>
      </c>
      <c r="Q348" s="277"/>
      <c r="R348" s="281"/>
      <c r="S348" s="281"/>
      <c r="T348" s="281"/>
      <c r="U348" s="281"/>
      <c r="V348" s="281"/>
      <c r="W348" s="281"/>
      <c r="X348" s="281"/>
      <c r="Y348" s="281"/>
      <c r="Z348" s="281"/>
      <c r="AA348" s="281"/>
      <c r="AB348" s="281"/>
      <c r="AC348" s="281"/>
      <c r="AD348" s="281"/>
    </row>
    <row r="349" spans="1:30" s="288" customFormat="1" x14ac:dyDescent="0.25">
      <c r="A349" s="287"/>
      <c r="B349" s="274">
        <f t="shared" si="42"/>
        <v>334</v>
      </c>
      <c r="C349" s="304">
        <f t="shared" ca="1" si="43"/>
        <v>-414.75897249588161</v>
      </c>
      <c r="D349" s="304">
        <f ca="1">IF(ROUND(E348,0)&lt;&gt;0, IF(ROUND(D348,0)&lt;&gt;0, 'Career Comparison'!$F$28-C349, 0), 0)</f>
        <v>662.55402014314905</v>
      </c>
      <c r="E349" s="304">
        <f ca="1">IF(G$7&gt;=B349, E348*(1+'Government Figures'!$D$8/12)-'Career Comparison'!$F$28, 0)</f>
        <v>179081.01159536518</v>
      </c>
      <c r="F349" s="312">
        <f>'College Schedule'!$L$8*(1+'Government Figures'!$B$8/12)^B349</f>
        <v>3555.5050281231588</v>
      </c>
      <c r="G349" s="278">
        <v>1</v>
      </c>
      <c r="H349" s="279">
        <f t="shared" ca="1" si="46"/>
        <v>0.17320110972991043</v>
      </c>
      <c r="I349" s="304">
        <f>G349*('College Schedule'!$L$9)*(1+'Government Figures'!$B$8/12)^B349</f>
        <v>7917.9397004851289</v>
      </c>
      <c r="J349" s="304">
        <f t="shared" ca="1" si="44"/>
        <v>2743.2436818161636</v>
      </c>
      <c r="K349" s="304">
        <f t="shared" ca="1" si="40"/>
        <v>902.72181079188863</v>
      </c>
      <c r="L349" s="278">
        <v>1</v>
      </c>
      <c r="M349" s="279">
        <f t="shared" si="47"/>
        <v>0.13735784313725496</v>
      </c>
      <c r="N349" s="304">
        <f>L349*('College Schedule'!$L$10)*(1+'Government Figures'!$B$8/12)^B349</f>
        <v>4750.7638202910784</v>
      </c>
      <c r="O349" s="304">
        <f t="shared" si="45"/>
        <v>542.70412055823181</v>
      </c>
      <c r="P349" s="304">
        <f t="shared" si="41"/>
        <v>178.58816177431279</v>
      </c>
      <c r="Q349" s="277"/>
      <c r="R349" s="281"/>
      <c r="S349" s="281"/>
      <c r="T349" s="281"/>
      <c r="U349" s="281"/>
      <c r="V349" s="281"/>
      <c r="W349" s="281"/>
      <c r="X349" s="281"/>
      <c r="Y349" s="281"/>
      <c r="Z349" s="281"/>
      <c r="AA349" s="281"/>
      <c r="AB349" s="281"/>
      <c r="AC349" s="281"/>
      <c r="AD349" s="281"/>
    </row>
    <row r="350" spans="1:30" s="288" customFormat="1" x14ac:dyDescent="0.25">
      <c r="A350" s="287"/>
      <c r="B350" s="274">
        <f t="shared" si="42"/>
        <v>335</v>
      </c>
      <c r="C350" s="304">
        <f t="shared" ca="1" si="43"/>
        <v>-416.29703701889957</v>
      </c>
      <c r="D350" s="304">
        <f ca="1">IF(ROUND(E349,0)&lt;&gt;0, IF(ROUND(D349,0)&lt;&gt;0, 'Career Comparison'!$F$28-C350, 0), 0)</f>
        <v>664.09208466616701</v>
      </c>
      <c r="E350" s="304">
        <f ca="1">IF(G$7&gt;=B350, E349*(1+'Government Figures'!$D$8/12)-'Career Comparison'!$F$28, 0)</f>
        <v>179497.30863238408</v>
      </c>
      <c r="F350" s="312">
        <f>'College Schedule'!$L$8*(1+'Government Figures'!$B$8/12)^B350</f>
        <v>3561.4308698366972</v>
      </c>
      <c r="G350" s="278">
        <v>1</v>
      </c>
      <c r="H350" s="279">
        <f t="shared" ca="1" si="46"/>
        <v>0.17320110972991043</v>
      </c>
      <c r="I350" s="304">
        <f>G350*('College Schedule'!$L$9)*(1+'Government Figures'!$B$8/12)^B350</f>
        <v>7931.1362666526038</v>
      </c>
      <c r="J350" s="304">
        <f t="shared" ca="1" si="44"/>
        <v>2748.2287463652692</v>
      </c>
      <c r="K350" s="304">
        <f t="shared" ca="1" si="40"/>
        <v>901.35772498045128</v>
      </c>
      <c r="L350" s="278">
        <v>1</v>
      </c>
      <c r="M350" s="279">
        <f t="shared" si="47"/>
        <v>0.13735784313725496</v>
      </c>
      <c r="N350" s="304">
        <f>L350*('College Schedule'!$L$10)*(1+'Government Figures'!$B$8/12)^B350</f>
        <v>4758.681759991563</v>
      </c>
      <c r="O350" s="304">
        <f t="shared" si="45"/>
        <v>543.60862742582822</v>
      </c>
      <c r="P350" s="304">
        <f t="shared" si="41"/>
        <v>178.29150369827545</v>
      </c>
      <c r="Q350" s="277"/>
      <c r="R350" s="281"/>
      <c r="S350" s="281"/>
      <c r="T350" s="281"/>
      <c r="U350" s="281"/>
      <c r="V350" s="281"/>
      <c r="W350" s="281"/>
      <c r="X350" s="281"/>
      <c r="Y350" s="281"/>
      <c r="Z350" s="281"/>
      <c r="AA350" s="281"/>
      <c r="AB350" s="281"/>
      <c r="AC350" s="281"/>
      <c r="AD350" s="281"/>
    </row>
    <row r="351" spans="1:30" s="288" customFormat="1" x14ac:dyDescent="0.25">
      <c r="A351" s="287"/>
      <c r="B351" s="274">
        <f t="shared" si="42"/>
        <v>336</v>
      </c>
      <c r="C351" s="304">
        <f t="shared" ca="1" si="43"/>
        <v>-417.84080519783311</v>
      </c>
      <c r="D351" s="304">
        <f ca="1">IF(ROUND(E350,0)&lt;&gt;0, IF(ROUND(D350,0)&lt;&gt;0, 'Career Comparison'!$F$28-C351, 0), 0)</f>
        <v>665.63585284510054</v>
      </c>
      <c r="E351" s="304">
        <f ca="1">IF(G$7&gt;=B351, E350*(1+'Government Figures'!$D$8/12)-'Career Comparison'!$F$28, 0)</f>
        <v>179915.14943758192</v>
      </c>
      <c r="F351" s="312">
        <f>'College Schedule'!$L$8*(1+'Government Figures'!$B$8/12)^B351</f>
        <v>3567.3665879530927</v>
      </c>
      <c r="G351" s="278">
        <v>1</v>
      </c>
      <c r="H351" s="279">
        <f t="shared" ca="1" si="46"/>
        <v>0.17320110972991043</v>
      </c>
      <c r="I351" s="304">
        <f>G351*('College Schedule'!$L$9)*(1+'Government Figures'!$B$8/12)^B351</f>
        <v>7944.3548270970259</v>
      </c>
      <c r="J351" s="304">
        <f t="shared" ca="1" si="44"/>
        <v>2753.22211935529</v>
      </c>
      <c r="K351" s="304">
        <f t="shared" ca="1" si="40"/>
        <v>899.99545508537813</v>
      </c>
      <c r="L351" s="278">
        <v>1</v>
      </c>
      <c r="M351" s="279">
        <f t="shared" si="47"/>
        <v>0.13735784313725496</v>
      </c>
      <c r="N351" s="304">
        <f>L351*('College Schedule'!$L$10)*(1+'Government Figures'!$B$8/12)^B351</f>
        <v>4766.612896258217</v>
      </c>
      <c r="O351" s="304">
        <f t="shared" si="45"/>
        <v>544.51464180487164</v>
      </c>
      <c r="P351" s="304">
        <f t="shared" si="41"/>
        <v>177.99533840974024</v>
      </c>
      <c r="Q351" s="277"/>
      <c r="R351" s="281"/>
      <c r="S351" s="281"/>
      <c r="T351" s="281"/>
      <c r="U351" s="281"/>
      <c r="V351" s="281"/>
      <c r="W351" s="281"/>
      <c r="X351" s="281"/>
      <c r="Y351" s="281"/>
      <c r="Z351" s="281"/>
      <c r="AA351" s="281"/>
      <c r="AB351" s="281"/>
      <c r="AC351" s="281"/>
      <c r="AD351" s="281"/>
    </row>
    <row r="352" spans="1:30" s="288" customFormat="1" x14ac:dyDescent="0.25">
      <c r="A352" s="287"/>
      <c r="B352" s="274">
        <f t="shared" si="42"/>
        <v>337</v>
      </c>
      <c r="C352" s="304">
        <f t="shared" ca="1" si="43"/>
        <v>-419.39029818377458</v>
      </c>
      <c r="D352" s="304">
        <f ca="1">IF(ROUND(E351,0)&lt;&gt;0, IF(ROUND(D351,0)&lt;&gt;0, 'Career Comparison'!$F$28-C352, 0), 0)</f>
        <v>667.18534583104201</v>
      </c>
      <c r="E352" s="304">
        <f ca="1">IF(G$7&gt;=B352, E351*(1+'Government Figures'!$D$8/12)-'Career Comparison'!$F$28, 0)</f>
        <v>180334.53973576569</v>
      </c>
      <c r="F352" s="312">
        <f>'College Schedule'!$L$8*(1+'Government Figures'!$B$8/12)^B352</f>
        <v>3573.3121989330143</v>
      </c>
      <c r="G352" s="278">
        <v>1</v>
      </c>
      <c r="H352" s="279">
        <f t="shared" ca="1" si="46"/>
        <v>0.17320110972991043</v>
      </c>
      <c r="I352" s="304">
        <f>G352*('College Schedule'!$L$9)*(1+'Government Figures'!$B$8/12)^B352</f>
        <v>7957.595418475521</v>
      </c>
      <c r="J352" s="304">
        <f t="shared" ca="1" si="44"/>
        <v>2758.2238146336276</v>
      </c>
      <c r="K352" s="304">
        <f t="shared" ca="1" si="40"/>
        <v>898.63499958523551</v>
      </c>
      <c r="L352" s="278">
        <v>1</v>
      </c>
      <c r="M352" s="279">
        <f t="shared" si="47"/>
        <v>0.13735784313725496</v>
      </c>
      <c r="N352" s="304">
        <f>L352*('College Schedule'!$L$10)*(1+'Government Figures'!$B$8/12)^B352</f>
        <v>4774.5572510853135</v>
      </c>
      <c r="O352" s="304">
        <f t="shared" si="45"/>
        <v>545.4221662078794</v>
      </c>
      <c r="P352" s="304">
        <f t="shared" si="41"/>
        <v>177.69966509012258</v>
      </c>
      <c r="Q352" s="277"/>
      <c r="R352" s="281"/>
      <c r="S352" s="281"/>
      <c r="T352" s="281"/>
      <c r="U352" s="281"/>
      <c r="V352" s="281"/>
      <c r="W352" s="281"/>
      <c r="X352" s="281"/>
      <c r="Y352" s="281"/>
      <c r="Z352" s="281"/>
      <c r="AA352" s="281"/>
      <c r="AB352" s="281"/>
      <c r="AC352" s="281"/>
      <c r="AD352" s="281"/>
    </row>
    <row r="353" spans="1:30" s="288" customFormat="1" x14ac:dyDescent="0.25">
      <c r="A353" s="287"/>
      <c r="B353" s="274">
        <f t="shared" si="42"/>
        <v>338</v>
      </c>
      <c r="C353" s="304">
        <f t="shared" ca="1" si="43"/>
        <v>-420.94553720622207</v>
      </c>
      <c r="D353" s="304">
        <f ca="1">IF(ROUND(E352,0)&lt;&gt;0, IF(ROUND(D352,0)&lt;&gt;0, 'Career Comparison'!$F$28-C353, 0), 0)</f>
        <v>668.74058485348951</v>
      </c>
      <c r="E353" s="304">
        <f ca="1">IF(G$7&gt;=B353, E352*(1+'Government Figures'!$D$8/12)-'Career Comparison'!$F$28, 0)</f>
        <v>180755.48527297191</v>
      </c>
      <c r="F353" s="312">
        <f>'College Schedule'!$L$8*(1+'Government Figures'!$B$8/12)^B353</f>
        <v>3579.2677192645692</v>
      </c>
      <c r="G353" s="278">
        <v>1</v>
      </c>
      <c r="H353" s="279">
        <f t="shared" ca="1" si="46"/>
        <v>0.17320110972991043</v>
      </c>
      <c r="I353" s="304">
        <f>G353*('College Schedule'!$L$9)*(1+'Government Figures'!$B$8/12)^B353</f>
        <v>7970.8580775063137</v>
      </c>
      <c r="J353" s="304">
        <f t="shared" ca="1" si="44"/>
        <v>2763.2338460707633</v>
      </c>
      <c r="K353" s="304">
        <f t="shared" ca="1" si="40"/>
        <v>897.27635695615209</v>
      </c>
      <c r="L353" s="278">
        <v>1</v>
      </c>
      <c r="M353" s="279">
        <f t="shared" si="47"/>
        <v>0.13735784313725496</v>
      </c>
      <c r="N353" s="304">
        <f>L353*('College Schedule'!$L$10)*(1+'Government Figures'!$B$8/12)^B353</f>
        <v>4782.5148465037892</v>
      </c>
      <c r="O353" s="304">
        <f t="shared" si="45"/>
        <v>546.33120315155929</v>
      </c>
      <c r="P353" s="304">
        <f t="shared" si="41"/>
        <v>177.40448292219884</v>
      </c>
      <c r="Q353" s="277"/>
      <c r="R353" s="281"/>
      <c r="S353" s="281"/>
      <c r="T353" s="281"/>
      <c r="U353" s="281"/>
      <c r="V353" s="281"/>
      <c r="W353" s="281"/>
      <c r="X353" s="281"/>
      <c r="Y353" s="281"/>
      <c r="Z353" s="281"/>
      <c r="AA353" s="281"/>
      <c r="AB353" s="281"/>
      <c r="AC353" s="281"/>
      <c r="AD353" s="281"/>
    </row>
    <row r="354" spans="1:30" s="288" customFormat="1" x14ac:dyDescent="0.25">
      <c r="A354" s="287"/>
      <c r="B354" s="274">
        <f t="shared" si="42"/>
        <v>339</v>
      </c>
      <c r="C354" s="304">
        <f t="shared" ca="1" si="43"/>
        <v>-422.50654357337044</v>
      </c>
      <c r="D354" s="304">
        <f ca="1">IF(ROUND(E353,0)&lt;&gt;0, IF(ROUND(D353,0)&lt;&gt;0, 'Career Comparison'!$F$28-C354, 0), 0)</f>
        <v>670.30159122063787</v>
      </c>
      <c r="E354" s="304">
        <f ca="1">IF(G$7&gt;=B354, E353*(1+'Government Figures'!$D$8/12)-'Career Comparison'!$F$28, 0)</f>
        <v>181177.99181654528</v>
      </c>
      <c r="F354" s="312">
        <f>'College Schedule'!$L$8*(1+'Government Figures'!$B$8/12)^B354</f>
        <v>3585.2331654633444</v>
      </c>
      <c r="G354" s="278">
        <v>1</v>
      </c>
      <c r="H354" s="279">
        <f t="shared" ca="1" si="46"/>
        <v>0.17320110972991043</v>
      </c>
      <c r="I354" s="304">
        <f>G354*('College Schedule'!$L$9)*(1+'Government Figures'!$B$8/12)^B354</f>
        <v>7984.142840968826</v>
      </c>
      <c r="J354" s="304">
        <f t="shared" ca="1" si="44"/>
        <v>2768.2522275602937</v>
      </c>
      <c r="K354" s="304">
        <f t="shared" ca="1" si="40"/>
        <v>895.91952567183512</v>
      </c>
      <c r="L354" s="278">
        <v>1</v>
      </c>
      <c r="M354" s="279">
        <f t="shared" si="47"/>
        <v>0.13735784313725496</v>
      </c>
      <c r="N354" s="304">
        <f>L354*('College Schedule'!$L$10)*(1+'Government Figures'!$B$8/12)^B354</f>
        <v>4790.485704581296</v>
      </c>
      <c r="O354" s="304">
        <f t="shared" si="45"/>
        <v>547.24175515681145</v>
      </c>
      <c r="P354" s="304">
        <f t="shared" si="41"/>
        <v>177.10979109010196</v>
      </c>
      <c r="Q354" s="277"/>
      <c r="R354" s="281"/>
      <c r="S354" s="281"/>
      <c r="T354" s="281"/>
      <c r="U354" s="281"/>
      <c r="V354" s="281"/>
      <c r="W354" s="281"/>
      <c r="X354" s="281"/>
      <c r="Y354" s="281"/>
      <c r="Z354" s="281"/>
      <c r="AA354" s="281"/>
      <c r="AB354" s="281"/>
      <c r="AC354" s="281"/>
      <c r="AD354" s="281"/>
    </row>
    <row r="355" spans="1:30" s="288" customFormat="1" x14ac:dyDescent="0.25">
      <c r="A355" s="287"/>
      <c r="B355" s="274">
        <f t="shared" si="42"/>
        <v>340</v>
      </c>
      <c r="C355" s="304">
        <f t="shared" ca="1" si="43"/>
        <v>-424.07333867243142</v>
      </c>
      <c r="D355" s="304">
        <f ca="1">IF(ROUND(E354,0)&lt;&gt;0, IF(ROUND(D354,0)&lt;&gt;0, 'Career Comparison'!$F$28-C355, 0), 0)</f>
        <v>671.86838631969886</v>
      </c>
      <c r="E355" s="304">
        <f ca="1">IF(G$7&gt;=B355, E354*(1+'Government Figures'!$D$8/12)-'Career Comparison'!$F$28, 0)</f>
        <v>181602.06515521772</v>
      </c>
      <c r="F355" s="312">
        <f>'College Schedule'!$L$8*(1+'Government Figures'!$B$8/12)^B355</f>
        <v>3591.2085540724502</v>
      </c>
      <c r="G355" s="278">
        <v>1</v>
      </c>
      <c r="H355" s="279">
        <f t="shared" ca="1" si="46"/>
        <v>0.17320110972991043</v>
      </c>
      <c r="I355" s="304">
        <f>G355*('College Schedule'!$L$9)*(1+'Government Figures'!$B$8/12)^B355</f>
        <v>7997.4497457037742</v>
      </c>
      <c r="J355" s="304">
        <f t="shared" ca="1" si="44"/>
        <v>2773.2789730189729</v>
      </c>
      <c r="K355" s="304">
        <f t="shared" ca="1" si="40"/>
        <v>894.56450420359522</v>
      </c>
      <c r="L355" s="278">
        <v>1</v>
      </c>
      <c r="M355" s="279">
        <f t="shared" si="47"/>
        <v>0.13735784313725496</v>
      </c>
      <c r="N355" s="304">
        <f>L355*('College Schedule'!$L$10)*(1+'Government Figures'!$B$8/12)^B355</f>
        <v>4798.469847422266</v>
      </c>
      <c r="O355" s="304">
        <f t="shared" si="45"/>
        <v>548.15382474874059</v>
      </c>
      <c r="P355" s="304">
        <f t="shared" si="41"/>
        <v>176.81558877932144</v>
      </c>
      <c r="Q355" s="277"/>
      <c r="R355" s="281"/>
      <c r="S355" s="281"/>
      <c r="T355" s="281"/>
      <c r="U355" s="281"/>
      <c r="V355" s="281"/>
      <c r="W355" s="281"/>
      <c r="X355" s="281"/>
      <c r="Y355" s="281"/>
      <c r="Z355" s="281"/>
      <c r="AA355" s="281"/>
      <c r="AB355" s="281"/>
      <c r="AC355" s="281"/>
      <c r="AD355" s="281"/>
    </row>
    <row r="356" spans="1:30" s="288" customFormat="1" x14ac:dyDescent="0.25">
      <c r="A356" s="287"/>
      <c r="B356" s="274">
        <f t="shared" si="42"/>
        <v>341</v>
      </c>
      <c r="C356" s="304">
        <f t="shared" ca="1" si="43"/>
        <v>-425.64594397001201</v>
      </c>
      <c r="D356" s="304">
        <f ca="1">IF(ROUND(E355,0)&lt;&gt;0, IF(ROUND(D355,0)&lt;&gt;0, 'Career Comparison'!$F$28-C356, 0), 0)</f>
        <v>673.44099161727945</v>
      </c>
      <c r="E356" s="304">
        <f ca="1">IF(G$7&gt;=B356, E355*(1+'Government Figures'!$D$8/12)-'Career Comparison'!$F$28, 0)</f>
        <v>182027.71109918773</v>
      </c>
      <c r="F356" s="312">
        <f>'College Schedule'!$L$8*(1+'Government Figures'!$B$8/12)^B356</f>
        <v>3597.193901662572</v>
      </c>
      <c r="G356" s="278">
        <v>1</v>
      </c>
      <c r="H356" s="279">
        <f t="shared" ca="1" si="46"/>
        <v>0.17320110972991043</v>
      </c>
      <c r="I356" s="304">
        <f>G356*('College Schedule'!$L$9)*(1+'Government Figures'!$B$8/12)^B356</f>
        <v>8010.7788286132827</v>
      </c>
      <c r="J356" s="304">
        <f t="shared" ca="1" si="44"/>
        <v>2778.3140963867504</v>
      </c>
      <c r="K356" s="304">
        <f t="shared" ca="1" si="40"/>
        <v>893.21129102036434</v>
      </c>
      <c r="L356" s="278">
        <v>1</v>
      </c>
      <c r="M356" s="279">
        <f t="shared" si="47"/>
        <v>0.13735784313725496</v>
      </c>
      <c r="N356" s="304">
        <f>L356*('College Schedule'!$L$10)*(1+'Government Figures'!$B$8/12)^B356</f>
        <v>4806.4672971679711</v>
      </c>
      <c r="O356" s="304">
        <f t="shared" si="45"/>
        <v>549.06741445665466</v>
      </c>
      <c r="P356" s="304">
        <f t="shared" si="41"/>
        <v>176.52187517669782</v>
      </c>
      <c r="Q356" s="277"/>
      <c r="R356" s="281"/>
      <c r="S356" s="281"/>
      <c r="T356" s="281"/>
      <c r="U356" s="281"/>
      <c r="V356" s="281"/>
      <c r="W356" s="281"/>
      <c r="X356" s="281"/>
      <c r="Y356" s="281"/>
      <c r="Z356" s="281"/>
      <c r="AA356" s="281"/>
      <c r="AB356" s="281"/>
      <c r="AC356" s="281"/>
      <c r="AD356" s="281"/>
    </row>
    <row r="357" spans="1:30" s="288" customFormat="1" x14ac:dyDescent="0.25">
      <c r="A357" s="287"/>
      <c r="B357" s="274">
        <f t="shared" si="42"/>
        <v>342</v>
      </c>
      <c r="C357" s="304">
        <f t="shared" ca="1" si="43"/>
        <v>-427.22438101223088</v>
      </c>
      <c r="D357" s="304">
        <f ca="1">IF(ROUND(E356,0)&lt;&gt;0, IF(ROUND(D356,0)&lt;&gt;0, 'Career Comparison'!$F$28-C357, 0), 0)</f>
        <v>675.01942865949832</v>
      </c>
      <c r="E357" s="304">
        <f ca="1">IF(G$7&gt;=B357, E356*(1+'Government Figures'!$D$8/12)-'Career Comparison'!$F$28, 0)</f>
        <v>182454.93548019996</v>
      </c>
      <c r="F357" s="312">
        <f>'College Schedule'!$L$8*(1+'Government Figures'!$B$8/12)^B357</f>
        <v>3603.1892248320087</v>
      </c>
      <c r="G357" s="278">
        <v>1</v>
      </c>
      <c r="H357" s="279">
        <f t="shared" ca="1" si="46"/>
        <v>0.17320110972991043</v>
      </c>
      <c r="I357" s="304">
        <f>G357*('College Schedule'!$L$9)*(1+'Government Figures'!$B$8/12)^B357</f>
        <v>8024.1301266609689</v>
      </c>
      <c r="J357" s="304">
        <f t="shared" ca="1" si="44"/>
        <v>2783.3576116268059</v>
      </c>
      <c r="K357" s="304">
        <f t="shared" ca="1" si="40"/>
        <v>891.8598845887152</v>
      </c>
      <c r="L357" s="278">
        <v>1</v>
      </c>
      <c r="M357" s="279">
        <f t="shared" si="47"/>
        <v>0.13735784313725496</v>
      </c>
      <c r="N357" s="304">
        <f>L357*('College Schedule'!$L$10)*(1+'Government Figures'!$B$8/12)^B357</f>
        <v>4814.4780759965824</v>
      </c>
      <c r="O357" s="304">
        <f t="shared" si="45"/>
        <v>549.98252681408167</v>
      </c>
      <c r="P357" s="304">
        <f t="shared" si="41"/>
        <v>176.22864947042396</v>
      </c>
      <c r="Q357" s="277"/>
      <c r="R357" s="281"/>
      <c r="S357" s="281"/>
      <c r="T357" s="281"/>
      <c r="U357" s="281"/>
      <c r="V357" s="281"/>
      <c r="W357" s="281"/>
      <c r="X357" s="281"/>
      <c r="Y357" s="281"/>
      <c r="Z357" s="281"/>
      <c r="AA357" s="281"/>
      <c r="AB357" s="281"/>
      <c r="AC357" s="281"/>
      <c r="AD357" s="281"/>
    </row>
    <row r="358" spans="1:30" s="288" customFormat="1" x14ac:dyDescent="0.25">
      <c r="A358" s="287"/>
      <c r="B358" s="274">
        <f t="shared" si="42"/>
        <v>343</v>
      </c>
      <c r="C358" s="304">
        <f t="shared" ca="1" si="43"/>
        <v>-428.8086714251549</v>
      </c>
      <c r="D358" s="304">
        <f ca="1">IF(ROUND(E357,0)&lt;&gt;0, IF(ROUND(D357,0)&lt;&gt;0, 'Career Comparison'!$F$28-C358, 0), 0)</f>
        <v>676.60371907242234</v>
      </c>
      <c r="E358" s="304">
        <f ca="1">IF(G$7&gt;=B358, E357*(1+'Government Figures'!$D$8/12)-'Career Comparison'!$F$28, 0)</f>
        <v>182883.74415162511</v>
      </c>
      <c r="F358" s="312">
        <f>'College Schedule'!$L$8*(1+'Government Figures'!$B$8/12)^B358</f>
        <v>3609.1945402067295</v>
      </c>
      <c r="G358" s="278">
        <v>1</v>
      </c>
      <c r="H358" s="279">
        <f t="shared" ca="1" si="46"/>
        <v>0.17320110972991043</v>
      </c>
      <c r="I358" s="304">
        <f>G358*('College Schedule'!$L$9)*(1+'Government Figures'!$B$8/12)^B358</f>
        <v>8037.5036768720729</v>
      </c>
      <c r="J358" s="304">
        <f t="shared" ca="1" si="44"/>
        <v>2788.4095327255977</v>
      </c>
      <c r="K358" s="304">
        <f t="shared" ca="1" si="40"/>
        <v>890.51028337288562</v>
      </c>
      <c r="L358" s="278">
        <v>1</v>
      </c>
      <c r="M358" s="279">
        <f t="shared" si="47"/>
        <v>0.13735784313725496</v>
      </c>
      <c r="N358" s="304">
        <f>L358*('College Schedule'!$L$10)*(1+'Government Figures'!$B$8/12)^B358</f>
        <v>4822.5022061232448</v>
      </c>
      <c r="O358" s="304">
        <f t="shared" si="45"/>
        <v>550.8991643587724</v>
      </c>
      <c r="P358" s="304">
        <f t="shared" si="41"/>
        <v>175.93591085004138</v>
      </c>
      <c r="Q358" s="277"/>
      <c r="R358" s="281"/>
      <c r="S358" s="281"/>
      <c r="T358" s="281"/>
      <c r="U358" s="281"/>
      <c r="V358" s="281"/>
      <c r="W358" s="281"/>
      <c r="X358" s="281"/>
      <c r="Y358" s="281"/>
      <c r="Z358" s="281"/>
      <c r="AA358" s="281"/>
      <c r="AB358" s="281"/>
      <c r="AC358" s="281"/>
      <c r="AD358" s="281"/>
    </row>
    <row r="359" spans="1:30" s="288" customFormat="1" x14ac:dyDescent="0.25">
      <c r="A359" s="287"/>
      <c r="B359" s="274">
        <f t="shared" si="42"/>
        <v>344</v>
      </c>
      <c r="C359" s="304">
        <f t="shared" ca="1" si="43"/>
        <v>-430.39883691503201</v>
      </c>
      <c r="D359" s="304">
        <f ca="1">IF(ROUND(E358,0)&lt;&gt;0, IF(ROUND(D358,0)&lt;&gt;0, 'Career Comparison'!$F$28-C359, 0), 0)</f>
        <v>678.19388456229944</v>
      </c>
      <c r="E359" s="304">
        <f ca="1">IF(G$7&gt;=B359, E358*(1+'Government Figures'!$D$8/12)-'Career Comparison'!$F$28, 0)</f>
        <v>183314.14298854014</v>
      </c>
      <c r="F359" s="312">
        <f>'College Schedule'!$L$8*(1+'Government Figures'!$B$8/12)^B359</f>
        <v>3615.2098644404082</v>
      </c>
      <c r="G359" s="278">
        <v>1</v>
      </c>
      <c r="H359" s="279">
        <f t="shared" ca="1" si="46"/>
        <v>0.17320110972991043</v>
      </c>
      <c r="I359" s="304">
        <f>G359*('College Schedule'!$L$9)*(1+'Government Figures'!$B$8/12)^B359</f>
        <v>8050.8995163335285</v>
      </c>
      <c r="J359" s="304">
        <f t="shared" ca="1" si="44"/>
        <v>2793.4698736928867</v>
      </c>
      <c r="K359" s="304">
        <f t="shared" ca="1" si="40"/>
        <v>889.16248583479296</v>
      </c>
      <c r="L359" s="278">
        <v>1</v>
      </c>
      <c r="M359" s="279">
        <f t="shared" si="47"/>
        <v>0.13735784313725496</v>
      </c>
      <c r="N359" s="304">
        <f>L359*('College Schedule'!$L$10)*(1+'Government Figures'!$B$8/12)^B359</f>
        <v>4830.5397098001176</v>
      </c>
      <c r="O359" s="304">
        <f t="shared" si="45"/>
        <v>551.8173296327036</v>
      </c>
      <c r="P359" s="304">
        <f t="shared" si="41"/>
        <v>175.64365850643662</v>
      </c>
      <c r="Q359" s="277"/>
      <c r="R359" s="281"/>
      <c r="S359" s="281"/>
      <c r="T359" s="281"/>
      <c r="U359" s="281"/>
      <c r="V359" s="281"/>
      <c r="W359" s="281"/>
      <c r="X359" s="281"/>
      <c r="Y359" s="281"/>
      <c r="Z359" s="281"/>
      <c r="AA359" s="281"/>
      <c r="AB359" s="281"/>
      <c r="AC359" s="281"/>
      <c r="AD359" s="281"/>
    </row>
    <row r="360" spans="1:30" s="288" customFormat="1" x14ac:dyDescent="0.25">
      <c r="A360" s="287"/>
      <c r="B360" s="274">
        <f t="shared" si="42"/>
        <v>345</v>
      </c>
      <c r="C360" s="304">
        <f t="shared" ca="1" si="43"/>
        <v>-431.99489926858223</v>
      </c>
      <c r="D360" s="304">
        <f ca="1">IF(ROUND(E359,0)&lt;&gt;0, IF(ROUND(D359,0)&lt;&gt;0, 'Career Comparison'!$F$28-C360, 0), 0)</f>
        <v>679.78994691584967</v>
      </c>
      <c r="E360" s="304">
        <f ca="1">IF(G$7&gt;=B360, E359*(1+'Government Figures'!$D$8/12)-'Career Comparison'!$F$28, 0)</f>
        <v>183746.13788780873</v>
      </c>
      <c r="F360" s="312">
        <f>'College Schedule'!$L$8*(1+'Government Figures'!$B$8/12)^B360</f>
        <v>3621.2352142144746</v>
      </c>
      <c r="G360" s="278">
        <v>1</v>
      </c>
      <c r="H360" s="279">
        <f t="shared" ca="1" si="46"/>
        <v>0.17320110972991043</v>
      </c>
      <c r="I360" s="304">
        <f>G360*('College Schedule'!$L$9)*(1+'Government Figures'!$B$8/12)^B360</f>
        <v>8064.3176821940824</v>
      </c>
      <c r="J360" s="304">
        <f t="shared" ca="1" si="44"/>
        <v>2798.538648561786</v>
      </c>
      <c r="K360" s="304">
        <f t="shared" ca="1" si="40"/>
        <v>887.8164904340573</v>
      </c>
      <c r="L360" s="278">
        <v>1</v>
      </c>
      <c r="M360" s="279">
        <f t="shared" si="47"/>
        <v>0.13735784313725496</v>
      </c>
      <c r="N360" s="304">
        <f>L360*('College Schedule'!$L$10)*(1+'Government Figures'!$B$8/12)^B360</f>
        <v>4838.5906093164504</v>
      </c>
      <c r="O360" s="304">
        <f t="shared" si="45"/>
        <v>552.73702518209211</v>
      </c>
      <c r="P360" s="304">
        <f t="shared" si="41"/>
        <v>175.3518916318414</v>
      </c>
      <c r="Q360" s="277"/>
      <c r="R360" s="281"/>
      <c r="S360" s="281"/>
      <c r="T360" s="281"/>
      <c r="U360" s="281"/>
      <c r="V360" s="281"/>
      <c r="W360" s="281"/>
      <c r="X360" s="281"/>
      <c r="Y360" s="281"/>
      <c r="Z360" s="281"/>
      <c r="AA360" s="281"/>
      <c r="AB360" s="281"/>
      <c r="AC360" s="281"/>
      <c r="AD360" s="281"/>
    </row>
    <row r="361" spans="1:30" s="288" customFormat="1" x14ac:dyDescent="0.25">
      <c r="A361" s="287"/>
      <c r="B361" s="274">
        <f t="shared" si="42"/>
        <v>346</v>
      </c>
      <c r="C361" s="304">
        <f t="shared" ca="1" si="43"/>
        <v>-433.59688035337604</v>
      </c>
      <c r="D361" s="304">
        <f ca="1">IF(ROUND(E360,0)&lt;&gt;0, IF(ROUND(D360,0)&lt;&gt;0, 'Career Comparison'!$F$28-C361, 0), 0)</f>
        <v>681.39192800064347</v>
      </c>
      <c r="E361" s="304">
        <f ca="1">IF(G$7&gt;=B361, E360*(1+'Government Figures'!$D$8/12)-'Career Comparison'!$F$28, 0)</f>
        <v>184179.7347681621</v>
      </c>
      <c r="F361" s="312">
        <f>'College Schedule'!$L$8*(1+'Government Figures'!$B$8/12)^B361</f>
        <v>3627.2706062381658</v>
      </c>
      <c r="G361" s="278">
        <v>1</v>
      </c>
      <c r="H361" s="279">
        <f t="shared" ca="1" si="46"/>
        <v>0.17320110972991043</v>
      </c>
      <c r="I361" s="304">
        <f>G361*('College Schedule'!$L$9)*(1+'Government Figures'!$B$8/12)^B361</f>
        <v>8077.7582116644062</v>
      </c>
      <c r="J361" s="304">
        <f t="shared" ca="1" si="44"/>
        <v>2803.6158713888012</v>
      </c>
      <c r="K361" s="304">
        <f t="shared" ca="1" si="40"/>
        <v>886.4722956280234</v>
      </c>
      <c r="L361" s="278">
        <v>1</v>
      </c>
      <c r="M361" s="279">
        <f t="shared" si="47"/>
        <v>0.13735784313725496</v>
      </c>
      <c r="N361" s="304">
        <f>L361*('College Schedule'!$L$10)*(1+'Government Figures'!$B$8/12)^B361</f>
        <v>4846.6549269986444</v>
      </c>
      <c r="O361" s="304">
        <f t="shared" si="45"/>
        <v>553.65825355739526</v>
      </c>
      <c r="P361" s="304">
        <f t="shared" si="41"/>
        <v>175.06060941982827</v>
      </c>
      <c r="Q361" s="277"/>
      <c r="R361" s="281"/>
      <c r="S361" s="281"/>
      <c r="T361" s="281"/>
      <c r="U361" s="281"/>
      <c r="V361" s="281"/>
      <c r="W361" s="281"/>
      <c r="X361" s="281"/>
      <c r="Y361" s="281"/>
      <c r="Z361" s="281"/>
      <c r="AA361" s="281"/>
      <c r="AB361" s="281"/>
      <c r="AC361" s="281"/>
      <c r="AD361" s="281"/>
    </row>
    <row r="362" spans="1:30" s="288" customFormat="1" x14ac:dyDescent="0.25">
      <c r="A362" s="287"/>
      <c r="B362" s="274">
        <f t="shared" si="42"/>
        <v>347</v>
      </c>
      <c r="C362" s="304">
        <f t="shared" ca="1" si="43"/>
        <v>-435.20480211800896</v>
      </c>
      <c r="D362" s="304">
        <f ca="1">IF(ROUND(E361,0)&lt;&gt;0, IF(ROUND(D361,0)&lt;&gt;0, 'Career Comparison'!$F$28-C362, 0), 0)</f>
        <v>682.99984976527639</v>
      </c>
      <c r="E362" s="304">
        <f ca="1">IF(G$7&gt;=B362, E361*(1+'Government Figures'!$D$8/12)-'Career Comparison'!$F$28, 0)</f>
        <v>184614.93957028011</v>
      </c>
      <c r="F362" s="312">
        <f>'College Schedule'!$L$8*(1+'Government Figures'!$B$8/12)^B362</f>
        <v>3633.3160572485635</v>
      </c>
      <c r="G362" s="278">
        <v>1</v>
      </c>
      <c r="H362" s="279">
        <f t="shared" ca="1" si="46"/>
        <v>0.17320110972991043</v>
      </c>
      <c r="I362" s="304">
        <f>G362*('College Schedule'!$L$9)*(1+'Government Figures'!$B$8/12)^B362</f>
        <v>8091.2211420171816</v>
      </c>
      <c r="J362" s="304">
        <f t="shared" ca="1" si="44"/>
        <v>2808.7015562538618</v>
      </c>
      <c r="K362" s="304">
        <f t="shared" ca="1" si="40"/>
        <v>885.12989987177582</v>
      </c>
      <c r="L362" s="278">
        <v>1</v>
      </c>
      <c r="M362" s="279">
        <f t="shared" si="47"/>
        <v>0.13735784313725496</v>
      </c>
      <c r="N362" s="304">
        <f>L362*('College Schedule'!$L$10)*(1+'Government Figures'!$B$8/12)^B362</f>
        <v>4854.7326852103097</v>
      </c>
      <c r="O362" s="304">
        <f t="shared" si="45"/>
        <v>554.58101731332363</v>
      </c>
      <c r="P362" s="304">
        <f t="shared" si="41"/>
        <v>174.76981106531005</v>
      </c>
      <c r="Q362" s="277"/>
      <c r="R362" s="281"/>
      <c r="S362" s="281"/>
      <c r="T362" s="281"/>
      <c r="U362" s="281"/>
      <c r="V362" s="281"/>
      <c r="W362" s="281"/>
      <c r="X362" s="281"/>
      <c r="Y362" s="281"/>
      <c r="Z362" s="281"/>
      <c r="AA362" s="281"/>
      <c r="AB362" s="281"/>
      <c r="AC362" s="281"/>
      <c r="AD362" s="281"/>
    </row>
    <row r="363" spans="1:30" s="288" customFormat="1" x14ac:dyDescent="0.25">
      <c r="A363" s="287"/>
      <c r="B363" s="274">
        <f t="shared" si="42"/>
        <v>348</v>
      </c>
      <c r="C363" s="304">
        <f t="shared" ca="1" si="43"/>
        <v>-436.81868659253814</v>
      </c>
      <c r="D363" s="304">
        <f ca="1">IF(ROUND(E362,0)&lt;&gt;0, IF(ROUND(D362,0)&lt;&gt;0, 'Career Comparison'!$F$28-C363, 0), 0)</f>
        <v>684.61373423980558</v>
      </c>
      <c r="E363" s="304">
        <f ca="1">IF(G$7&gt;=B363, E362*(1+'Government Figures'!$D$8/12)-'Career Comparison'!$F$28, 0)</f>
        <v>185051.75825687265</v>
      </c>
      <c r="F363" s="312">
        <f>'College Schedule'!$L$8*(1+'Government Figures'!$B$8/12)^B363</f>
        <v>3639.3715840106447</v>
      </c>
      <c r="G363" s="278">
        <v>1</v>
      </c>
      <c r="H363" s="279">
        <f t="shared" ca="1" si="46"/>
        <v>0.17320110972991043</v>
      </c>
      <c r="I363" s="304">
        <f>G363*('College Schedule'!$L$9)*(1+'Government Figures'!$B$8/12)^B363</f>
        <v>8104.7065105872116</v>
      </c>
      <c r="J363" s="304">
        <f t="shared" ca="1" si="44"/>
        <v>2813.7957172603647</v>
      </c>
      <c r="K363" s="304">
        <f t="shared" ca="1" si="40"/>
        <v>883.78930161816243</v>
      </c>
      <c r="L363" s="278">
        <v>1</v>
      </c>
      <c r="M363" s="279">
        <f t="shared" si="47"/>
        <v>0.13735784313725496</v>
      </c>
      <c r="N363" s="304">
        <f>L363*('College Schedule'!$L$10)*(1+'Government Figures'!$B$8/12)^B363</f>
        <v>4862.8239063523279</v>
      </c>
      <c r="O363" s="304">
        <f t="shared" si="45"/>
        <v>555.50531900884698</v>
      </c>
      <c r="P363" s="304">
        <f t="shared" si="41"/>
        <v>174.47949576453743</v>
      </c>
      <c r="Q363" s="277"/>
      <c r="R363" s="281"/>
      <c r="S363" s="281"/>
      <c r="T363" s="281"/>
      <c r="U363" s="281"/>
      <c r="V363" s="281"/>
      <c r="W363" s="281"/>
      <c r="X363" s="281"/>
      <c r="Y363" s="281"/>
      <c r="Z363" s="281"/>
      <c r="AA363" s="281"/>
      <c r="AB363" s="281"/>
      <c r="AC363" s="281"/>
      <c r="AD363" s="281"/>
    </row>
    <row r="364" spans="1:30" s="288" customFormat="1" x14ac:dyDescent="0.25">
      <c r="A364" s="287"/>
      <c r="B364" s="274">
        <f t="shared" si="42"/>
        <v>349</v>
      </c>
      <c r="C364" s="304">
        <f t="shared" ca="1" si="43"/>
        <v>-438.43855588865699</v>
      </c>
      <c r="D364" s="304">
        <f ca="1">IF(ROUND(E363,0)&lt;&gt;0, IF(ROUND(D363,0)&lt;&gt;0, 'Career Comparison'!$F$28-C364, 0), 0)</f>
        <v>686.23360353592443</v>
      </c>
      <c r="E364" s="304">
        <f ca="1">IF(G$7&gt;=B364, E363*(1+'Government Figures'!$D$8/12)-'Career Comparison'!$F$28, 0)</f>
        <v>185490.19681276131</v>
      </c>
      <c r="F364" s="312">
        <f>'College Schedule'!$L$8*(1+'Government Figures'!$B$8/12)^B364</f>
        <v>3645.4372033173295</v>
      </c>
      <c r="G364" s="278">
        <v>1</v>
      </c>
      <c r="H364" s="279">
        <f t="shared" ca="1" si="46"/>
        <v>0.17320110972991043</v>
      </c>
      <c r="I364" s="304">
        <f>G364*('College Schedule'!$L$9)*(1+'Government Figures'!$B$8/12)^B364</f>
        <v>8118.214354771525</v>
      </c>
      <c r="J364" s="304">
        <f t="shared" ca="1" si="44"/>
        <v>2818.8983685352109</v>
      </c>
      <c r="K364" s="304">
        <f t="shared" ca="1" si="40"/>
        <v>882.45049931781182</v>
      </c>
      <c r="L364" s="278">
        <v>1</v>
      </c>
      <c r="M364" s="279">
        <f t="shared" si="47"/>
        <v>0.13735784313725496</v>
      </c>
      <c r="N364" s="304">
        <f>L364*('College Schedule'!$L$10)*(1+'Government Figures'!$B$8/12)^B364</f>
        <v>4870.9286128629155</v>
      </c>
      <c r="O364" s="304">
        <f t="shared" si="45"/>
        <v>556.43116120719515</v>
      </c>
      <c r="P364" s="304">
        <f t="shared" si="41"/>
        <v>174.18966271509473</v>
      </c>
      <c r="Q364" s="277"/>
      <c r="R364" s="281"/>
      <c r="S364" s="281"/>
      <c r="T364" s="281"/>
      <c r="U364" s="281"/>
      <c r="V364" s="281"/>
      <c r="W364" s="281"/>
      <c r="X364" s="281"/>
      <c r="Y364" s="281"/>
      <c r="Z364" s="281"/>
      <c r="AA364" s="281"/>
      <c r="AB364" s="281"/>
      <c r="AC364" s="281"/>
      <c r="AD364" s="281"/>
    </row>
    <row r="365" spans="1:30" s="288" customFormat="1" x14ac:dyDescent="0.25">
      <c r="A365" s="287"/>
      <c r="B365" s="274">
        <f t="shared" si="42"/>
        <v>350</v>
      </c>
      <c r="C365" s="304">
        <f t="shared" ca="1" si="43"/>
        <v>-440.0644322000735</v>
      </c>
      <c r="D365" s="304">
        <f ca="1">IF(ROUND(E364,0)&lt;&gt;0, IF(ROUND(D364,0)&lt;&gt;0, 'Career Comparison'!$F$28-C365, 0), 0)</f>
        <v>687.85947984734094</v>
      </c>
      <c r="E365" s="304">
        <f ca="1">IF(G$7&gt;=B365, E364*(1+'Government Figures'!$D$8/12)-'Career Comparison'!$F$28, 0)</f>
        <v>185930.26124496138</v>
      </c>
      <c r="F365" s="312">
        <f>'College Schedule'!$L$8*(1+'Government Figures'!$B$8/12)^B365</f>
        <v>3651.5129319895245</v>
      </c>
      <c r="G365" s="278">
        <v>1</v>
      </c>
      <c r="H365" s="279">
        <f t="shared" ca="1" si="46"/>
        <v>0.17320110972991043</v>
      </c>
      <c r="I365" s="304">
        <f>G365*('College Schedule'!$L$9)*(1+'Government Figures'!$B$8/12)^B365</f>
        <v>8131.7447120294755</v>
      </c>
      <c r="J365" s="304">
        <f t="shared" ca="1" si="44"/>
        <v>2824.0095242288471</v>
      </c>
      <c r="K365" s="304">
        <f t="shared" ca="1" si="40"/>
        <v>881.11349141915377</v>
      </c>
      <c r="L365" s="278">
        <v>1</v>
      </c>
      <c r="M365" s="279">
        <f t="shared" si="47"/>
        <v>0.13735784313725496</v>
      </c>
      <c r="N365" s="304">
        <f>L365*('College Schedule'!$L$10)*(1+'Government Figures'!$B$8/12)^B365</f>
        <v>4879.0468272176859</v>
      </c>
      <c r="O365" s="304">
        <f t="shared" si="45"/>
        <v>557.35854647587303</v>
      </c>
      <c r="P365" s="304">
        <f t="shared" si="41"/>
        <v>173.90031111589997</v>
      </c>
      <c r="Q365" s="277"/>
      <c r="R365" s="281"/>
      <c r="S365" s="281"/>
      <c r="T365" s="281"/>
      <c r="U365" s="281"/>
      <c r="V365" s="281"/>
      <c r="W365" s="281"/>
      <c r="X365" s="281"/>
      <c r="Y365" s="281"/>
      <c r="Z365" s="281"/>
      <c r="AA365" s="281"/>
      <c r="AB365" s="281"/>
      <c r="AC365" s="281"/>
      <c r="AD365" s="281"/>
    </row>
    <row r="366" spans="1:30" s="288" customFormat="1" x14ac:dyDescent="0.25">
      <c r="A366" s="287"/>
      <c r="B366" s="274">
        <f t="shared" si="42"/>
        <v>351</v>
      </c>
      <c r="C366" s="304">
        <f t="shared" ca="1" si="43"/>
        <v>-441.69633780283039</v>
      </c>
      <c r="D366" s="304">
        <f ca="1">IF(ROUND(E365,0)&lt;&gt;0, IF(ROUND(D365,0)&lt;&gt;0, 'Career Comparison'!$F$28-C366, 0), 0)</f>
        <v>689.49138545009782</v>
      </c>
      <c r="E366" s="304">
        <f ca="1">IF(G$7&gt;=B366, E365*(1+'Government Figures'!$D$8/12)-'Career Comparison'!$F$28, 0)</f>
        <v>186371.95758276421</v>
      </c>
      <c r="F366" s="312">
        <f>'College Schedule'!$L$8*(1+'Government Figures'!$B$8/12)^B366</f>
        <v>3657.5987868761745</v>
      </c>
      <c r="G366" s="278">
        <v>1</v>
      </c>
      <c r="H366" s="279">
        <f t="shared" ca="1" si="46"/>
        <v>0.17320110972991043</v>
      </c>
      <c r="I366" s="304">
        <f>G366*('College Schedule'!$L$9)*(1+'Government Figures'!$B$8/12)^B366</f>
        <v>8145.2976198828601</v>
      </c>
      <c r="J366" s="304">
        <f t="shared" ca="1" si="44"/>
        <v>2829.1291985153084</v>
      </c>
      <c r="K366" s="304">
        <f t="shared" ca="1" si="40"/>
        <v>879.77827636844052</v>
      </c>
      <c r="L366" s="278">
        <v>1</v>
      </c>
      <c r="M366" s="279">
        <f t="shared" si="47"/>
        <v>0.13735784313725496</v>
      </c>
      <c r="N366" s="304">
        <f>L366*('College Schedule'!$L$10)*(1+'Government Figures'!$B$8/12)^B366</f>
        <v>4887.1785719297168</v>
      </c>
      <c r="O366" s="304">
        <f t="shared" si="45"/>
        <v>558.28747738666652</v>
      </c>
      <c r="P366" s="304">
        <f t="shared" si="41"/>
        <v>173.61144016720255</v>
      </c>
      <c r="Q366" s="277"/>
      <c r="R366" s="281"/>
      <c r="S366" s="281"/>
      <c r="T366" s="281"/>
      <c r="U366" s="281"/>
      <c r="V366" s="281"/>
      <c r="W366" s="281"/>
      <c r="X366" s="281"/>
      <c r="Y366" s="281"/>
      <c r="Z366" s="281"/>
      <c r="AA366" s="281"/>
      <c r="AB366" s="281"/>
      <c r="AC366" s="281"/>
      <c r="AD366" s="281"/>
    </row>
    <row r="367" spans="1:30" s="288" customFormat="1" x14ac:dyDescent="0.25">
      <c r="A367" s="287"/>
      <c r="B367" s="274">
        <f t="shared" si="42"/>
        <v>352</v>
      </c>
      <c r="C367" s="304">
        <f t="shared" ca="1" si="43"/>
        <v>-443.33429505550885</v>
      </c>
      <c r="D367" s="304">
        <f ca="1">IF(ROUND(E366,0)&lt;&gt;0, IF(ROUND(D366,0)&lt;&gt;0, 'Career Comparison'!$F$28-C367, 0), 0)</f>
        <v>691.12934270277628</v>
      </c>
      <c r="E367" s="304">
        <f ca="1">IF(G$7&gt;=B367, E366*(1+'Government Figures'!$D$8/12)-'Career Comparison'!$F$28, 0)</f>
        <v>186815.29187781972</v>
      </c>
      <c r="F367" s="312">
        <f>'College Schedule'!$L$8*(1+'Government Figures'!$B$8/12)^B367</f>
        <v>3663.6947848543023</v>
      </c>
      <c r="G367" s="278">
        <v>1</v>
      </c>
      <c r="H367" s="279">
        <f t="shared" ca="1" si="46"/>
        <v>0.17320110972991043</v>
      </c>
      <c r="I367" s="304">
        <f>G367*('College Schedule'!$L$9)*(1+'Government Figures'!$B$8/12)^B367</f>
        <v>8158.8731159159997</v>
      </c>
      <c r="J367" s="304">
        <f t="shared" ca="1" si="44"/>
        <v>2834.2574055922464</v>
      </c>
      <c r="K367" s="304">
        <f t="shared" ca="1" si="40"/>
        <v>878.44485260976228</v>
      </c>
      <c r="L367" s="278">
        <v>1</v>
      </c>
      <c r="M367" s="279">
        <f t="shared" si="47"/>
        <v>0.13735784313725496</v>
      </c>
      <c r="N367" s="304">
        <f>L367*('College Schedule'!$L$10)*(1+'Government Figures'!$B$8/12)^B367</f>
        <v>4895.3238695496002</v>
      </c>
      <c r="O367" s="304">
        <f t="shared" si="45"/>
        <v>559.21795651564389</v>
      </c>
      <c r="P367" s="304">
        <f t="shared" si="41"/>
        <v>173.32304907057915</v>
      </c>
      <c r="Q367" s="277"/>
      <c r="R367" s="281"/>
      <c r="S367" s="281"/>
      <c r="T367" s="281"/>
      <c r="U367" s="281"/>
      <c r="V367" s="281"/>
      <c r="W367" s="281"/>
      <c r="X367" s="281"/>
      <c r="Y367" s="281"/>
      <c r="Z367" s="281"/>
      <c r="AA367" s="281"/>
      <c r="AB367" s="281"/>
      <c r="AC367" s="281"/>
      <c r="AD367" s="281"/>
    </row>
    <row r="368" spans="1:30" s="288" customFormat="1" x14ac:dyDescent="0.25">
      <c r="A368" s="287"/>
      <c r="B368" s="274">
        <f t="shared" si="42"/>
        <v>353</v>
      </c>
      <c r="C368" s="304">
        <f t="shared" ca="1" si="43"/>
        <v>-444.97832639966509</v>
      </c>
      <c r="D368" s="304">
        <f ca="1">IF(ROUND(E367,0)&lt;&gt;0, IF(ROUND(D367,0)&lt;&gt;0, 'Career Comparison'!$F$28-C368, 0), 0)</f>
        <v>692.77337404693253</v>
      </c>
      <c r="E368" s="304">
        <f ca="1">IF(G$7&gt;=B368, E367*(1+'Government Figures'!$D$8/12)-'Career Comparison'!$F$28, 0)</f>
        <v>187260.27020421939</v>
      </c>
      <c r="F368" s="312">
        <f>'College Schedule'!$L$8*(1+'Government Figures'!$B$8/12)^B368</f>
        <v>3669.8009428290597</v>
      </c>
      <c r="G368" s="278">
        <v>1</v>
      </c>
      <c r="H368" s="279">
        <f t="shared" ca="1" si="46"/>
        <v>0.17320110972991043</v>
      </c>
      <c r="I368" s="304">
        <f>G368*('College Schedule'!$L$9)*(1+'Government Figures'!$B$8/12)^B368</f>
        <v>8172.4712377758606</v>
      </c>
      <c r="J368" s="304">
        <f t="shared" ca="1" si="44"/>
        <v>2839.3941596809796</v>
      </c>
      <c r="K368" s="304">
        <f t="shared" ca="1" si="40"/>
        <v>877.11321858507017</v>
      </c>
      <c r="L368" s="278">
        <v>1</v>
      </c>
      <c r="M368" s="279">
        <f t="shared" si="47"/>
        <v>0.13735784313725496</v>
      </c>
      <c r="N368" s="304">
        <f>L368*('College Schedule'!$L$10)*(1+'Government Figures'!$B$8/12)^B368</f>
        <v>4903.4827426655174</v>
      </c>
      <c r="O368" s="304">
        <f t="shared" si="45"/>
        <v>560.14998644317075</v>
      </c>
      <c r="P368" s="304">
        <f t="shared" si="41"/>
        <v>173.03513702893389</v>
      </c>
      <c r="Q368" s="277"/>
      <c r="R368" s="281"/>
      <c r="S368" s="281"/>
      <c r="T368" s="281"/>
      <c r="U368" s="281"/>
      <c r="V368" s="281"/>
      <c r="W368" s="281"/>
      <c r="X368" s="281"/>
      <c r="Y368" s="281"/>
      <c r="Z368" s="281"/>
      <c r="AA368" s="281"/>
      <c r="AB368" s="281"/>
      <c r="AC368" s="281"/>
      <c r="AD368" s="281"/>
    </row>
    <row r="369" spans="1:30" s="288" customFormat="1" x14ac:dyDescent="0.25">
      <c r="A369" s="287"/>
      <c r="B369" s="274">
        <f t="shared" si="42"/>
        <v>354</v>
      </c>
      <c r="C369" s="304">
        <f t="shared" ca="1" si="43"/>
        <v>-446.62845436006319</v>
      </c>
      <c r="D369" s="304">
        <f ca="1">IF(ROUND(E368,0)&lt;&gt;0, IF(ROUND(D368,0)&lt;&gt;0, 'Career Comparison'!$F$28-C369, 0), 0)</f>
        <v>694.42350200733063</v>
      </c>
      <c r="E369" s="304">
        <f ca="1">IF(G$7&gt;=B369, E368*(1+'Government Figures'!$D$8/12)-'Career Comparison'!$F$28, 0)</f>
        <v>187706.89865857945</v>
      </c>
      <c r="F369" s="312">
        <f>'College Schedule'!$L$8*(1+'Government Figures'!$B$8/12)^B369</f>
        <v>3675.9172777337744</v>
      </c>
      <c r="G369" s="278">
        <v>1</v>
      </c>
      <c r="H369" s="279">
        <f t="shared" ca="1" si="46"/>
        <v>0.17320110972991043</v>
      </c>
      <c r="I369" s="304">
        <f>G369*('College Schedule'!$L$9)*(1+'Government Figures'!$B$8/12)^B369</f>
        <v>8186.0920231721529</v>
      </c>
      <c r="J369" s="304">
        <f t="shared" ca="1" si="44"/>
        <v>2844.5394750265264</v>
      </c>
      <c r="K369" s="304">
        <f t="shared" ca="1" si="40"/>
        <v>875.78337273419288</v>
      </c>
      <c r="L369" s="278">
        <v>1</v>
      </c>
      <c r="M369" s="279">
        <f t="shared" si="47"/>
        <v>0.13735784313725496</v>
      </c>
      <c r="N369" s="304">
        <f>L369*('College Schedule'!$L$10)*(1+'Government Figures'!$B$8/12)^B369</f>
        <v>4911.6552139032929</v>
      </c>
      <c r="O369" s="304">
        <f t="shared" si="45"/>
        <v>561.08356975390961</v>
      </c>
      <c r="P369" s="304">
        <f t="shared" si="41"/>
        <v>172.74770324649384</v>
      </c>
      <c r="Q369" s="277"/>
      <c r="R369" s="281"/>
      <c r="S369" s="281"/>
      <c r="T369" s="281"/>
      <c r="U369" s="281"/>
      <c r="V369" s="281"/>
      <c r="W369" s="281"/>
      <c r="X369" s="281"/>
      <c r="Y369" s="281"/>
      <c r="Z369" s="281"/>
      <c r="AA369" s="281"/>
      <c r="AB369" s="281"/>
      <c r="AC369" s="281"/>
      <c r="AD369" s="281"/>
    </row>
    <row r="370" spans="1:30" s="288" customFormat="1" x14ac:dyDescent="0.25">
      <c r="A370" s="287"/>
      <c r="B370" s="274">
        <f t="shared" si="42"/>
        <v>355</v>
      </c>
      <c r="C370" s="304">
        <f t="shared" ca="1" si="43"/>
        <v>-448.28470154499519</v>
      </c>
      <c r="D370" s="304">
        <f ca="1">IF(ROUND(E369,0)&lt;&gt;0, IF(ROUND(D369,0)&lt;&gt;0, 'Career Comparison'!$F$28-C370, 0), 0)</f>
        <v>696.07974919226263</v>
      </c>
      <c r="E370" s="304">
        <f ca="1">IF(G$7&gt;=B370, E369*(1+'Government Figures'!$D$8/12)-'Career Comparison'!$F$28, 0)</f>
        <v>188155.18336012444</v>
      </c>
      <c r="F370" s="312">
        <f>'College Schedule'!$L$8*(1+'Government Figures'!$B$8/12)^B370</f>
        <v>3682.0438065299977</v>
      </c>
      <c r="G370" s="278">
        <v>1</v>
      </c>
      <c r="H370" s="279">
        <f t="shared" ca="1" si="46"/>
        <v>0.17320110972991043</v>
      </c>
      <c r="I370" s="304">
        <f>G370*('College Schedule'!$L$9)*(1+'Government Figures'!$B$8/12)^B370</f>
        <v>8199.7355098774406</v>
      </c>
      <c r="J370" s="304">
        <f t="shared" ca="1" si="44"/>
        <v>2849.69336589765</v>
      </c>
      <c r="K370" s="304">
        <f t="shared" ca="1" si="40"/>
        <v>874.45531349485861</v>
      </c>
      <c r="L370" s="278">
        <v>1</v>
      </c>
      <c r="M370" s="279">
        <f t="shared" si="47"/>
        <v>0.13735784313725496</v>
      </c>
      <c r="N370" s="304">
        <f>L370*('College Schedule'!$L$10)*(1+'Government Figures'!$B$8/12)^B370</f>
        <v>4919.8413059264649</v>
      </c>
      <c r="O370" s="304">
        <f t="shared" si="45"/>
        <v>562.01870903683175</v>
      </c>
      <c r="P370" s="304">
        <f t="shared" si="41"/>
        <v>172.46074692880828</v>
      </c>
      <c r="Q370" s="277"/>
      <c r="R370" s="281"/>
      <c r="S370" s="281"/>
      <c r="T370" s="281"/>
      <c r="U370" s="281"/>
      <c r="V370" s="281"/>
      <c r="W370" s="281"/>
      <c r="X370" s="281"/>
      <c r="Y370" s="281"/>
      <c r="Z370" s="281"/>
      <c r="AA370" s="281"/>
      <c r="AB370" s="281"/>
      <c r="AC370" s="281"/>
      <c r="AD370" s="281"/>
    </row>
    <row r="371" spans="1:30" s="288" customFormat="1" x14ac:dyDescent="0.25">
      <c r="A371" s="287"/>
      <c r="B371" s="274">
        <f t="shared" si="42"/>
        <v>356</v>
      </c>
      <c r="C371" s="304">
        <f t="shared" ca="1" si="43"/>
        <v>-449.94709064654307</v>
      </c>
      <c r="D371" s="304">
        <f ca="1">IF(ROUND(E370,0)&lt;&gt;0, IF(ROUND(D370,0)&lt;&gt;0, 'Career Comparison'!$F$28-C371, 0), 0)</f>
        <v>697.74213829381051</v>
      </c>
      <c r="E371" s="304">
        <f ca="1">IF(G$7&gt;=B371, E370*(1+'Government Figures'!$D$8/12)-'Career Comparison'!$F$28, 0)</f>
        <v>188605.13045077099</v>
      </c>
      <c r="F371" s="312">
        <f>'College Schedule'!$L$8*(1+'Government Figures'!$B$8/12)^B371</f>
        <v>3688.1805462075481</v>
      </c>
      <c r="G371" s="278">
        <v>1</v>
      </c>
      <c r="H371" s="279">
        <f t="shared" ca="1" si="46"/>
        <v>0.17320110972991043</v>
      </c>
      <c r="I371" s="304">
        <f>G371*('College Schedule'!$L$9)*(1+'Government Figures'!$B$8/12)^B371</f>
        <v>8213.4017357272369</v>
      </c>
      <c r="J371" s="304">
        <f t="shared" ca="1" si="44"/>
        <v>2854.8558465868914</v>
      </c>
      <c r="K371" s="304">
        <f t="shared" ca="1" si="40"/>
        <v>873.12903930271159</v>
      </c>
      <c r="L371" s="278">
        <v>1</v>
      </c>
      <c r="M371" s="279">
        <f t="shared" si="47"/>
        <v>0.13735784313725496</v>
      </c>
      <c r="N371" s="304">
        <f>L371*('College Schedule'!$L$10)*(1+'Government Figures'!$B$8/12)^B371</f>
        <v>4928.0410414363432</v>
      </c>
      <c r="O371" s="304">
        <f t="shared" si="45"/>
        <v>562.9554068852276</v>
      </c>
      <c r="P371" s="304">
        <f t="shared" si="41"/>
        <v>172.17426728274751</v>
      </c>
      <c r="Q371" s="277"/>
      <c r="R371" s="281"/>
      <c r="S371" s="281"/>
      <c r="T371" s="281"/>
      <c r="U371" s="281"/>
      <c r="V371" s="281"/>
      <c r="W371" s="281"/>
      <c r="X371" s="281"/>
      <c r="Y371" s="281"/>
      <c r="Z371" s="281"/>
      <c r="AA371" s="281"/>
      <c r="AB371" s="281"/>
      <c r="AC371" s="281"/>
      <c r="AD371" s="281"/>
    </row>
    <row r="372" spans="1:30" s="288" customFormat="1" x14ac:dyDescent="0.25">
      <c r="A372" s="287"/>
      <c r="B372" s="274">
        <f t="shared" si="42"/>
        <v>357</v>
      </c>
      <c r="C372" s="304">
        <f t="shared" ca="1" si="43"/>
        <v>-451.61564444104442</v>
      </c>
      <c r="D372" s="304">
        <f ca="1">IF(ROUND(E371,0)&lt;&gt;0, IF(ROUND(D371,0)&lt;&gt;0, 'Career Comparison'!$F$28-C372, 0), 0)</f>
        <v>699.41069208831186</v>
      </c>
      <c r="E372" s="304">
        <f ca="1">IF(G$7&gt;=B372, E371*(1+'Government Figures'!$D$8/12)-'Career Comparison'!$F$28, 0)</f>
        <v>189056.74609521203</v>
      </c>
      <c r="F372" s="312">
        <f>'College Schedule'!$L$8*(1+'Government Figures'!$B$8/12)^B372</f>
        <v>3694.3275137845608</v>
      </c>
      <c r="G372" s="278">
        <v>1</v>
      </c>
      <c r="H372" s="279">
        <f t="shared" ca="1" si="46"/>
        <v>0.17320110972991043</v>
      </c>
      <c r="I372" s="304">
        <f>G372*('College Schedule'!$L$9)*(1+'Government Figures'!$B$8/12)^B372</f>
        <v>8227.0907386201161</v>
      </c>
      <c r="J372" s="304">
        <f t="shared" ca="1" si="44"/>
        <v>2860.0269314106154</v>
      </c>
      <c r="K372" s="304">
        <f t="shared" ca="1" si="40"/>
        <v>871.80454859133181</v>
      </c>
      <c r="L372" s="278">
        <v>1</v>
      </c>
      <c r="M372" s="279">
        <f t="shared" si="47"/>
        <v>0.13735784313725496</v>
      </c>
      <c r="N372" s="304">
        <f>L372*('College Schedule'!$L$10)*(1+'Government Figures'!$B$8/12)^B372</f>
        <v>4936.2544431720708</v>
      </c>
      <c r="O372" s="304">
        <f t="shared" si="45"/>
        <v>563.89366589670271</v>
      </c>
      <c r="P372" s="304">
        <f t="shared" si="41"/>
        <v>171.88826351649701</v>
      </c>
      <c r="Q372" s="277"/>
      <c r="R372" s="281"/>
      <c r="S372" s="281"/>
      <c r="T372" s="281"/>
      <c r="U372" s="281"/>
      <c r="V372" s="281"/>
      <c r="W372" s="281"/>
      <c r="X372" s="281"/>
      <c r="Y372" s="281"/>
      <c r="Z372" s="281"/>
      <c r="AA372" s="281"/>
      <c r="AB372" s="281"/>
      <c r="AC372" s="281"/>
      <c r="AD372" s="281"/>
    </row>
    <row r="373" spans="1:30" s="288" customFormat="1" x14ac:dyDescent="0.25">
      <c r="A373" s="287"/>
      <c r="B373" s="274">
        <f t="shared" si="42"/>
        <v>358</v>
      </c>
      <c r="C373" s="304">
        <f t="shared" ca="1" si="43"/>
        <v>-453.29038578917971</v>
      </c>
      <c r="D373" s="304">
        <f ca="1">IF(ROUND(E372,0)&lt;&gt;0, IF(ROUND(D372,0)&lt;&gt;0, 'Career Comparison'!$F$28-C373, 0), 0)</f>
        <v>701.08543343644715</v>
      </c>
      <c r="E373" s="304">
        <f ca="1">IF(G$7&gt;=B373, E372*(1+'Government Figures'!$D$8/12)-'Career Comparison'!$F$28, 0)</f>
        <v>189510.03648100121</v>
      </c>
      <c r="F373" s="312">
        <f>'College Schedule'!$L$8*(1+'Government Figures'!$B$8/12)^B373</f>
        <v>3700.4847263075349</v>
      </c>
      <c r="G373" s="278">
        <v>1</v>
      </c>
      <c r="H373" s="279">
        <f t="shared" ca="1" si="46"/>
        <v>0.17320110972991043</v>
      </c>
      <c r="I373" s="304">
        <f>G373*('College Schedule'!$L$9)*(1+'Government Figures'!$B$8/12)^B373</f>
        <v>8240.8025565178159</v>
      </c>
      <c r="J373" s="304">
        <f t="shared" ca="1" si="44"/>
        <v>2865.2066347090449</v>
      </c>
      <c r="K373" s="304">
        <f t="shared" ca="1" si="40"/>
        <v>870.48183979225428</v>
      </c>
      <c r="L373" s="278">
        <v>1</v>
      </c>
      <c r="M373" s="279">
        <f t="shared" si="47"/>
        <v>0.13735784313725496</v>
      </c>
      <c r="N373" s="304">
        <f>L373*('College Schedule'!$L$10)*(1+'Government Figures'!$B$8/12)^B373</f>
        <v>4944.4815339106899</v>
      </c>
      <c r="O373" s="304">
        <f t="shared" si="45"/>
        <v>564.83348867319683</v>
      </c>
      <c r="P373" s="304">
        <f t="shared" si="41"/>
        <v>171.60273483955913</v>
      </c>
      <c r="Q373" s="277"/>
      <c r="R373" s="281"/>
      <c r="S373" s="281"/>
      <c r="T373" s="281"/>
      <c r="U373" s="281"/>
      <c r="V373" s="281"/>
      <c r="W373" s="281"/>
      <c r="X373" s="281"/>
      <c r="Y373" s="281"/>
      <c r="Z373" s="281"/>
      <c r="AA373" s="281"/>
      <c r="AB373" s="281"/>
      <c r="AC373" s="281"/>
      <c r="AD373" s="281"/>
    </row>
    <row r="374" spans="1:30" s="288" customFormat="1" x14ac:dyDescent="0.25">
      <c r="A374" s="287"/>
      <c r="B374" s="274">
        <f t="shared" si="42"/>
        <v>359</v>
      </c>
      <c r="C374" s="304">
        <f t="shared" ca="1" si="43"/>
        <v>-454.97133763646707</v>
      </c>
      <c r="D374" s="304">
        <f ca="1">IF(ROUND(E373,0)&lt;&gt;0, IF(ROUND(D373,0)&lt;&gt;0, 'Career Comparison'!$F$28-C374, 0), 0)</f>
        <v>702.76638528373451</v>
      </c>
      <c r="E374" s="304">
        <f ca="1">IF(G$7&gt;=B374, E373*(1+'Government Figures'!$D$8/12)-'Career Comparison'!$F$28, 0)</f>
        <v>189965.00781863768</v>
      </c>
      <c r="F374" s="312">
        <f>'College Schedule'!$L$8*(1+'Government Figures'!$B$8/12)^B374</f>
        <v>3706.6522008513816</v>
      </c>
      <c r="G374" s="278">
        <v>1</v>
      </c>
      <c r="H374" s="279">
        <f t="shared" ca="1" si="46"/>
        <v>0.17320110972991043</v>
      </c>
      <c r="I374" s="304">
        <f>G374*('College Schedule'!$L$9)*(1+'Government Figures'!$B$8/12)^B374</f>
        <v>8254.5372274453475</v>
      </c>
      <c r="J374" s="304">
        <f t="shared" ca="1" si="44"/>
        <v>2870.394970846306</v>
      </c>
      <c r="K374" s="304">
        <f t="shared" ca="1" si="40"/>
        <v>869.1609113349889</v>
      </c>
      <c r="L374" s="278">
        <v>1</v>
      </c>
      <c r="M374" s="279">
        <f t="shared" si="47"/>
        <v>0.13735784313725496</v>
      </c>
      <c r="N374" s="304">
        <f>L374*('College Schedule'!$L$10)*(1+'Government Figures'!$B$8/12)^B374</f>
        <v>4952.7223364672091</v>
      </c>
      <c r="O374" s="304">
        <f t="shared" si="45"/>
        <v>565.77487782098569</v>
      </c>
      <c r="P374" s="304">
        <f t="shared" si="41"/>
        <v>171.31768046274925</v>
      </c>
      <c r="Q374" s="277"/>
      <c r="R374" s="281"/>
      <c r="S374" s="281"/>
      <c r="T374" s="281"/>
      <c r="U374" s="281"/>
      <c r="V374" s="281"/>
      <c r="W374" s="281"/>
      <c r="X374" s="281"/>
      <c r="Y374" s="281"/>
      <c r="Z374" s="281"/>
      <c r="AA374" s="281"/>
      <c r="AB374" s="281"/>
      <c r="AC374" s="281"/>
      <c r="AD374" s="281"/>
    </row>
    <row r="375" spans="1:30" s="288" customFormat="1" x14ac:dyDescent="0.25">
      <c r="A375" s="287"/>
      <c r="B375" s="274">
        <f t="shared" si="42"/>
        <v>360</v>
      </c>
      <c r="C375" s="304">
        <f t="shared" ca="1" si="43"/>
        <v>-456.65852301352425</v>
      </c>
      <c r="D375" s="304">
        <f ca="1">IF(ROUND(E374,0)&lt;&gt;0, IF(ROUND(D374,0)&lt;&gt;0, 'Career Comparison'!$F$28-C375, 0), 0)</f>
        <v>704.45357066079168</v>
      </c>
      <c r="E375" s="304">
        <f ca="1">IF(G$7&gt;=B375, E374*(1+'Government Figures'!$D$8/12)-'Career Comparison'!$F$28, 0)</f>
        <v>190421.6663416512</v>
      </c>
      <c r="F375" s="312">
        <f>'College Schedule'!$L$8*(1+'Government Figures'!$B$8/12)^B375</f>
        <v>3712.8299545194677</v>
      </c>
      <c r="G375" s="278">
        <v>1</v>
      </c>
      <c r="H375" s="279">
        <f t="shared" ca="1" si="46"/>
        <v>0.17320110972991043</v>
      </c>
      <c r="I375" s="304">
        <f>G375*('College Schedule'!$L$9)*(1+'Government Figures'!$B$8/12)^B375</f>
        <v>8268.2947894910903</v>
      </c>
      <c r="J375" s="304">
        <f t="shared" ca="1" si="44"/>
        <v>2875.5919542104625</v>
      </c>
      <c r="K375" s="304">
        <f t="shared" ca="1" si="40"/>
        <v>867.84176164703717</v>
      </c>
      <c r="L375" s="278">
        <v>1</v>
      </c>
      <c r="M375" s="279">
        <f t="shared" si="47"/>
        <v>0.13735784313725496</v>
      </c>
      <c r="N375" s="304">
        <f>L375*('College Schedule'!$L$10)*(1+'Government Figures'!$B$8/12)^B375</f>
        <v>4960.9768736946553</v>
      </c>
      <c r="O375" s="304">
        <f t="shared" si="45"/>
        <v>566.71783595068791</v>
      </c>
      <c r="P375" s="304">
        <f t="shared" si="41"/>
        <v>171.03309959819339</v>
      </c>
      <c r="Q375" s="277"/>
      <c r="R375" s="281"/>
      <c r="S375" s="281"/>
      <c r="T375" s="281"/>
      <c r="U375" s="281"/>
      <c r="V375" s="281"/>
      <c r="W375" s="281"/>
      <c r="X375" s="281"/>
      <c r="Y375" s="281"/>
      <c r="Z375" s="281"/>
      <c r="AA375" s="281"/>
      <c r="AB375" s="281"/>
      <c r="AC375" s="281"/>
      <c r="AD375" s="281"/>
    </row>
    <row r="376" spans="1:30" s="288" customFormat="1" x14ac:dyDescent="0.25">
      <c r="A376" s="287"/>
      <c r="B376" s="274">
        <f t="shared" si="42"/>
        <v>361</v>
      </c>
      <c r="C376" s="304">
        <f t="shared" ref="C376:C439" ca="1" si="48">E375-E376</f>
        <v>190421.6663416512</v>
      </c>
      <c r="D376" s="304">
        <f ca="1">IF(ROUND(E375,0)&lt;&gt;0, IF(ROUND(D375,0)&lt;&gt;0, 'Career Comparison'!$F$28-C376, 0), 0)</f>
        <v>-190173.87129400394</v>
      </c>
      <c r="E376" s="304">
        <f ca="1">IF(G$7&gt;=B376, E375*(1+'Government Figures'!$D$8/12)-'Career Comparison'!$F$28, 0)</f>
        <v>0</v>
      </c>
      <c r="F376" s="312">
        <f>'College Schedule'!$L$8*(1+'Government Figures'!$B$8/12)^B376</f>
        <v>3719.0180044436665</v>
      </c>
      <c r="G376" s="278">
        <v>1</v>
      </c>
      <c r="H376" s="279">
        <f t="shared" ca="1" si="46"/>
        <v>0.17320110972991043</v>
      </c>
      <c r="I376" s="304">
        <f>G376*('College Schedule'!$L$9)*(1+'Government Figures'!$B$8/12)^B376</f>
        <v>8282.0752808069083</v>
      </c>
      <c r="J376" s="304">
        <f t="shared" ca="1" si="44"/>
        <v>2880.7975992135762</v>
      </c>
      <c r="K376" s="304">
        <f t="shared" ca="1" si="40"/>
        <v>866.52438915391667</v>
      </c>
      <c r="L376" s="278">
        <v>1</v>
      </c>
      <c r="M376" s="279">
        <f t="shared" si="47"/>
        <v>0.13735784313725496</v>
      </c>
      <c r="N376" s="304">
        <f>L376*('College Schedule'!$L$10)*(1+'Government Figures'!$B$8/12)^B376</f>
        <v>4969.2451684841462</v>
      </c>
      <c r="O376" s="304">
        <f t="shared" si="45"/>
        <v>567.66236567727265</v>
      </c>
      <c r="P376" s="304">
        <f t="shared" si="41"/>
        <v>170.74899145932605</v>
      </c>
      <c r="Q376" s="274"/>
      <c r="R376" s="281"/>
      <c r="S376" s="281"/>
      <c r="T376" s="281"/>
      <c r="U376" s="281"/>
      <c r="V376" s="281"/>
      <c r="W376" s="281"/>
      <c r="X376" s="281"/>
      <c r="Y376" s="281"/>
      <c r="Z376" s="281"/>
      <c r="AA376" s="281"/>
      <c r="AB376" s="281"/>
      <c r="AC376" s="281"/>
      <c r="AD376" s="281"/>
    </row>
    <row r="377" spans="1:30" s="288" customFormat="1" x14ac:dyDescent="0.25">
      <c r="A377" s="287"/>
      <c r="B377" s="274">
        <f t="shared" si="42"/>
        <v>362</v>
      </c>
      <c r="C377" s="304">
        <f t="shared" ca="1" si="48"/>
        <v>0</v>
      </c>
      <c r="D377" s="304">
        <f ca="1">IF(ROUND(E376,0)&lt;&gt;0, IF(ROUND(D376,0)&lt;&gt;0, 'Career Comparison'!$F$28-C377, 0), 0)</f>
        <v>0</v>
      </c>
      <c r="E377" s="304">
        <f ca="1">IF(G$7&gt;=B377, E376*(1+'Government Figures'!$D$8/12)-'Career Comparison'!$F$28, 0)</f>
        <v>0</v>
      </c>
      <c r="F377" s="312">
        <f>'College Schedule'!$L$8*(1+'Government Figures'!$B$8/12)^B377</f>
        <v>3725.216367784406</v>
      </c>
      <c r="G377" s="278">
        <v>1</v>
      </c>
      <c r="H377" s="279">
        <f t="shared" ca="1" si="46"/>
        <v>0.17320110972991043</v>
      </c>
      <c r="I377" s="304">
        <f>G377*('College Schedule'!$L$9)*(1+'Government Figures'!$B$8/12)^B377</f>
        <v>8295.8787396082535</v>
      </c>
      <c r="J377" s="304">
        <f t="shared" ca="1" si="44"/>
        <v>3133.8069679389278</v>
      </c>
      <c r="K377" s="304">
        <f t="shared" ca="1" si="40"/>
        <v>939.49623801014081</v>
      </c>
      <c r="L377" s="278">
        <v>1</v>
      </c>
      <c r="M377" s="279">
        <f t="shared" si="47"/>
        <v>0.13735784313725496</v>
      </c>
      <c r="N377" s="304">
        <f>L377*('College Schedule'!$L$10)*(1+'Government Figures'!$B$8/12)^B377</f>
        <v>4977.5272437649528</v>
      </c>
      <c r="O377" s="304">
        <f t="shared" si="45"/>
        <v>568.60846962006735</v>
      </c>
      <c r="P377" s="304">
        <f t="shared" si="41"/>
        <v>170.46535526088837</v>
      </c>
      <c r="Q377" s="274"/>
      <c r="R377" s="281"/>
      <c r="S377" s="281"/>
      <c r="T377" s="281"/>
      <c r="U377" s="281"/>
      <c r="V377" s="281"/>
      <c r="W377" s="281"/>
      <c r="X377" s="281"/>
      <c r="Y377" s="281"/>
      <c r="Z377" s="281"/>
      <c r="AA377" s="281"/>
      <c r="AB377" s="281"/>
      <c r="AC377" s="281"/>
      <c r="AD377" s="281"/>
    </row>
    <row r="378" spans="1:30" s="288" customFormat="1" x14ac:dyDescent="0.25">
      <c r="A378" s="287"/>
      <c r="B378" s="274">
        <f t="shared" si="42"/>
        <v>363</v>
      </c>
      <c r="C378" s="304">
        <f t="shared" ca="1" si="48"/>
        <v>0</v>
      </c>
      <c r="D378" s="304">
        <f ca="1">IF(ROUND(E377,0)&lt;&gt;0, IF(ROUND(D377,0)&lt;&gt;0, 'Career Comparison'!$F$28-C378, 0), 0)</f>
        <v>0</v>
      </c>
      <c r="E378" s="304">
        <f ca="1">IF(G$7&gt;=B378, E377*(1+'Government Figures'!$D$8/12)-'Career Comparison'!$F$28, 0)</f>
        <v>0</v>
      </c>
      <c r="F378" s="312">
        <f>'College Schedule'!$L$8*(1+'Government Figures'!$B$8/12)^B378</f>
        <v>3731.4250617307143</v>
      </c>
      <c r="G378" s="278">
        <v>1</v>
      </c>
      <c r="H378" s="279">
        <f t="shared" ca="1" si="46"/>
        <v>0.17320110972991043</v>
      </c>
      <c r="I378" s="304">
        <f>G378*('College Schedule'!$L$9)*(1+'Government Figures'!$B$8/12)^B378</f>
        <v>8309.7052041742681</v>
      </c>
      <c r="J378" s="304">
        <f t="shared" ca="1" si="44"/>
        <v>3139.0299795521587</v>
      </c>
      <c r="K378" s="304">
        <f t="shared" ca="1" si="40"/>
        <v>937.9356130300572</v>
      </c>
      <c r="L378" s="278">
        <v>1</v>
      </c>
      <c r="M378" s="279">
        <f t="shared" si="47"/>
        <v>0.13735784313725496</v>
      </c>
      <c r="N378" s="304">
        <f>L378*('College Schedule'!$L$10)*(1+'Government Figures'!$B$8/12)^B378</f>
        <v>4985.823122504562</v>
      </c>
      <c r="O378" s="304">
        <f t="shared" si="45"/>
        <v>569.55615040276734</v>
      </c>
      <c r="P378" s="304">
        <f t="shared" si="41"/>
        <v>170.18219021892671</v>
      </c>
      <c r="Q378" s="274"/>
      <c r="R378" s="281"/>
      <c r="S378" s="281"/>
      <c r="T378" s="281"/>
      <c r="U378" s="281"/>
      <c r="V378" s="281"/>
      <c r="W378" s="281"/>
      <c r="X378" s="281"/>
      <c r="Y378" s="281"/>
      <c r="Z378" s="281"/>
      <c r="AA378" s="281"/>
      <c r="AB378" s="281"/>
      <c r="AC378" s="281"/>
      <c r="AD378" s="281"/>
    </row>
    <row r="379" spans="1:30" s="288" customFormat="1" x14ac:dyDescent="0.25">
      <c r="A379" s="287"/>
      <c r="B379" s="274">
        <f t="shared" si="42"/>
        <v>364</v>
      </c>
      <c r="C379" s="304">
        <f t="shared" ca="1" si="48"/>
        <v>0</v>
      </c>
      <c r="D379" s="304">
        <f ca="1">IF(ROUND(E378,0)&lt;&gt;0, IF(ROUND(D378,0)&lt;&gt;0, 'Career Comparison'!$F$28-C379, 0), 0)</f>
        <v>0</v>
      </c>
      <c r="E379" s="304">
        <f ca="1">IF(G$7&gt;=B379, E378*(1+'Government Figures'!$D$8/12)-'Career Comparison'!$F$28, 0)</f>
        <v>0</v>
      </c>
      <c r="F379" s="312">
        <f>'College Schedule'!$L$8*(1+'Government Figures'!$B$8/12)^B379</f>
        <v>3737.6441035002649</v>
      </c>
      <c r="G379" s="278">
        <v>1</v>
      </c>
      <c r="H379" s="279">
        <f t="shared" ca="1" si="46"/>
        <v>0.17320110972991043</v>
      </c>
      <c r="I379" s="304">
        <f>G379*('College Schedule'!$L$9)*(1+'Government Figures'!$B$8/12)^B379</f>
        <v>8323.554712847892</v>
      </c>
      <c r="J379" s="304">
        <f t="shared" ca="1" si="44"/>
        <v>3144.2616961847466</v>
      </c>
      <c r="K379" s="304">
        <f t="shared" ca="1" si="40"/>
        <v>936.3775804502734</v>
      </c>
      <c r="L379" s="278">
        <v>1</v>
      </c>
      <c r="M379" s="279">
        <f t="shared" si="47"/>
        <v>0.13735784313725496</v>
      </c>
      <c r="N379" s="304">
        <f>L379*('College Schedule'!$L$10)*(1+'Government Figures'!$B$8/12)^B379</f>
        <v>4994.1328277087359</v>
      </c>
      <c r="O379" s="304">
        <f t="shared" si="45"/>
        <v>570.5054106534385</v>
      </c>
      <c r="P379" s="304">
        <f t="shared" si="41"/>
        <v>169.89949555078891</v>
      </c>
      <c r="Q379" s="274"/>
      <c r="R379" s="281"/>
      <c r="S379" s="281"/>
      <c r="T379" s="281"/>
      <c r="U379" s="281"/>
      <c r="V379" s="281"/>
      <c r="W379" s="281"/>
      <c r="X379" s="281"/>
      <c r="Y379" s="281"/>
      <c r="Z379" s="281"/>
      <c r="AA379" s="281"/>
      <c r="AB379" s="281"/>
      <c r="AC379" s="281"/>
      <c r="AD379" s="281"/>
    </row>
    <row r="380" spans="1:30" s="288" customFormat="1" x14ac:dyDescent="0.25">
      <c r="A380" s="287"/>
      <c r="B380" s="274">
        <f t="shared" si="42"/>
        <v>365</v>
      </c>
      <c r="C380" s="304">
        <f t="shared" ca="1" si="48"/>
        <v>0</v>
      </c>
      <c r="D380" s="304">
        <f ca="1">IF(ROUND(E379,0)&lt;&gt;0, IF(ROUND(D379,0)&lt;&gt;0, 'Career Comparison'!$F$28-C380, 0), 0)</f>
        <v>0</v>
      </c>
      <c r="E380" s="304">
        <f ca="1">IF(G$7&gt;=B380, E379*(1+'Government Figures'!$D$8/12)-'Career Comparison'!$F$28, 0)</f>
        <v>0</v>
      </c>
      <c r="F380" s="312">
        <f>'College Schedule'!$L$8*(1+'Government Figures'!$B$8/12)^B380</f>
        <v>3743.8735103394324</v>
      </c>
      <c r="G380" s="278">
        <v>1</v>
      </c>
      <c r="H380" s="279">
        <f t="shared" ca="1" si="46"/>
        <v>0.17320110972991043</v>
      </c>
      <c r="I380" s="304">
        <f>G380*('College Schedule'!$L$9)*(1+'Government Figures'!$B$8/12)^B380</f>
        <v>8337.4273040359731</v>
      </c>
      <c r="J380" s="304">
        <f t="shared" ca="1" si="44"/>
        <v>3149.5021323450551</v>
      </c>
      <c r="K380" s="304">
        <f t="shared" ca="1" si="40"/>
        <v>934.82213596447582</v>
      </c>
      <c r="L380" s="278">
        <v>1</v>
      </c>
      <c r="M380" s="279">
        <f t="shared" si="47"/>
        <v>0.13735784313725496</v>
      </c>
      <c r="N380" s="304">
        <f>L380*('College Schedule'!$L$10)*(1+'Government Figures'!$B$8/12)^B380</f>
        <v>5002.4563824215847</v>
      </c>
      <c r="O380" s="304">
        <f t="shared" si="45"/>
        <v>571.45625300452821</v>
      </c>
      <c r="P380" s="304">
        <f t="shared" si="41"/>
        <v>169.61727047512335</v>
      </c>
      <c r="Q380" s="274"/>
      <c r="R380" s="281"/>
      <c r="S380" s="281"/>
      <c r="T380" s="281"/>
      <c r="U380" s="281"/>
      <c r="V380" s="281"/>
      <c r="W380" s="281"/>
      <c r="X380" s="281"/>
      <c r="Y380" s="281"/>
      <c r="Z380" s="281"/>
      <c r="AA380" s="281"/>
      <c r="AB380" s="281"/>
      <c r="AC380" s="281"/>
      <c r="AD380" s="281"/>
    </row>
    <row r="381" spans="1:30" s="288" customFormat="1" x14ac:dyDescent="0.25">
      <c r="A381" s="287"/>
      <c r="B381" s="274">
        <f t="shared" si="42"/>
        <v>366</v>
      </c>
      <c r="C381" s="304">
        <f t="shared" ca="1" si="48"/>
        <v>0</v>
      </c>
      <c r="D381" s="304">
        <f ca="1">IF(ROUND(E380,0)&lt;&gt;0, IF(ROUND(D380,0)&lt;&gt;0, 'Career Comparison'!$F$28-C381, 0), 0)</f>
        <v>0</v>
      </c>
      <c r="E381" s="304">
        <f ca="1">IF(G$7&gt;=B381, E380*(1+'Government Figures'!$D$8/12)-'Career Comparison'!$F$28, 0)</f>
        <v>0</v>
      </c>
      <c r="F381" s="312">
        <f>'College Schedule'!$L$8*(1+'Government Figures'!$B$8/12)^B381</f>
        <v>3750.1132995233324</v>
      </c>
      <c r="G381" s="278">
        <v>1</v>
      </c>
      <c r="H381" s="279">
        <f t="shared" ca="1" si="46"/>
        <v>0.17320110972991043</v>
      </c>
      <c r="I381" s="304">
        <f>G381*('College Schedule'!$L$9)*(1+'Government Figures'!$B$8/12)^B381</f>
        <v>8351.3230162093678</v>
      </c>
      <c r="J381" s="304">
        <f t="shared" ca="1" si="44"/>
        <v>3154.7513025656303</v>
      </c>
      <c r="K381" s="304">
        <f t="shared" ca="1" si="40"/>
        <v>933.2692752735046</v>
      </c>
      <c r="L381" s="278">
        <v>1</v>
      </c>
      <c r="M381" s="279">
        <f t="shared" si="47"/>
        <v>0.13735784313725496</v>
      </c>
      <c r="N381" s="304">
        <f>L381*('College Schedule'!$L$10)*(1+'Government Figures'!$B$8/12)^B381</f>
        <v>5010.793809725621</v>
      </c>
      <c r="O381" s="304">
        <f t="shared" si="45"/>
        <v>572.40868009286851</v>
      </c>
      <c r="P381" s="304">
        <f t="shared" si="41"/>
        <v>169.33551421187542</v>
      </c>
      <c r="Q381" s="274"/>
      <c r="R381" s="281"/>
      <c r="S381" s="281"/>
      <c r="T381" s="281"/>
      <c r="U381" s="281"/>
      <c r="V381" s="281"/>
      <c r="W381" s="281"/>
      <c r="X381" s="281"/>
      <c r="Y381" s="281"/>
      <c r="Z381" s="281"/>
      <c r="AA381" s="281"/>
      <c r="AB381" s="281"/>
      <c r="AC381" s="281"/>
      <c r="AD381" s="281"/>
    </row>
    <row r="382" spans="1:30" s="288" customFormat="1" x14ac:dyDescent="0.25">
      <c r="A382" s="287"/>
      <c r="B382" s="274">
        <f t="shared" si="42"/>
        <v>367</v>
      </c>
      <c r="C382" s="304">
        <f t="shared" ca="1" si="48"/>
        <v>0</v>
      </c>
      <c r="D382" s="304">
        <f ca="1">IF(ROUND(E381,0)&lt;&gt;0, IF(ROUND(D381,0)&lt;&gt;0, 'Career Comparison'!$F$28-C382, 0), 0)</f>
        <v>0</v>
      </c>
      <c r="E382" s="304">
        <f ca="1">IF(G$7&gt;=B382, E381*(1+'Government Figures'!$D$8/12)-'Career Comparison'!$F$28, 0)</f>
        <v>0</v>
      </c>
      <c r="F382" s="312">
        <f>'College Schedule'!$L$8*(1+'Government Figures'!$B$8/12)^B382</f>
        <v>3756.3634883558711</v>
      </c>
      <c r="G382" s="278">
        <v>1</v>
      </c>
      <c r="H382" s="279">
        <f t="shared" ca="1" si="46"/>
        <v>0.17320110972991043</v>
      </c>
      <c r="I382" s="304">
        <f>G382*('College Schedule'!$L$9)*(1+'Government Figures'!$B$8/12)^B382</f>
        <v>8365.2418879030502</v>
      </c>
      <c r="J382" s="304">
        <f t="shared" ca="1" si="44"/>
        <v>3160.0092214032397</v>
      </c>
      <c r="K382" s="304">
        <f t="shared" ca="1" si="40"/>
        <v>931.7189940853425</v>
      </c>
      <c r="L382" s="278">
        <v>1</v>
      </c>
      <c r="M382" s="279">
        <f t="shared" si="47"/>
        <v>0.13735784313725496</v>
      </c>
      <c r="N382" s="304">
        <f>L382*('College Schedule'!$L$10)*(1+'Government Figures'!$B$8/12)^B382</f>
        <v>5019.1451327418308</v>
      </c>
      <c r="O382" s="304">
        <f t="shared" si="45"/>
        <v>573.36269455969023</v>
      </c>
      <c r="P382" s="304">
        <f t="shared" si="41"/>
        <v>169.05422598228762</v>
      </c>
      <c r="Q382" s="274"/>
      <c r="R382" s="281"/>
      <c r="S382" s="281"/>
      <c r="T382" s="281"/>
      <c r="U382" s="281"/>
      <c r="V382" s="281"/>
      <c r="W382" s="281"/>
      <c r="X382" s="281"/>
      <c r="Y382" s="281"/>
      <c r="Z382" s="281"/>
      <c r="AA382" s="281"/>
      <c r="AB382" s="281"/>
      <c r="AC382" s="281"/>
      <c r="AD382" s="281"/>
    </row>
    <row r="383" spans="1:30" s="288" customFormat="1" x14ac:dyDescent="0.25">
      <c r="A383" s="287"/>
      <c r="B383" s="274">
        <f t="shared" si="42"/>
        <v>368</v>
      </c>
      <c r="C383" s="304">
        <f t="shared" ca="1" si="48"/>
        <v>0</v>
      </c>
      <c r="D383" s="304">
        <f ca="1">IF(ROUND(E382,0)&lt;&gt;0, IF(ROUND(D382,0)&lt;&gt;0, 'Career Comparison'!$F$28-C383, 0), 0)</f>
        <v>0</v>
      </c>
      <c r="E383" s="304">
        <f ca="1">IF(G$7&gt;=B383, E382*(1+'Government Figures'!$D$8/12)-'Career Comparison'!$F$28, 0)</f>
        <v>0</v>
      </c>
      <c r="F383" s="312">
        <f>'College Schedule'!$L$8*(1+'Government Figures'!$B$8/12)^B383</f>
        <v>3762.6240941697984</v>
      </c>
      <c r="G383" s="278">
        <v>1</v>
      </c>
      <c r="H383" s="279">
        <f t="shared" ca="1" si="46"/>
        <v>0.17320110972991043</v>
      </c>
      <c r="I383" s="304">
        <f>G383*('College Schedule'!$L$9)*(1+'Government Figures'!$B$8/12)^B383</f>
        <v>8379.1839577162227</v>
      </c>
      <c r="J383" s="304">
        <f t="shared" ca="1" si="44"/>
        <v>3165.2759034389114</v>
      </c>
      <c r="K383" s="304">
        <f t="shared" ca="1" si="40"/>
        <v>930.17128811510111</v>
      </c>
      <c r="L383" s="278">
        <v>1</v>
      </c>
      <c r="M383" s="279">
        <f t="shared" si="47"/>
        <v>0.13735784313725496</v>
      </c>
      <c r="N383" s="304">
        <f>L383*('College Schedule'!$L$10)*(1+'Government Figures'!$B$8/12)^B383</f>
        <v>5027.5103746297345</v>
      </c>
      <c r="O383" s="304">
        <f t="shared" si="45"/>
        <v>574.31829905062341</v>
      </c>
      <c r="P383" s="304">
        <f t="shared" si="41"/>
        <v>168.77340500889525</v>
      </c>
      <c r="Q383" s="274"/>
      <c r="R383" s="281"/>
      <c r="S383" s="281"/>
      <c r="T383" s="281"/>
      <c r="U383" s="281"/>
      <c r="V383" s="281"/>
      <c r="W383" s="281"/>
      <c r="X383" s="281"/>
      <c r="Y383" s="281"/>
      <c r="Z383" s="281"/>
      <c r="AA383" s="281"/>
      <c r="AB383" s="281"/>
      <c r="AC383" s="281"/>
      <c r="AD383" s="281"/>
    </row>
    <row r="384" spans="1:30" s="288" customFormat="1" x14ac:dyDescent="0.25">
      <c r="A384" s="287"/>
      <c r="B384" s="274">
        <f t="shared" si="42"/>
        <v>369</v>
      </c>
      <c r="C384" s="304">
        <f t="shared" ca="1" si="48"/>
        <v>0</v>
      </c>
      <c r="D384" s="304">
        <f ca="1">IF(ROUND(E383,0)&lt;&gt;0, IF(ROUND(D383,0)&lt;&gt;0, 'Career Comparison'!$F$28-C384, 0), 0)</f>
        <v>0</v>
      </c>
      <c r="E384" s="304">
        <f ca="1">IF(G$7&gt;=B384, E383*(1+'Government Figures'!$D$8/12)-'Career Comparison'!$F$28, 0)</f>
        <v>0</v>
      </c>
      <c r="F384" s="312">
        <f>'College Schedule'!$L$8*(1+'Government Figures'!$B$8/12)^B384</f>
        <v>3768.8951343267486</v>
      </c>
      <c r="G384" s="278">
        <v>1</v>
      </c>
      <c r="H384" s="279">
        <f t="shared" ca="1" si="46"/>
        <v>0.17320110972991043</v>
      </c>
      <c r="I384" s="304">
        <f>G384*('College Schedule'!$L$9)*(1+'Government Figures'!$B$8/12)^B384</f>
        <v>8393.1492643124184</v>
      </c>
      <c r="J384" s="304">
        <f t="shared" ca="1" si="44"/>
        <v>3170.551363277978</v>
      </c>
      <c r="K384" s="304">
        <f t="shared" ca="1" si="40"/>
        <v>928.62615308500995</v>
      </c>
      <c r="L384" s="278">
        <v>1</v>
      </c>
      <c r="M384" s="279">
        <f t="shared" si="47"/>
        <v>0.13735784313725496</v>
      </c>
      <c r="N384" s="304">
        <f>L384*('College Schedule'!$L$10)*(1+'Government Figures'!$B$8/12)^B384</f>
        <v>5035.8895585874516</v>
      </c>
      <c r="O384" s="304">
        <f t="shared" si="45"/>
        <v>575.27549621570734</v>
      </c>
      <c r="P384" s="304">
        <f t="shared" si="41"/>
        <v>168.49305051552486</v>
      </c>
      <c r="Q384" s="274"/>
      <c r="R384" s="281"/>
      <c r="S384" s="281"/>
      <c r="T384" s="281"/>
      <c r="U384" s="281"/>
      <c r="V384" s="281"/>
      <c r="W384" s="281"/>
      <c r="X384" s="281"/>
      <c r="Y384" s="281"/>
      <c r="Z384" s="281"/>
      <c r="AA384" s="281"/>
      <c r="AB384" s="281"/>
      <c r="AC384" s="281"/>
      <c r="AD384" s="281"/>
    </row>
    <row r="385" spans="1:30" s="288" customFormat="1" x14ac:dyDescent="0.25">
      <c r="A385" s="287"/>
      <c r="B385" s="274">
        <f t="shared" si="42"/>
        <v>370</v>
      </c>
      <c r="C385" s="304">
        <f t="shared" ca="1" si="48"/>
        <v>0</v>
      </c>
      <c r="D385" s="304">
        <f ca="1">IF(ROUND(E384,0)&lt;&gt;0, IF(ROUND(D384,0)&lt;&gt;0, 'Career Comparison'!$F$28-C385, 0), 0)</f>
        <v>0</v>
      </c>
      <c r="E385" s="304">
        <f ca="1">IF(G$7&gt;=B385, E384*(1+'Government Figures'!$D$8/12)-'Career Comparison'!$F$28, 0)</f>
        <v>0</v>
      </c>
      <c r="F385" s="312">
        <f>'College Schedule'!$L$8*(1+'Government Figures'!$B$8/12)^B385</f>
        <v>3775.1766262172923</v>
      </c>
      <c r="G385" s="278">
        <v>1</v>
      </c>
      <c r="H385" s="279">
        <f t="shared" ca="1" si="46"/>
        <v>0.17320110972991043</v>
      </c>
      <c r="I385" s="304">
        <f>G385*('College Schedule'!$L$9)*(1+'Government Figures'!$B$8/12)^B385</f>
        <v>8407.1378464196041</v>
      </c>
      <c r="J385" s="304">
        <f t="shared" ca="1" si="44"/>
        <v>3175.8356155501069</v>
      </c>
      <c r="K385" s="304">
        <f t="shared" ca="1" si="40"/>
        <v>927.08358472440318</v>
      </c>
      <c r="L385" s="278">
        <v>1</v>
      </c>
      <c r="M385" s="279">
        <f t="shared" si="47"/>
        <v>0.13735784313725496</v>
      </c>
      <c r="N385" s="304">
        <f>L385*('College Schedule'!$L$10)*(1+'Government Figures'!$B$8/12)^B385</f>
        <v>5044.282707851763</v>
      </c>
      <c r="O385" s="304">
        <f t="shared" si="45"/>
        <v>576.23428870940006</v>
      </c>
      <c r="P385" s="304">
        <f t="shared" si="41"/>
        <v>168.21316172729303</v>
      </c>
      <c r="Q385" s="274"/>
      <c r="R385" s="281"/>
      <c r="S385" s="281"/>
      <c r="T385" s="281"/>
      <c r="U385" s="281"/>
      <c r="V385" s="281"/>
      <c r="W385" s="281"/>
      <c r="X385" s="281"/>
      <c r="Y385" s="281"/>
      <c r="Z385" s="281"/>
      <c r="AA385" s="281"/>
      <c r="AB385" s="281"/>
      <c r="AC385" s="281"/>
      <c r="AD385" s="281"/>
    </row>
    <row r="386" spans="1:30" s="288" customFormat="1" x14ac:dyDescent="0.25">
      <c r="A386" s="287"/>
      <c r="B386" s="274">
        <f t="shared" si="42"/>
        <v>371</v>
      </c>
      <c r="C386" s="304">
        <f t="shared" ca="1" si="48"/>
        <v>0</v>
      </c>
      <c r="D386" s="304">
        <f ca="1">IF(ROUND(E385,0)&lt;&gt;0, IF(ROUND(D385,0)&lt;&gt;0, 'Career Comparison'!$F$28-C386, 0), 0)</f>
        <v>0</v>
      </c>
      <c r="E386" s="304">
        <f ca="1">IF(G$7&gt;=B386, E385*(1+'Government Figures'!$D$8/12)-'Career Comparison'!$F$28, 0)</f>
        <v>0</v>
      </c>
      <c r="F386" s="312">
        <f>'College Schedule'!$L$8*(1+'Government Figures'!$B$8/12)^B386</f>
        <v>3781.4685872609889</v>
      </c>
      <c r="G386" s="278">
        <v>1</v>
      </c>
      <c r="H386" s="279">
        <f t="shared" ca="1" si="46"/>
        <v>0.17320110972991043</v>
      </c>
      <c r="I386" s="304">
        <f>G386*('College Schedule'!$L$9)*(1+'Government Figures'!$B$8/12)^B386</f>
        <v>8421.1497428303046</v>
      </c>
      <c r="J386" s="304">
        <f t="shared" ca="1" si="44"/>
        <v>3181.128674909357</v>
      </c>
      <c r="K386" s="304">
        <f t="shared" ca="1" si="40"/>
        <v>925.54357876971108</v>
      </c>
      <c r="L386" s="278">
        <v>1</v>
      </c>
      <c r="M386" s="279">
        <f t="shared" si="47"/>
        <v>0.13735784313725496</v>
      </c>
      <c r="N386" s="304">
        <f>L386*('College Schedule'!$L$10)*(1+'Government Figures'!$B$8/12)^B386</f>
        <v>5052.6898456981835</v>
      </c>
      <c r="O386" s="304">
        <f t="shared" si="45"/>
        <v>577.19467919058206</v>
      </c>
      <c r="P386" s="304">
        <f t="shared" si="41"/>
        <v>167.93373787060301</v>
      </c>
      <c r="Q386" s="274"/>
      <c r="R386" s="281"/>
      <c r="S386" s="281"/>
      <c r="T386" s="281"/>
      <c r="U386" s="281"/>
      <c r="V386" s="281"/>
      <c r="W386" s="281"/>
      <c r="X386" s="281"/>
      <c r="Y386" s="281"/>
      <c r="Z386" s="281"/>
      <c r="AA386" s="281"/>
      <c r="AB386" s="281"/>
      <c r="AC386" s="281"/>
      <c r="AD386" s="281"/>
    </row>
    <row r="387" spans="1:30" s="288" customFormat="1" x14ac:dyDescent="0.25">
      <c r="A387" s="287"/>
      <c r="B387" s="274">
        <f t="shared" si="42"/>
        <v>372</v>
      </c>
      <c r="C387" s="304">
        <f t="shared" ca="1" si="48"/>
        <v>0</v>
      </c>
      <c r="D387" s="304">
        <f ca="1">IF(ROUND(E386,0)&lt;&gt;0, IF(ROUND(D386,0)&lt;&gt;0, 'Career Comparison'!$F$28-C387, 0), 0)</f>
        <v>0</v>
      </c>
      <c r="E387" s="304">
        <f ca="1">IF(G$7&gt;=B387, E386*(1+'Government Figures'!$D$8/12)-'Career Comparison'!$F$28, 0)</f>
        <v>0</v>
      </c>
      <c r="F387" s="312">
        <f>'College Schedule'!$L$8*(1+'Government Figures'!$B$8/12)^B387</f>
        <v>3787.7710349064237</v>
      </c>
      <c r="G387" s="278">
        <v>1</v>
      </c>
      <c r="H387" s="279">
        <f t="shared" ca="1" si="46"/>
        <v>0.17320110972991043</v>
      </c>
      <c r="I387" s="304">
        <f>G387*('College Schedule'!$L$9)*(1+'Government Figures'!$B$8/12)^B387</f>
        <v>8435.1849924016879</v>
      </c>
      <c r="J387" s="304">
        <f t="shared" ca="1" si="44"/>
        <v>3186.4305560342054</v>
      </c>
      <c r="K387" s="304">
        <f t="shared" ca="1" si="40"/>
        <v>924.0061309644459</v>
      </c>
      <c r="L387" s="278">
        <v>1</v>
      </c>
      <c r="M387" s="279">
        <f t="shared" si="47"/>
        <v>0.13735784313725496</v>
      </c>
      <c r="N387" s="304">
        <f>L387*('College Schedule'!$L$10)*(1+'Government Figures'!$B$8/12)^B387</f>
        <v>5061.110995441014</v>
      </c>
      <c r="O387" s="304">
        <f t="shared" si="45"/>
        <v>578.15667032256715</v>
      </c>
      <c r="P387" s="304">
        <f t="shared" si="41"/>
        <v>167.6547781731438</v>
      </c>
      <c r="Q387" s="274"/>
      <c r="R387" s="281"/>
      <c r="S387" s="281"/>
      <c r="T387" s="281"/>
      <c r="U387" s="281"/>
      <c r="V387" s="281"/>
      <c r="W387" s="281"/>
      <c r="X387" s="281"/>
      <c r="Y387" s="281"/>
      <c r="Z387" s="281"/>
      <c r="AA387" s="281"/>
      <c r="AB387" s="281"/>
      <c r="AC387" s="281"/>
      <c r="AD387" s="281"/>
    </row>
    <row r="388" spans="1:30" s="288" customFormat="1" x14ac:dyDescent="0.25">
      <c r="A388" s="287"/>
      <c r="B388" s="274">
        <f t="shared" si="42"/>
        <v>373</v>
      </c>
      <c r="C388" s="304">
        <f t="shared" ca="1" si="48"/>
        <v>0</v>
      </c>
      <c r="D388" s="304">
        <f ca="1">IF(ROUND(E387,0)&lt;&gt;0, IF(ROUND(D387,0)&lt;&gt;0, 'Career Comparison'!$F$28-C388, 0), 0)</f>
        <v>0</v>
      </c>
      <c r="E388" s="304">
        <f ca="1">IF(G$7&gt;=B388, E387*(1+'Government Figures'!$D$8/12)-'Career Comparison'!$F$28, 0)</f>
        <v>0</v>
      </c>
      <c r="F388" s="312">
        <f>'College Schedule'!$L$8*(1+'Government Figures'!$B$8/12)^B388</f>
        <v>3794.0839866312685</v>
      </c>
      <c r="G388" s="278">
        <v>1</v>
      </c>
      <c r="H388" s="279">
        <f t="shared" ca="1" si="46"/>
        <v>0.17320110972991043</v>
      </c>
      <c r="I388" s="304">
        <f>G388*('College Schedule'!$L$9)*(1+'Government Figures'!$B$8/12)^B388</f>
        <v>8449.2436340556942</v>
      </c>
      <c r="J388" s="304">
        <f t="shared" ca="1" si="44"/>
        <v>3191.7412736275978</v>
      </c>
      <c r="K388" s="304">
        <f t="shared" ca="1" si="40"/>
        <v>922.47123705918989</v>
      </c>
      <c r="L388" s="278">
        <v>1</v>
      </c>
      <c r="M388" s="279">
        <f t="shared" si="47"/>
        <v>0.13735784313725496</v>
      </c>
      <c r="N388" s="304">
        <f>L388*('College Schedule'!$L$10)*(1+'Government Figures'!$B$8/12)^B388</f>
        <v>5069.5461804334172</v>
      </c>
      <c r="O388" s="304">
        <f t="shared" si="45"/>
        <v>579.12026477310565</v>
      </c>
      <c r="P388" s="304">
        <f t="shared" si="41"/>
        <v>167.37628186388633</v>
      </c>
      <c r="Q388" s="274"/>
      <c r="R388" s="281"/>
      <c r="S388" s="281"/>
      <c r="T388" s="281"/>
      <c r="U388" s="281"/>
      <c r="V388" s="281"/>
      <c r="W388" s="281"/>
      <c r="X388" s="281"/>
      <c r="Y388" s="281"/>
      <c r="Z388" s="281"/>
      <c r="AA388" s="281"/>
      <c r="AB388" s="281"/>
      <c r="AC388" s="281"/>
      <c r="AD388" s="281"/>
    </row>
    <row r="389" spans="1:30" s="288" customFormat="1" x14ac:dyDescent="0.25">
      <c r="A389" s="287"/>
      <c r="B389" s="274">
        <f t="shared" si="42"/>
        <v>374</v>
      </c>
      <c r="C389" s="304">
        <f t="shared" ca="1" si="48"/>
        <v>0</v>
      </c>
      <c r="D389" s="304">
        <f ca="1">IF(ROUND(E388,0)&lt;&gt;0, IF(ROUND(D388,0)&lt;&gt;0, 'Career Comparison'!$F$28-C389, 0), 0)</f>
        <v>0</v>
      </c>
      <c r="E389" s="304">
        <f ca="1">IF(G$7&gt;=B389, E388*(1+'Government Figures'!$D$8/12)-'Career Comparison'!$F$28, 0)</f>
        <v>0</v>
      </c>
      <c r="F389" s="312">
        <f>'College Schedule'!$L$8*(1+'Government Figures'!$B$8/12)^B389</f>
        <v>3800.4074599423202</v>
      </c>
      <c r="G389" s="278">
        <v>1</v>
      </c>
      <c r="H389" s="279">
        <f t="shared" ca="1" si="46"/>
        <v>0.17320110972991043</v>
      </c>
      <c r="I389" s="304">
        <f>G389*('College Schedule'!$L$9)*(1+'Government Figures'!$B$8/12)^B389</f>
        <v>8463.3257067791183</v>
      </c>
      <c r="J389" s="304">
        <f t="shared" ca="1" si="44"/>
        <v>3197.0608424169759</v>
      </c>
      <c r="K389" s="304">
        <f t="shared" ca="1" si="40"/>
        <v>920.9388928115826</v>
      </c>
      <c r="L389" s="278">
        <v>1</v>
      </c>
      <c r="M389" s="279">
        <f t="shared" si="47"/>
        <v>0.13735784313725496</v>
      </c>
      <c r="N389" s="304">
        <f>L389*('College Schedule'!$L$10)*(1+'Government Figures'!$B$8/12)^B389</f>
        <v>5077.9954240674724</v>
      </c>
      <c r="O389" s="304">
        <f t="shared" si="45"/>
        <v>580.08546521439348</v>
      </c>
      <c r="P389" s="304">
        <f t="shared" si="41"/>
        <v>167.09824817308228</v>
      </c>
      <c r="Q389" s="274"/>
      <c r="R389" s="281"/>
      <c r="S389" s="281"/>
      <c r="T389" s="281"/>
      <c r="U389" s="281"/>
      <c r="V389" s="281"/>
      <c r="W389" s="281"/>
      <c r="X389" s="281"/>
      <c r="Y389" s="281"/>
      <c r="Z389" s="281"/>
      <c r="AA389" s="281"/>
      <c r="AB389" s="281"/>
      <c r="AC389" s="281"/>
      <c r="AD389" s="281"/>
    </row>
    <row r="390" spans="1:30" s="288" customFormat="1" x14ac:dyDescent="0.25">
      <c r="A390" s="287"/>
      <c r="B390" s="274">
        <f t="shared" si="42"/>
        <v>375</v>
      </c>
      <c r="C390" s="304">
        <f t="shared" ca="1" si="48"/>
        <v>0</v>
      </c>
      <c r="D390" s="304">
        <f ca="1">IF(ROUND(E389,0)&lt;&gt;0, IF(ROUND(D389,0)&lt;&gt;0, 'Career Comparison'!$F$28-C390, 0), 0)</f>
        <v>0</v>
      </c>
      <c r="E390" s="304">
        <f ca="1">IF(G$7&gt;=B390, E389*(1+'Government Figures'!$D$8/12)-'Career Comparison'!$F$28, 0)</f>
        <v>0</v>
      </c>
      <c r="F390" s="312">
        <f>'College Schedule'!$L$8*(1+'Government Figures'!$B$8/12)^B390</f>
        <v>3806.7414723755578</v>
      </c>
      <c r="G390" s="278">
        <v>1</v>
      </c>
      <c r="H390" s="279">
        <f t="shared" ca="1" si="46"/>
        <v>0.17320110972991043</v>
      </c>
      <c r="I390" s="304">
        <f>G390*('College Schedule'!$L$9)*(1+'Government Figures'!$B$8/12)^B390</f>
        <v>8477.4312496237508</v>
      </c>
      <c r="J390" s="304">
        <f t="shared" ca="1" si="44"/>
        <v>3202.3892771543383</v>
      </c>
      <c r="K390" s="304">
        <f t="shared" ca="1" si="40"/>
        <v>919.40909398631436</v>
      </c>
      <c r="L390" s="278">
        <v>1</v>
      </c>
      <c r="M390" s="279">
        <f t="shared" si="47"/>
        <v>0.13735784313725496</v>
      </c>
      <c r="N390" s="304">
        <f>L390*('College Schedule'!$L$10)*(1+'Government Figures'!$B$8/12)^B390</f>
        <v>5086.4587497742514</v>
      </c>
      <c r="O390" s="304">
        <f t="shared" si="45"/>
        <v>581.05227432308357</v>
      </c>
      <c r="P390" s="304">
        <f t="shared" si="41"/>
        <v>166.82067633226305</v>
      </c>
      <c r="Q390" s="274"/>
      <c r="R390" s="281"/>
      <c r="S390" s="281"/>
      <c r="T390" s="281"/>
      <c r="U390" s="281"/>
      <c r="V390" s="281"/>
      <c r="W390" s="281"/>
      <c r="X390" s="281"/>
      <c r="Y390" s="281"/>
      <c r="Z390" s="281"/>
      <c r="AA390" s="281"/>
      <c r="AB390" s="281"/>
      <c r="AC390" s="281"/>
      <c r="AD390" s="281"/>
    </row>
    <row r="391" spans="1:30" s="288" customFormat="1" x14ac:dyDescent="0.25">
      <c r="A391" s="287"/>
      <c r="B391" s="274">
        <f t="shared" si="42"/>
        <v>376</v>
      </c>
      <c r="C391" s="304">
        <f t="shared" ca="1" si="48"/>
        <v>0</v>
      </c>
      <c r="D391" s="304">
        <f ca="1">IF(ROUND(E390,0)&lt;&gt;0, IF(ROUND(D390,0)&lt;&gt;0, 'Career Comparison'!$F$28-C391, 0), 0)</f>
        <v>0</v>
      </c>
      <c r="E391" s="304">
        <f ca="1">IF(G$7&gt;=B391, E390*(1+'Government Figures'!$D$8/12)-'Career Comparison'!$F$28, 0)</f>
        <v>0</v>
      </c>
      <c r="F391" s="312">
        <f>'College Schedule'!$L$8*(1+'Government Figures'!$B$8/12)^B391</f>
        <v>3813.0860414961849</v>
      </c>
      <c r="G391" s="278">
        <v>1</v>
      </c>
      <c r="H391" s="279">
        <f t="shared" ca="1" si="46"/>
        <v>0.17320110972991043</v>
      </c>
      <c r="I391" s="304">
        <f>G391*('College Schedule'!$L$9)*(1+'Government Figures'!$B$8/12)^B391</f>
        <v>8491.5603017064605</v>
      </c>
      <c r="J391" s="304">
        <f t="shared" ca="1" si="44"/>
        <v>3207.726592616264</v>
      </c>
      <c r="K391" s="304">
        <f t="shared" ca="1" si="40"/>
        <v>917.88183635510848</v>
      </c>
      <c r="L391" s="278">
        <v>1</v>
      </c>
      <c r="M391" s="279">
        <f t="shared" si="47"/>
        <v>0.13735784313725496</v>
      </c>
      <c r="N391" s="304">
        <f>L391*('College Schedule'!$L$10)*(1+'Government Figures'!$B$8/12)^B391</f>
        <v>5094.936181023877</v>
      </c>
      <c r="O391" s="304">
        <f t="shared" si="45"/>
        <v>582.02069478028943</v>
      </c>
      <c r="P391" s="304">
        <f t="shared" si="41"/>
        <v>166.54356557423623</v>
      </c>
      <c r="Q391" s="274"/>
      <c r="R391" s="281"/>
      <c r="S391" s="281"/>
      <c r="T391" s="281"/>
      <c r="U391" s="281"/>
      <c r="V391" s="281"/>
      <c r="W391" s="281"/>
      <c r="X391" s="281"/>
      <c r="Y391" s="281"/>
      <c r="Z391" s="281"/>
      <c r="AA391" s="281"/>
      <c r="AB391" s="281"/>
      <c r="AC391" s="281"/>
      <c r="AD391" s="281"/>
    </row>
    <row r="392" spans="1:30" s="288" customFormat="1" x14ac:dyDescent="0.25">
      <c r="A392" s="287"/>
      <c r="B392" s="274">
        <f t="shared" si="42"/>
        <v>377</v>
      </c>
      <c r="C392" s="304">
        <f t="shared" ca="1" si="48"/>
        <v>0</v>
      </c>
      <c r="D392" s="304">
        <f ca="1">IF(ROUND(E391,0)&lt;&gt;0, IF(ROUND(D391,0)&lt;&gt;0, 'Career Comparison'!$F$28-C392, 0), 0)</f>
        <v>0</v>
      </c>
      <c r="E392" s="304">
        <f ca="1">IF(G$7&gt;=B392, E391*(1+'Government Figures'!$D$8/12)-'Career Comparison'!$F$28, 0)</f>
        <v>0</v>
      </c>
      <c r="F392" s="312">
        <f>'College Schedule'!$L$8*(1+'Government Figures'!$B$8/12)^B392</f>
        <v>3819.4411848986783</v>
      </c>
      <c r="G392" s="278">
        <v>1</v>
      </c>
      <c r="H392" s="279">
        <f t="shared" ca="1" si="46"/>
        <v>0.17320110972991043</v>
      </c>
      <c r="I392" s="304">
        <f>G392*('College Schedule'!$L$9)*(1+'Government Figures'!$B$8/12)^B392</f>
        <v>8505.7129022093031</v>
      </c>
      <c r="J392" s="304">
        <f t="shared" ca="1" si="44"/>
        <v>3213.0728036039563</v>
      </c>
      <c r="K392" s="304">
        <f t="shared" ca="1" si="40"/>
        <v>916.35711569671071</v>
      </c>
      <c r="L392" s="278">
        <v>1</v>
      </c>
      <c r="M392" s="279">
        <f t="shared" si="47"/>
        <v>0.13735784313725496</v>
      </c>
      <c r="N392" s="304">
        <f>L392*('College Schedule'!$L$10)*(1+'Government Figures'!$B$8/12)^B392</f>
        <v>5103.4277413255832</v>
      </c>
      <c r="O392" s="304">
        <f t="shared" si="45"/>
        <v>582.99072927158977</v>
      </c>
      <c r="P392" s="304">
        <f t="shared" si="41"/>
        <v>166.26691513308296</v>
      </c>
      <c r="Q392" s="274"/>
      <c r="R392" s="281"/>
      <c r="S392" s="281"/>
      <c r="T392" s="281"/>
      <c r="U392" s="281"/>
      <c r="V392" s="281"/>
      <c r="W392" s="281"/>
      <c r="X392" s="281"/>
      <c r="Y392" s="281"/>
      <c r="Z392" s="281"/>
      <c r="AA392" s="281"/>
      <c r="AB392" s="281"/>
      <c r="AC392" s="281"/>
      <c r="AD392" s="281"/>
    </row>
    <row r="393" spans="1:30" s="288" customFormat="1" x14ac:dyDescent="0.25">
      <c r="A393" s="287"/>
      <c r="B393" s="274">
        <f t="shared" si="42"/>
        <v>378</v>
      </c>
      <c r="C393" s="304">
        <f t="shared" ca="1" si="48"/>
        <v>0</v>
      </c>
      <c r="D393" s="304">
        <f ca="1">IF(ROUND(E392,0)&lt;&gt;0, IF(ROUND(D392,0)&lt;&gt;0, 'Career Comparison'!$F$28-C393, 0), 0)</f>
        <v>0</v>
      </c>
      <c r="E393" s="304">
        <f ca="1">IF(G$7&gt;=B393, E392*(1+'Government Figures'!$D$8/12)-'Career Comparison'!$F$28, 0)</f>
        <v>0</v>
      </c>
      <c r="F393" s="312">
        <f>'College Schedule'!$L$8*(1+'Government Figures'!$B$8/12)^B393</f>
        <v>3825.8069202068427</v>
      </c>
      <c r="G393" s="278">
        <v>1</v>
      </c>
      <c r="H393" s="279">
        <f t="shared" ca="1" si="46"/>
        <v>0.17320110972991043</v>
      </c>
      <c r="I393" s="304">
        <f>G393*('College Schedule'!$L$9)*(1+'Government Figures'!$B$8/12)^B393</f>
        <v>8519.8890903796528</v>
      </c>
      <c r="J393" s="304">
        <f t="shared" ca="1" si="44"/>
        <v>3218.4279249432966</v>
      </c>
      <c r="K393" s="304">
        <f t="shared" ca="1" si="40"/>
        <v>914.83492779688231</v>
      </c>
      <c r="L393" s="278">
        <v>1</v>
      </c>
      <c r="M393" s="279">
        <f t="shared" si="47"/>
        <v>0.13735784313725496</v>
      </c>
      <c r="N393" s="304">
        <f>L393*('College Schedule'!$L$10)*(1+'Government Figures'!$B$8/12)^B393</f>
        <v>5111.933454227792</v>
      </c>
      <c r="O393" s="304">
        <f t="shared" si="45"/>
        <v>583.96238048704254</v>
      </c>
      <c r="P393" s="304">
        <f t="shared" si="41"/>
        <v>165.9907242441576</v>
      </c>
      <c r="Q393" s="274"/>
      <c r="R393" s="281"/>
      <c r="S393" s="281"/>
      <c r="T393" s="281"/>
      <c r="U393" s="281"/>
      <c r="V393" s="281"/>
      <c r="W393" s="281"/>
      <c r="X393" s="281"/>
      <c r="Y393" s="281"/>
      <c r="Z393" s="281"/>
      <c r="AA393" s="281"/>
      <c r="AB393" s="281"/>
      <c r="AC393" s="281"/>
      <c r="AD393" s="281"/>
    </row>
    <row r="394" spans="1:30" s="288" customFormat="1" x14ac:dyDescent="0.25">
      <c r="A394" s="287"/>
      <c r="B394" s="274">
        <f t="shared" si="42"/>
        <v>379</v>
      </c>
      <c r="C394" s="304">
        <f t="shared" ca="1" si="48"/>
        <v>0</v>
      </c>
      <c r="D394" s="304">
        <f ca="1">IF(ROUND(E393,0)&lt;&gt;0, IF(ROUND(D393,0)&lt;&gt;0, 'Career Comparison'!$F$28-C394, 0), 0)</f>
        <v>0</v>
      </c>
      <c r="E394" s="304">
        <f ca="1">IF(G$7&gt;=B394, E393*(1+'Government Figures'!$D$8/12)-'Career Comparison'!$F$28, 0)</f>
        <v>0</v>
      </c>
      <c r="F394" s="312">
        <f>'College Schedule'!$L$8*(1+'Government Figures'!$B$8/12)^B394</f>
        <v>3832.1832650738543</v>
      </c>
      <c r="G394" s="278">
        <v>1</v>
      </c>
      <c r="H394" s="279">
        <f t="shared" ca="1" si="46"/>
        <v>0.17320110972991043</v>
      </c>
      <c r="I394" s="304">
        <f>G394*('College Schedule'!$L$9)*(1+'Government Figures'!$B$8/12)^B394</f>
        <v>8534.088905530285</v>
      </c>
      <c r="J394" s="304">
        <f t="shared" ca="1" si="44"/>
        <v>3223.7919714848686</v>
      </c>
      <c r="K394" s="304">
        <f t="shared" ca="1" si="40"/>
        <v>913.31526844838243</v>
      </c>
      <c r="L394" s="278">
        <v>1</v>
      </c>
      <c r="M394" s="279">
        <f t="shared" si="47"/>
        <v>0.13735784313725496</v>
      </c>
      <c r="N394" s="304">
        <f>L394*('College Schedule'!$L$10)*(1+'Government Figures'!$B$8/12)^B394</f>
        <v>5120.4533433181723</v>
      </c>
      <c r="O394" s="304">
        <f t="shared" si="45"/>
        <v>584.93565112118813</v>
      </c>
      <c r="P394" s="304">
        <f t="shared" si="41"/>
        <v>165.71499214408436</v>
      </c>
      <c r="Q394" s="274"/>
      <c r="R394" s="281"/>
      <c r="S394" s="281"/>
      <c r="T394" s="281"/>
      <c r="U394" s="281"/>
      <c r="V394" s="281"/>
      <c r="W394" s="281"/>
      <c r="X394" s="281"/>
      <c r="Y394" s="281"/>
      <c r="Z394" s="281"/>
      <c r="AA394" s="281"/>
      <c r="AB394" s="281"/>
      <c r="AC394" s="281"/>
      <c r="AD394" s="281"/>
    </row>
    <row r="395" spans="1:30" s="288" customFormat="1" x14ac:dyDescent="0.25">
      <c r="A395" s="287"/>
      <c r="B395" s="274">
        <f t="shared" si="42"/>
        <v>380</v>
      </c>
      <c r="C395" s="304">
        <f t="shared" ca="1" si="48"/>
        <v>0</v>
      </c>
      <c r="D395" s="304">
        <f ca="1">IF(ROUND(E394,0)&lt;&gt;0, IF(ROUND(D394,0)&lt;&gt;0, 'Career Comparison'!$F$28-C395, 0), 0)</f>
        <v>0</v>
      </c>
      <c r="E395" s="304">
        <f ca="1">IF(G$7&gt;=B395, E394*(1+'Government Figures'!$D$8/12)-'Career Comparison'!$F$28, 0)</f>
        <v>0</v>
      </c>
      <c r="F395" s="312">
        <f>'College Schedule'!$L$8*(1+'Government Figures'!$B$8/12)^B395</f>
        <v>3838.5702371823104</v>
      </c>
      <c r="G395" s="278">
        <v>1</v>
      </c>
      <c r="H395" s="279">
        <f t="shared" ca="1" si="46"/>
        <v>0.17320110972991043</v>
      </c>
      <c r="I395" s="304">
        <f>G395*('College Schedule'!$L$9)*(1+'Government Figures'!$B$8/12)^B395</f>
        <v>8548.3123870395029</v>
      </c>
      <c r="J395" s="304">
        <f t="shared" ca="1" si="44"/>
        <v>3229.1649581040115</v>
      </c>
      <c r="K395" s="304">
        <f t="shared" ca="1" si="40"/>
        <v>911.79813345096011</v>
      </c>
      <c r="L395" s="278">
        <v>1</v>
      </c>
      <c r="M395" s="279">
        <f t="shared" si="47"/>
        <v>0.13735784313725496</v>
      </c>
      <c r="N395" s="304">
        <f>L395*('College Schedule'!$L$10)*(1+'Government Figures'!$B$8/12)^B395</f>
        <v>5128.9874322237019</v>
      </c>
      <c r="O395" s="304">
        <f t="shared" si="45"/>
        <v>585.91054387305621</v>
      </c>
      <c r="P395" s="304">
        <f t="shared" si="41"/>
        <v>165.43971807075516</v>
      </c>
      <c r="Q395" s="274"/>
      <c r="R395" s="281"/>
      <c r="S395" s="281"/>
      <c r="T395" s="281"/>
      <c r="U395" s="281"/>
      <c r="V395" s="281"/>
      <c r="W395" s="281"/>
      <c r="X395" s="281"/>
      <c r="Y395" s="281"/>
      <c r="Z395" s="281"/>
      <c r="AA395" s="281"/>
      <c r="AB395" s="281"/>
      <c r="AC395" s="281"/>
      <c r="AD395" s="281"/>
    </row>
    <row r="396" spans="1:30" s="288" customFormat="1" x14ac:dyDescent="0.25">
      <c r="A396" s="287"/>
      <c r="B396" s="274">
        <f t="shared" si="42"/>
        <v>381</v>
      </c>
      <c r="C396" s="304">
        <f t="shared" ca="1" si="48"/>
        <v>0</v>
      </c>
      <c r="D396" s="304">
        <f ca="1">IF(ROUND(E395,0)&lt;&gt;0, IF(ROUND(D395,0)&lt;&gt;0, 'Career Comparison'!$F$28-C396, 0), 0)</f>
        <v>0</v>
      </c>
      <c r="E396" s="304">
        <f ca="1">IF(G$7&gt;=B396, E395*(1+'Government Figures'!$D$8/12)-'Career Comparison'!$F$28, 0)</f>
        <v>0</v>
      </c>
      <c r="F396" s="312">
        <f>'College Schedule'!$L$8*(1+'Government Figures'!$B$8/12)^B396</f>
        <v>3844.9678542442821</v>
      </c>
      <c r="G396" s="278">
        <v>1</v>
      </c>
      <c r="H396" s="279">
        <f t="shared" ca="1" si="46"/>
        <v>0.17320110972991043</v>
      </c>
      <c r="I396" s="304">
        <f>G396*('College Schedule'!$L$9)*(1+'Government Figures'!$B$8/12)^B396</f>
        <v>8562.5595743512367</v>
      </c>
      <c r="J396" s="304">
        <f t="shared" ca="1" si="44"/>
        <v>3234.5468997008506</v>
      </c>
      <c r="K396" s="304">
        <f t="shared" ca="1" si="40"/>
        <v>910.28351861134047</v>
      </c>
      <c r="L396" s="278">
        <v>1</v>
      </c>
      <c r="M396" s="279">
        <f t="shared" si="47"/>
        <v>0.13735784313725496</v>
      </c>
      <c r="N396" s="304">
        <f>L396*('College Schedule'!$L$10)*(1+'Government Figures'!$B$8/12)^B396</f>
        <v>5137.5357446107428</v>
      </c>
      <c r="O396" s="304">
        <f t="shared" si="45"/>
        <v>586.887061446178</v>
      </c>
      <c r="P396" s="304">
        <f t="shared" si="41"/>
        <v>165.16490126332869</v>
      </c>
      <c r="Q396" s="274"/>
      <c r="R396" s="281"/>
      <c r="S396" s="281"/>
      <c r="T396" s="281"/>
      <c r="U396" s="281"/>
      <c r="V396" s="281"/>
      <c r="W396" s="281"/>
      <c r="X396" s="281"/>
      <c r="Y396" s="281"/>
      <c r="Z396" s="281"/>
      <c r="AA396" s="281"/>
      <c r="AB396" s="281"/>
      <c r="AC396" s="281"/>
      <c r="AD396" s="281"/>
    </row>
    <row r="397" spans="1:30" s="288" customFormat="1" x14ac:dyDescent="0.25">
      <c r="A397" s="287"/>
      <c r="B397" s="274">
        <f t="shared" si="42"/>
        <v>382</v>
      </c>
      <c r="C397" s="304">
        <f t="shared" ca="1" si="48"/>
        <v>0</v>
      </c>
      <c r="D397" s="304">
        <f ca="1">IF(ROUND(E396,0)&lt;&gt;0, IF(ROUND(D396,0)&lt;&gt;0, 'Career Comparison'!$F$28-C397, 0), 0)</f>
        <v>0</v>
      </c>
      <c r="E397" s="304">
        <f ca="1">IF(G$7&gt;=B397, E396*(1+'Government Figures'!$D$8/12)-'Career Comparison'!$F$28, 0)</f>
        <v>0</v>
      </c>
      <c r="F397" s="312">
        <f>'College Schedule'!$L$8*(1+'Government Figures'!$B$8/12)^B397</f>
        <v>3851.3761340013557</v>
      </c>
      <c r="G397" s="278">
        <v>1</v>
      </c>
      <c r="H397" s="279">
        <f t="shared" ca="1" si="46"/>
        <v>0.17320110972991043</v>
      </c>
      <c r="I397" s="304">
        <f>G397*('College Schedule'!$L$9)*(1+'Government Figures'!$B$8/12)^B397</f>
        <v>8576.830506975155</v>
      </c>
      <c r="J397" s="304">
        <f t="shared" ca="1" si="44"/>
        <v>3239.9378112003519</v>
      </c>
      <c r="K397" s="304">
        <f t="shared" ca="1" si="40"/>
        <v>908.77141974321512</v>
      </c>
      <c r="L397" s="278">
        <v>1</v>
      </c>
      <c r="M397" s="279">
        <f t="shared" si="47"/>
        <v>0.13735784313725496</v>
      </c>
      <c r="N397" s="304">
        <f>L397*('College Schedule'!$L$10)*(1+'Government Figures'!$B$8/12)^B397</f>
        <v>5146.0983041850941</v>
      </c>
      <c r="O397" s="304">
        <f t="shared" si="45"/>
        <v>587.86520654858805</v>
      </c>
      <c r="P397" s="304">
        <f t="shared" si="41"/>
        <v>164.89054096222671</v>
      </c>
      <c r="Q397" s="274"/>
      <c r="R397" s="281"/>
      <c r="S397" s="281"/>
      <c r="T397" s="281"/>
      <c r="U397" s="281"/>
      <c r="V397" s="281"/>
      <c r="W397" s="281"/>
      <c r="X397" s="281"/>
      <c r="Y397" s="281"/>
      <c r="Z397" s="281"/>
      <c r="AA397" s="281"/>
      <c r="AB397" s="281"/>
      <c r="AC397" s="281"/>
      <c r="AD397" s="281"/>
    </row>
    <row r="398" spans="1:30" s="288" customFormat="1" x14ac:dyDescent="0.25">
      <c r="A398" s="287"/>
      <c r="B398" s="274">
        <f t="shared" si="42"/>
        <v>383</v>
      </c>
      <c r="C398" s="304">
        <f t="shared" ca="1" si="48"/>
        <v>0</v>
      </c>
      <c r="D398" s="304">
        <f ca="1">IF(ROUND(E397,0)&lt;&gt;0, IF(ROUND(D397,0)&lt;&gt;0, 'Career Comparison'!$F$28-C398, 0), 0)</f>
        <v>0</v>
      </c>
      <c r="E398" s="304">
        <f ca="1">IF(G$7&gt;=B398, E397*(1+'Government Figures'!$D$8/12)-'Career Comparison'!$F$28, 0)</f>
        <v>0</v>
      </c>
      <c r="F398" s="312">
        <f>'College Schedule'!$L$8*(1+'Government Figures'!$B$8/12)^B398</f>
        <v>3857.7950942246925</v>
      </c>
      <c r="G398" s="278">
        <v>1</v>
      </c>
      <c r="H398" s="279">
        <f t="shared" ca="1" si="46"/>
        <v>0.17320110972991043</v>
      </c>
      <c r="I398" s="304">
        <f>G398*('College Schedule'!$L$9)*(1+'Government Figures'!$B$8/12)^B398</f>
        <v>8591.1252244867828</v>
      </c>
      <c r="J398" s="304">
        <f t="shared" ca="1" si="44"/>
        <v>3245.337707552354</v>
      </c>
      <c r="K398" s="304">
        <f t="shared" ca="1" si="40"/>
        <v>907.2618326672299</v>
      </c>
      <c r="L398" s="278">
        <v>1</v>
      </c>
      <c r="M398" s="279">
        <f t="shared" si="47"/>
        <v>0.13735784313725496</v>
      </c>
      <c r="N398" s="304">
        <f>L398*('College Schedule'!$L$10)*(1+'Government Figures'!$B$8/12)^B398</f>
        <v>5154.675134692071</v>
      </c>
      <c r="O398" s="304">
        <f t="shared" si="45"/>
        <v>588.84498189283659</v>
      </c>
      <c r="P398" s="304">
        <f t="shared" si="41"/>
        <v>164.61663640913352</v>
      </c>
      <c r="Q398" s="274"/>
      <c r="R398" s="281"/>
      <c r="S398" s="281"/>
      <c r="T398" s="281"/>
      <c r="U398" s="281"/>
      <c r="V398" s="281"/>
      <c r="W398" s="281"/>
      <c r="X398" s="281"/>
      <c r="Y398" s="281"/>
      <c r="Z398" s="281"/>
      <c r="AA398" s="281"/>
      <c r="AB398" s="281"/>
      <c r="AC398" s="281"/>
      <c r="AD398" s="281"/>
    </row>
    <row r="399" spans="1:30" s="288" customFormat="1" x14ac:dyDescent="0.25">
      <c r="A399" s="287"/>
      <c r="B399" s="274">
        <f t="shared" si="42"/>
        <v>384</v>
      </c>
      <c r="C399" s="304">
        <f t="shared" ca="1" si="48"/>
        <v>0</v>
      </c>
      <c r="D399" s="304">
        <f ca="1">IF(ROUND(E398,0)&lt;&gt;0, IF(ROUND(D398,0)&lt;&gt;0, 'Career Comparison'!$F$28-C399, 0), 0)</f>
        <v>0</v>
      </c>
      <c r="E399" s="304">
        <f ca="1">IF(G$7&gt;=B399, E398*(1+'Government Figures'!$D$8/12)-'Career Comparison'!$F$28, 0)</f>
        <v>0</v>
      </c>
      <c r="F399" s="312">
        <f>'College Schedule'!$L$8*(1+'Government Figures'!$B$8/12)^B399</f>
        <v>3864.2247527150671</v>
      </c>
      <c r="G399" s="278">
        <v>1</v>
      </c>
      <c r="H399" s="279">
        <f t="shared" ca="1" si="46"/>
        <v>0.17320110972991043</v>
      </c>
      <c r="I399" s="304">
        <f>G399*('College Schedule'!$L$9)*(1+'Government Figures'!$B$8/12)^B399</f>
        <v>8605.4437665275946</v>
      </c>
      <c r="J399" s="304">
        <f t="shared" ca="1" si="44"/>
        <v>3250.7466037316076</v>
      </c>
      <c r="K399" s="304">
        <f t="shared" ref="K399:K462" ca="1" si="49">J399/(1+($G$9/12))^B399</f>
        <v>905.7547532109719</v>
      </c>
      <c r="L399" s="278">
        <v>1</v>
      </c>
      <c r="M399" s="279">
        <f t="shared" si="47"/>
        <v>0.13735784313725496</v>
      </c>
      <c r="N399" s="304">
        <f>L399*('College Schedule'!$L$10)*(1+'Government Figures'!$B$8/12)^B399</f>
        <v>5163.2662599165578</v>
      </c>
      <c r="O399" s="304">
        <f t="shared" si="45"/>
        <v>589.82639019599128</v>
      </c>
      <c r="P399" s="304">
        <f t="shared" ref="P399:P462" si="50">O399/(1+($G$9/12))^B399</f>
        <v>164.34318684699207</v>
      </c>
      <c r="Q399" s="274"/>
      <c r="R399" s="281"/>
      <c r="S399" s="281"/>
      <c r="T399" s="281"/>
      <c r="U399" s="281"/>
      <c r="V399" s="281"/>
      <c r="W399" s="281"/>
      <c r="X399" s="281"/>
      <c r="Y399" s="281"/>
      <c r="Z399" s="281"/>
      <c r="AA399" s="281"/>
      <c r="AB399" s="281"/>
      <c r="AC399" s="281"/>
      <c r="AD399" s="281"/>
    </row>
    <row r="400" spans="1:30" s="288" customFormat="1" x14ac:dyDescent="0.25">
      <c r="A400" s="287"/>
      <c r="B400" s="274">
        <f t="shared" ref="B400:B463" si="51">B399+1</f>
        <v>385</v>
      </c>
      <c r="C400" s="304">
        <f t="shared" ca="1" si="48"/>
        <v>0</v>
      </c>
      <c r="D400" s="304">
        <f ca="1">IF(ROUND(E399,0)&lt;&gt;0, IF(ROUND(D399,0)&lt;&gt;0, 'Career Comparison'!$F$28-C400, 0), 0)</f>
        <v>0</v>
      </c>
      <c r="E400" s="304">
        <f ca="1">IF(G$7&gt;=B400, E399*(1+'Government Figures'!$D$8/12)-'Career Comparison'!$F$28, 0)</f>
        <v>0</v>
      </c>
      <c r="F400" s="312">
        <f>'College Schedule'!$L$8*(1+'Government Figures'!$B$8/12)^B400</f>
        <v>3870.6651273029256</v>
      </c>
      <c r="G400" s="278">
        <v>1</v>
      </c>
      <c r="H400" s="279">
        <f t="shared" ca="1" si="46"/>
        <v>0.17320110972991043</v>
      </c>
      <c r="I400" s="304">
        <f>G400*('College Schedule'!$L$9)*(1+'Government Figures'!$B$8/12)^B400</f>
        <v>8619.7861728051412</v>
      </c>
      <c r="J400" s="304">
        <f t="shared" ref="J400:J463" ca="1" si="52">I400*(1-H400)-F400-C400-D400</f>
        <v>3256.1645147378276</v>
      </c>
      <c r="K400" s="304">
        <f t="shared" ca="1" si="49"/>
        <v>904.25017720896039</v>
      </c>
      <c r="L400" s="278">
        <v>1</v>
      </c>
      <c r="M400" s="279">
        <f t="shared" si="47"/>
        <v>0.13735784313725496</v>
      </c>
      <c r="N400" s="304">
        <f>L400*('College Schedule'!$L$10)*(1+'Government Figures'!$B$8/12)^B400</f>
        <v>5171.8717036830858</v>
      </c>
      <c r="O400" s="304">
        <f t="shared" ref="O400:O463" si="53">N400*(1-M400)-F400</f>
        <v>590.80943417965136</v>
      </c>
      <c r="P400" s="304">
        <f t="shared" si="50"/>
        <v>164.07019152000373</v>
      </c>
      <c r="Q400" s="274"/>
      <c r="R400" s="281"/>
      <c r="S400" s="281"/>
      <c r="T400" s="281"/>
      <c r="U400" s="281"/>
      <c r="V400" s="281"/>
      <c r="W400" s="281"/>
      <c r="X400" s="281"/>
      <c r="Y400" s="281"/>
      <c r="Z400" s="281"/>
      <c r="AA400" s="281"/>
      <c r="AB400" s="281"/>
      <c r="AC400" s="281"/>
      <c r="AD400" s="281"/>
    </row>
    <row r="401" spans="1:30" s="288" customFormat="1" x14ac:dyDescent="0.25">
      <c r="A401" s="287"/>
      <c r="B401" s="274">
        <f t="shared" si="51"/>
        <v>386</v>
      </c>
      <c r="C401" s="304">
        <f t="shared" ca="1" si="48"/>
        <v>0</v>
      </c>
      <c r="D401" s="304">
        <f ca="1">IF(ROUND(E400,0)&lt;&gt;0, IF(ROUND(D400,0)&lt;&gt;0, 'Career Comparison'!$F$28-C401, 0), 0)</f>
        <v>0</v>
      </c>
      <c r="E401" s="304">
        <f ca="1">IF(G$7&gt;=B401, E400*(1+'Government Figures'!$D$8/12)-'Career Comparison'!$F$28, 0)</f>
        <v>0</v>
      </c>
      <c r="F401" s="312">
        <f>'College Schedule'!$L$8*(1+'Government Figures'!$B$8/12)^B401</f>
        <v>3877.1162358484307</v>
      </c>
      <c r="G401" s="278">
        <v>1</v>
      </c>
      <c r="H401" s="279">
        <f t="shared" ca="1" si="46"/>
        <v>0.17320110972991043</v>
      </c>
      <c r="I401" s="304">
        <f>G401*('College Schedule'!$L$9)*(1+'Government Figures'!$B$8/12)^B401</f>
        <v>8634.1524830931503</v>
      </c>
      <c r="J401" s="304">
        <f t="shared" ca="1" si="52"/>
        <v>3261.5914555957243</v>
      </c>
      <c r="K401" s="304">
        <f t="shared" ca="1" si="49"/>
        <v>902.74810050263329</v>
      </c>
      <c r="L401" s="278">
        <v>1</v>
      </c>
      <c r="M401" s="279">
        <f t="shared" si="47"/>
        <v>0.13735784313725496</v>
      </c>
      <c r="N401" s="304">
        <f>L401*('College Schedule'!$L$10)*(1+'Government Figures'!$B$8/12)^B401</f>
        <v>5180.4914898558909</v>
      </c>
      <c r="O401" s="304">
        <f t="shared" si="53"/>
        <v>591.79411656995035</v>
      </c>
      <c r="P401" s="304">
        <f t="shared" si="50"/>
        <v>163.79764967362485</v>
      </c>
      <c r="Q401" s="274"/>
      <c r="R401" s="281"/>
      <c r="S401" s="281"/>
      <c r="T401" s="281"/>
      <c r="U401" s="281"/>
      <c r="V401" s="281"/>
      <c r="W401" s="281"/>
      <c r="X401" s="281"/>
      <c r="Y401" s="281"/>
      <c r="Z401" s="281"/>
      <c r="AA401" s="281"/>
      <c r="AB401" s="281"/>
      <c r="AC401" s="281"/>
      <c r="AD401" s="281"/>
    </row>
    <row r="402" spans="1:30" s="288" customFormat="1" x14ac:dyDescent="0.25">
      <c r="A402" s="287"/>
      <c r="B402" s="274">
        <f t="shared" si="51"/>
        <v>387</v>
      </c>
      <c r="C402" s="304">
        <f t="shared" ca="1" si="48"/>
        <v>0</v>
      </c>
      <c r="D402" s="304">
        <f ca="1">IF(ROUND(E401,0)&lt;&gt;0, IF(ROUND(D401,0)&lt;&gt;0, 'Career Comparison'!$F$28-C402, 0), 0)</f>
        <v>0</v>
      </c>
      <c r="E402" s="304">
        <f ca="1">IF(G$7&gt;=B402, E401*(1+'Government Figures'!$D$8/12)-'Career Comparison'!$F$28, 0)</f>
        <v>0</v>
      </c>
      <c r="F402" s="312">
        <f>'College Schedule'!$L$8*(1+'Government Figures'!$B$8/12)^B402</f>
        <v>3883.578096241511</v>
      </c>
      <c r="G402" s="278">
        <v>1</v>
      </c>
      <c r="H402" s="279">
        <f t="shared" ref="H402:H465" ca="1" si="54">H401</f>
        <v>0.17320110972991043</v>
      </c>
      <c r="I402" s="304">
        <f>G402*('College Schedule'!$L$9)*(1+'Government Figures'!$B$8/12)^B402</f>
        <v>8648.542737231639</v>
      </c>
      <c r="J402" s="304">
        <f t="shared" ca="1" si="52"/>
        <v>3267.0274413550505</v>
      </c>
      <c r="K402" s="304">
        <f t="shared" ca="1" si="49"/>
        <v>901.24851894033634</v>
      </c>
      <c r="L402" s="278">
        <v>1</v>
      </c>
      <c r="M402" s="279">
        <f t="shared" ref="M402:M465" si="55">M401</f>
        <v>0.13735784313725496</v>
      </c>
      <c r="N402" s="304">
        <f>L402*('College Schedule'!$L$10)*(1+'Government Figures'!$B$8/12)^B402</f>
        <v>5189.1256423389841</v>
      </c>
      <c r="O402" s="304">
        <f t="shared" si="53"/>
        <v>592.78044009756741</v>
      </c>
      <c r="P402" s="304">
        <f t="shared" si="50"/>
        <v>163.52556055456577</v>
      </c>
      <c r="Q402" s="274"/>
      <c r="R402" s="281"/>
      <c r="S402" s="281"/>
      <c r="T402" s="281"/>
      <c r="U402" s="281"/>
      <c r="V402" s="281"/>
      <c r="W402" s="281"/>
      <c r="X402" s="281"/>
      <c r="Y402" s="281"/>
      <c r="Z402" s="281"/>
      <c r="AA402" s="281"/>
      <c r="AB402" s="281"/>
      <c r="AC402" s="281"/>
      <c r="AD402" s="281"/>
    </row>
    <row r="403" spans="1:30" s="288" customFormat="1" x14ac:dyDescent="0.25">
      <c r="A403" s="287"/>
      <c r="B403" s="274">
        <f t="shared" si="51"/>
        <v>388</v>
      </c>
      <c r="C403" s="304">
        <f t="shared" ca="1" si="48"/>
        <v>0</v>
      </c>
      <c r="D403" s="304">
        <f ca="1">IF(ROUND(E402,0)&lt;&gt;0, IF(ROUND(D402,0)&lt;&gt;0, 'Career Comparison'!$F$28-C403, 0), 0)</f>
        <v>0</v>
      </c>
      <c r="E403" s="304">
        <f ca="1">IF(G$7&gt;=B403, E402*(1+'Government Figures'!$D$8/12)-'Career Comparison'!$F$28, 0)</f>
        <v>0</v>
      </c>
      <c r="F403" s="312">
        <f>'College Schedule'!$L$8*(1+'Government Figures'!$B$8/12)^B403</f>
        <v>3890.0507264019147</v>
      </c>
      <c r="G403" s="278">
        <v>1</v>
      </c>
      <c r="H403" s="279">
        <f t="shared" ca="1" si="54"/>
        <v>0.17320110972991043</v>
      </c>
      <c r="I403" s="304">
        <f>G403*('College Schedule'!$L$9)*(1+'Government Figures'!$B$8/12)^B403</f>
        <v>8662.9569751270265</v>
      </c>
      <c r="J403" s="304">
        <f t="shared" ca="1" si="52"/>
        <v>3272.4724870906425</v>
      </c>
      <c r="K403" s="304">
        <f t="shared" ca="1" si="49"/>
        <v>899.75142837731255</v>
      </c>
      <c r="L403" s="278">
        <v>1</v>
      </c>
      <c r="M403" s="279">
        <f t="shared" si="55"/>
        <v>0.13735784313725496</v>
      </c>
      <c r="N403" s="304">
        <f>L403*('College Schedule'!$L$10)*(1+'Government Figures'!$B$8/12)^B403</f>
        <v>5197.7741850762168</v>
      </c>
      <c r="O403" s="304">
        <f t="shared" si="53"/>
        <v>593.7684074977301</v>
      </c>
      <c r="P403" s="304">
        <f t="shared" si="50"/>
        <v>163.25392341078745</v>
      </c>
      <c r="Q403" s="274"/>
      <c r="R403" s="281"/>
      <c r="S403" s="281"/>
      <c r="T403" s="281"/>
      <c r="U403" s="281"/>
      <c r="V403" s="281"/>
      <c r="W403" s="281"/>
      <c r="X403" s="281"/>
      <c r="Y403" s="281"/>
      <c r="Z403" s="281"/>
      <c r="AA403" s="281"/>
      <c r="AB403" s="281"/>
      <c r="AC403" s="281"/>
      <c r="AD403" s="281"/>
    </row>
    <row r="404" spans="1:30" s="288" customFormat="1" x14ac:dyDescent="0.25">
      <c r="A404" s="287"/>
      <c r="B404" s="274">
        <f t="shared" si="51"/>
        <v>389</v>
      </c>
      <c r="C404" s="304">
        <f t="shared" ca="1" si="48"/>
        <v>0</v>
      </c>
      <c r="D404" s="304">
        <f ca="1">IF(ROUND(E403,0)&lt;&gt;0, IF(ROUND(D403,0)&lt;&gt;0, 'Career Comparison'!$F$28-C404, 0), 0)</f>
        <v>0</v>
      </c>
      <c r="E404" s="304">
        <f ca="1">IF(G$7&gt;=B404, E403*(1+'Government Figures'!$D$8/12)-'Career Comparison'!$F$28, 0)</f>
        <v>0</v>
      </c>
      <c r="F404" s="312">
        <f>'College Schedule'!$L$8*(1+'Government Figures'!$B$8/12)^B404</f>
        <v>3896.534144279251</v>
      </c>
      <c r="G404" s="278">
        <v>1</v>
      </c>
      <c r="H404" s="279">
        <f t="shared" ca="1" si="54"/>
        <v>0.17320110972991043</v>
      </c>
      <c r="I404" s="304">
        <f>G404*('College Schedule'!$L$9)*(1+'Government Figures'!$B$8/12)^B404</f>
        <v>8677.3952367522379</v>
      </c>
      <c r="J404" s="304">
        <f t="shared" ca="1" si="52"/>
        <v>3277.9266079024605</v>
      </c>
      <c r="K404" s="304">
        <f t="shared" ca="1" si="49"/>
        <v>898.25682467568913</v>
      </c>
      <c r="L404" s="278">
        <v>1</v>
      </c>
      <c r="M404" s="279">
        <f t="shared" si="55"/>
        <v>0.13735784313725496</v>
      </c>
      <c r="N404" s="304">
        <f>L404*('College Schedule'!$L$10)*(1+'Government Figures'!$B$8/12)^B404</f>
        <v>5206.4371420513435</v>
      </c>
      <c r="O404" s="304">
        <f t="shared" si="53"/>
        <v>594.75802151022572</v>
      </c>
      <c r="P404" s="304">
        <f t="shared" si="50"/>
        <v>162.98273749150025</v>
      </c>
      <c r="Q404" s="274"/>
      <c r="R404" s="281"/>
      <c r="S404" s="281"/>
      <c r="T404" s="281"/>
      <c r="U404" s="281"/>
      <c r="V404" s="281"/>
      <c r="W404" s="281"/>
      <c r="X404" s="281"/>
      <c r="Y404" s="281"/>
      <c r="Z404" s="281"/>
      <c r="AA404" s="281"/>
      <c r="AB404" s="281"/>
      <c r="AC404" s="281"/>
      <c r="AD404" s="281"/>
    </row>
    <row r="405" spans="1:30" s="288" customFormat="1" x14ac:dyDescent="0.25">
      <c r="A405" s="287"/>
      <c r="B405" s="274">
        <f t="shared" si="51"/>
        <v>390</v>
      </c>
      <c r="C405" s="304">
        <f t="shared" ca="1" si="48"/>
        <v>0</v>
      </c>
      <c r="D405" s="304">
        <f ca="1">IF(ROUND(E404,0)&lt;&gt;0, IF(ROUND(D404,0)&lt;&gt;0, 'Career Comparison'!$F$28-C405, 0), 0)</f>
        <v>0</v>
      </c>
      <c r="E405" s="304">
        <f ca="1">IF(G$7&gt;=B405, E404*(1+'Government Figures'!$D$8/12)-'Career Comparison'!$F$28, 0)</f>
        <v>0</v>
      </c>
      <c r="F405" s="312">
        <f>'College Schedule'!$L$8*(1+'Government Figures'!$B$8/12)^B405</f>
        <v>3903.0283678530495</v>
      </c>
      <c r="G405" s="278">
        <v>1</v>
      </c>
      <c r="H405" s="279">
        <f t="shared" ca="1" si="54"/>
        <v>0.17320110972991043</v>
      </c>
      <c r="I405" s="304">
        <f>G405*('College Schedule'!$L$9)*(1+'Government Figures'!$B$8/12)^B405</f>
        <v>8691.8575621468244</v>
      </c>
      <c r="J405" s="304">
        <f t="shared" ca="1" si="52"/>
        <v>3283.3898189156307</v>
      </c>
      <c r="K405" s="304">
        <f t="shared" ca="1" si="49"/>
        <v>896.7647037044668</v>
      </c>
      <c r="L405" s="278">
        <v>1</v>
      </c>
      <c r="M405" s="279">
        <f t="shared" si="55"/>
        <v>0.13735784313725496</v>
      </c>
      <c r="N405" s="304">
        <f>L405*('College Schedule'!$L$10)*(1+'Government Figures'!$B$8/12)^B405</f>
        <v>5215.1145372880956</v>
      </c>
      <c r="O405" s="304">
        <f t="shared" si="53"/>
        <v>595.74928487940997</v>
      </c>
      <c r="P405" s="304">
        <f t="shared" si="50"/>
        <v>162.71200204716231</v>
      </c>
      <c r="Q405" s="274"/>
      <c r="R405" s="281"/>
      <c r="S405" s="281"/>
      <c r="T405" s="281"/>
      <c r="U405" s="281"/>
      <c r="V405" s="281"/>
      <c r="W405" s="281"/>
      <c r="X405" s="281"/>
      <c r="Y405" s="281"/>
      <c r="Z405" s="281"/>
      <c r="AA405" s="281"/>
      <c r="AB405" s="281"/>
      <c r="AC405" s="281"/>
      <c r="AD405" s="281"/>
    </row>
    <row r="406" spans="1:30" s="288" customFormat="1" x14ac:dyDescent="0.25">
      <c r="A406" s="287"/>
      <c r="B406" s="274">
        <f t="shared" si="51"/>
        <v>391</v>
      </c>
      <c r="C406" s="304">
        <f t="shared" ca="1" si="48"/>
        <v>0</v>
      </c>
      <c r="D406" s="304">
        <f ca="1">IF(ROUND(E405,0)&lt;&gt;0, IF(ROUND(D405,0)&lt;&gt;0, 'Career Comparison'!$F$28-C406, 0), 0)</f>
        <v>0</v>
      </c>
      <c r="E406" s="304">
        <f ca="1">IF(G$7&gt;=B406, E405*(1+'Government Figures'!$D$8/12)-'Career Comparison'!$F$28, 0)</f>
        <v>0</v>
      </c>
      <c r="F406" s="312">
        <f>'College Schedule'!$L$8*(1+'Government Figures'!$B$8/12)^B406</f>
        <v>3909.5334151328052</v>
      </c>
      <c r="G406" s="278">
        <v>1</v>
      </c>
      <c r="H406" s="279">
        <f t="shared" ca="1" si="54"/>
        <v>0.17320110972991043</v>
      </c>
      <c r="I406" s="304">
        <f>G406*('College Schedule'!$L$9)*(1+'Government Figures'!$B$8/12)^B406</f>
        <v>8706.3439914170704</v>
      </c>
      <c r="J406" s="304">
        <f t="shared" ca="1" si="52"/>
        <v>3288.8621352804912</v>
      </c>
      <c r="K406" s="304">
        <f t="shared" ca="1" si="49"/>
        <v>895.27506133950931</v>
      </c>
      <c r="L406" s="278">
        <v>1</v>
      </c>
      <c r="M406" s="279">
        <f t="shared" si="55"/>
        <v>0.13735784313725496</v>
      </c>
      <c r="N406" s="304">
        <f>L406*('College Schedule'!$L$10)*(1+'Government Figures'!$B$8/12)^B406</f>
        <v>5223.8063948502431</v>
      </c>
      <c r="O406" s="304">
        <f t="shared" si="53"/>
        <v>596.74220035420876</v>
      </c>
      <c r="P406" s="304">
        <f t="shared" si="50"/>
        <v>162.44171632947592</v>
      </c>
      <c r="Q406" s="274"/>
      <c r="R406" s="281"/>
      <c r="S406" s="281"/>
      <c r="T406" s="281"/>
      <c r="U406" s="281"/>
      <c r="V406" s="281"/>
      <c r="W406" s="281"/>
      <c r="X406" s="281"/>
      <c r="Y406" s="281"/>
      <c r="Z406" s="281"/>
      <c r="AA406" s="281"/>
      <c r="AB406" s="281"/>
      <c r="AC406" s="281"/>
      <c r="AD406" s="281"/>
    </row>
    <row r="407" spans="1:30" s="288" customFormat="1" x14ac:dyDescent="0.25">
      <c r="A407" s="287"/>
      <c r="B407" s="274">
        <f t="shared" si="51"/>
        <v>392</v>
      </c>
      <c r="C407" s="304">
        <f t="shared" ca="1" si="48"/>
        <v>0</v>
      </c>
      <c r="D407" s="304">
        <f ca="1">IF(ROUND(E406,0)&lt;&gt;0, IF(ROUND(D406,0)&lt;&gt;0, 'Career Comparison'!$F$28-C407, 0), 0)</f>
        <v>0</v>
      </c>
      <c r="E407" s="304">
        <f ca="1">IF(G$7&gt;=B407, E406*(1+'Government Figures'!$D$8/12)-'Career Comparison'!$F$28, 0)</f>
        <v>0</v>
      </c>
      <c r="F407" s="312">
        <f>'College Schedule'!$L$8*(1+'Government Figures'!$B$8/12)^B407</f>
        <v>3916.0493041580271</v>
      </c>
      <c r="G407" s="278">
        <v>1</v>
      </c>
      <c r="H407" s="279">
        <f t="shared" ca="1" si="54"/>
        <v>0.17320110972991043</v>
      </c>
      <c r="I407" s="304">
        <f>G407*('College Schedule'!$L$9)*(1+'Government Figures'!$B$8/12)^B407</f>
        <v>8720.8545647361007</v>
      </c>
      <c r="J407" s="304">
        <f t="shared" ca="1" si="52"/>
        <v>3294.343572172626</v>
      </c>
      <c r="K407" s="304">
        <f t="shared" ca="1" si="49"/>
        <v>893.78789346353039</v>
      </c>
      <c r="L407" s="278">
        <v>1</v>
      </c>
      <c r="M407" s="279">
        <f t="shared" si="55"/>
        <v>0.13735784313725496</v>
      </c>
      <c r="N407" s="304">
        <f>L407*('College Schedule'!$L$10)*(1+'Government Figures'!$B$8/12)^B407</f>
        <v>5232.5127388416604</v>
      </c>
      <c r="O407" s="304">
        <f t="shared" si="53"/>
        <v>597.73677068813186</v>
      </c>
      <c r="P407" s="304">
        <f t="shared" si="50"/>
        <v>162.17187959138695</v>
      </c>
      <c r="Q407" s="274"/>
      <c r="R407" s="281"/>
      <c r="S407" s="281"/>
      <c r="T407" s="281"/>
      <c r="U407" s="281"/>
      <c r="V407" s="281"/>
      <c r="W407" s="281"/>
      <c r="X407" s="281"/>
      <c r="Y407" s="281"/>
      <c r="Z407" s="281"/>
      <c r="AA407" s="281"/>
      <c r="AB407" s="281"/>
      <c r="AC407" s="281"/>
      <c r="AD407" s="281"/>
    </row>
    <row r="408" spans="1:30" s="288" customFormat="1" x14ac:dyDescent="0.25">
      <c r="A408" s="287"/>
      <c r="B408" s="274">
        <f t="shared" si="51"/>
        <v>393</v>
      </c>
      <c r="C408" s="304">
        <f t="shared" ca="1" si="48"/>
        <v>0</v>
      </c>
      <c r="D408" s="304">
        <f ca="1">IF(ROUND(E407,0)&lt;&gt;0, IF(ROUND(D407,0)&lt;&gt;0, 'Career Comparison'!$F$28-C408, 0), 0)</f>
        <v>0</v>
      </c>
      <c r="E408" s="304">
        <f ca="1">IF(G$7&gt;=B408, E407*(1+'Government Figures'!$D$8/12)-'Career Comparison'!$F$28, 0)</f>
        <v>0</v>
      </c>
      <c r="F408" s="312">
        <f>'College Schedule'!$L$8*(1+'Government Figures'!$B$8/12)^B408</f>
        <v>3922.5760529982904</v>
      </c>
      <c r="G408" s="278">
        <v>1</v>
      </c>
      <c r="H408" s="279">
        <f t="shared" ca="1" si="54"/>
        <v>0.17320110972991043</v>
      </c>
      <c r="I408" s="304">
        <f>G408*('College Schedule'!$L$9)*(1+'Government Figures'!$B$8/12)^B408</f>
        <v>8735.3893223439936</v>
      </c>
      <c r="J408" s="304">
        <f t="shared" ca="1" si="52"/>
        <v>3299.8341447929129</v>
      </c>
      <c r="K408" s="304">
        <f t="shared" ca="1" si="49"/>
        <v>892.3031959660824</v>
      </c>
      <c r="L408" s="278">
        <v>1</v>
      </c>
      <c r="M408" s="279">
        <f t="shared" si="55"/>
        <v>0.13735784313725496</v>
      </c>
      <c r="N408" s="304">
        <f>L408*('College Schedule'!$L$10)*(1+'Government Figures'!$B$8/12)^B408</f>
        <v>5241.2335934063967</v>
      </c>
      <c r="O408" s="304">
        <f t="shared" si="53"/>
        <v>598.73299863927923</v>
      </c>
      <c r="P408" s="304">
        <f t="shared" si="50"/>
        <v>161.90249108708244</v>
      </c>
      <c r="Q408" s="274"/>
      <c r="R408" s="281"/>
      <c r="S408" s="281"/>
      <c r="T408" s="281"/>
      <c r="U408" s="281"/>
      <c r="V408" s="281"/>
      <c r="W408" s="281"/>
      <c r="X408" s="281"/>
      <c r="Y408" s="281"/>
      <c r="Z408" s="281"/>
      <c r="AA408" s="281"/>
      <c r="AB408" s="281"/>
      <c r="AC408" s="281"/>
      <c r="AD408" s="281"/>
    </row>
    <row r="409" spans="1:30" s="288" customFormat="1" x14ac:dyDescent="0.25">
      <c r="A409" s="287"/>
      <c r="B409" s="274">
        <f t="shared" si="51"/>
        <v>394</v>
      </c>
      <c r="C409" s="304">
        <f t="shared" ca="1" si="48"/>
        <v>0</v>
      </c>
      <c r="D409" s="304">
        <f ca="1">IF(ROUND(E408,0)&lt;&gt;0, IF(ROUND(D408,0)&lt;&gt;0, 'Career Comparison'!$F$28-C409, 0), 0)</f>
        <v>0</v>
      </c>
      <c r="E409" s="304">
        <f ca="1">IF(G$7&gt;=B409, E408*(1+'Government Figures'!$D$8/12)-'Career Comparison'!$F$28, 0)</f>
        <v>0</v>
      </c>
      <c r="F409" s="312">
        <f>'College Schedule'!$L$8*(1+'Government Figures'!$B$8/12)^B409</f>
        <v>3929.1136797532877</v>
      </c>
      <c r="G409" s="278">
        <v>1</v>
      </c>
      <c r="H409" s="279">
        <f t="shared" ca="1" si="54"/>
        <v>0.17320110972991043</v>
      </c>
      <c r="I409" s="304">
        <f>G409*('College Schedule'!$L$9)*(1+'Government Figures'!$B$8/12)^B409</f>
        <v>8749.948304547901</v>
      </c>
      <c r="J409" s="304">
        <f t="shared" ca="1" si="52"/>
        <v>3305.3338683675688</v>
      </c>
      <c r="K409" s="304">
        <f t="shared" ca="1" si="49"/>
        <v>890.82096474354751</v>
      </c>
      <c r="L409" s="278">
        <v>1</v>
      </c>
      <c r="M409" s="279">
        <f t="shared" si="55"/>
        <v>0.13735784313725496</v>
      </c>
      <c r="N409" s="304">
        <f>L409*('College Schedule'!$L$10)*(1+'Government Figures'!$B$8/12)^B409</f>
        <v>5249.9689827287411</v>
      </c>
      <c r="O409" s="304">
        <f t="shared" si="53"/>
        <v>599.73088697034518</v>
      </c>
      <c r="P409" s="304">
        <f t="shared" si="50"/>
        <v>161.63355007198771</v>
      </c>
      <c r="Q409" s="274"/>
      <c r="R409" s="281"/>
      <c r="S409" s="281"/>
      <c r="T409" s="281"/>
      <c r="U409" s="281"/>
      <c r="V409" s="281"/>
      <c r="W409" s="281"/>
      <c r="X409" s="281"/>
      <c r="Y409" s="281"/>
      <c r="Z409" s="281"/>
      <c r="AA409" s="281"/>
      <c r="AB409" s="281"/>
      <c r="AC409" s="281"/>
      <c r="AD409" s="281"/>
    </row>
    <row r="410" spans="1:30" s="288" customFormat="1" x14ac:dyDescent="0.25">
      <c r="A410" s="287"/>
      <c r="B410" s="274">
        <f t="shared" si="51"/>
        <v>395</v>
      </c>
      <c r="C410" s="304">
        <f t="shared" ca="1" si="48"/>
        <v>0</v>
      </c>
      <c r="D410" s="304">
        <f ca="1">IF(ROUND(E409,0)&lt;&gt;0, IF(ROUND(D409,0)&lt;&gt;0, 'Career Comparison'!$F$28-C410, 0), 0)</f>
        <v>0</v>
      </c>
      <c r="E410" s="304">
        <f ca="1">IF(G$7&gt;=B410, E409*(1+'Government Figures'!$D$8/12)-'Career Comparison'!$F$28, 0)</f>
        <v>0</v>
      </c>
      <c r="F410" s="312">
        <f>'College Schedule'!$L$8*(1+'Government Figures'!$B$8/12)^B410</f>
        <v>3935.6622025528773</v>
      </c>
      <c r="G410" s="278">
        <v>1</v>
      </c>
      <c r="H410" s="279">
        <f t="shared" ca="1" si="54"/>
        <v>0.17320110972991043</v>
      </c>
      <c r="I410" s="304">
        <f>G410*('College Schedule'!$L$9)*(1+'Government Figures'!$B$8/12)^B410</f>
        <v>8764.5315517221479</v>
      </c>
      <c r="J410" s="304">
        <f t="shared" ca="1" si="52"/>
        <v>3310.8427581481806</v>
      </c>
      <c r="K410" s="304">
        <f t="shared" ca="1" si="49"/>
        <v>889.34119569912252</v>
      </c>
      <c r="L410" s="278">
        <v>1</v>
      </c>
      <c r="M410" s="279">
        <f t="shared" si="55"/>
        <v>0.13735784313725496</v>
      </c>
      <c r="N410" s="304">
        <f>L410*('College Schedule'!$L$10)*(1+'Government Figures'!$B$8/12)^B410</f>
        <v>5258.7189310332897</v>
      </c>
      <c r="O410" s="304">
        <f t="shared" si="53"/>
        <v>600.73043844862832</v>
      </c>
      <c r="P410" s="304">
        <f t="shared" si="50"/>
        <v>161.36505580276491</v>
      </c>
      <c r="Q410" s="274"/>
      <c r="R410" s="281"/>
      <c r="S410" s="281"/>
      <c r="T410" s="281"/>
      <c r="U410" s="281"/>
      <c r="V410" s="281"/>
      <c r="W410" s="281"/>
      <c r="X410" s="281"/>
      <c r="Y410" s="281"/>
      <c r="Z410" s="281"/>
      <c r="AA410" s="281"/>
      <c r="AB410" s="281"/>
      <c r="AC410" s="281"/>
      <c r="AD410" s="281"/>
    </row>
    <row r="411" spans="1:30" s="288" customFormat="1" x14ac:dyDescent="0.25">
      <c r="A411" s="287"/>
      <c r="B411" s="274">
        <f t="shared" si="51"/>
        <v>396</v>
      </c>
      <c r="C411" s="304">
        <f t="shared" ca="1" si="48"/>
        <v>0</v>
      </c>
      <c r="D411" s="304">
        <f ca="1">IF(ROUND(E410,0)&lt;&gt;0, IF(ROUND(D410,0)&lt;&gt;0, 'Career Comparison'!$F$28-C411, 0), 0)</f>
        <v>0</v>
      </c>
      <c r="E411" s="304">
        <f ca="1">IF(G$7&gt;=B411, E410*(1+'Government Figures'!$D$8/12)-'Career Comparison'!$F$28, 0)</f>
        <v>0</v>
      </c>
      <c r="F411" s="312">
        <f>'College Schedule'!$L$8*(1+'Government Figures'!$B$8/12)^B411</f>
        <v>3942.2216395571322</v>
      </c>
      <c r="G411" s="278">
        <v>1</v>
      </c>
      <c r="H411" s="279">
        <f t="shared" ca="1" si="54"/>
        <v>0.17320110972991043</v>
      </c>
      <c r="I411" s="304">
        <f>G411*('College Schedule'!$L$9)*(1+'Government Figures'!$B$8/12)^B411</f>
        <v>8779.1391043083513</v>
      </c>
      <c r="J411" s="304">
        <f t="shared" ca="1" si="52"/>
        <v>3316.3608294117612</v>
      </c>
      <c r="K411" s="304">
        <f t="shared" ca="1" si="49"/>
        <v>887.86388474281182</v>
      </c>
      <c r="L411" s="278">
        <v>1</v>
      </c>
      <c r="M411" s="279">
        <f t="shared" si="55"/>
        <v>0.13735784313725496</v>
      </c>
      <c r="N411" s="304">
        <f>L411*('College Schedule'!$L$10)*(1+'Government Figures'!$B$8/12)^B411</f>
        <v>5267.4834625850117</v>
      </c>
      <c r="O411" s="304">
        <f t="shared" si="53"/>
        <v>601.73165584604249</v>
      </c>
      <c r="P411" s="304">
        <f t="shared" si="50"/>
        <v>161.09700753731175</v>
      </c>
      <c r="Q411" s="274"/>
      <c r="R411" s="281"/>
      <c r="S411" s="281"/>
      <c r="T411" s="281"/>
      <c r="U411" s="281"/>
      <c r="V411" s="281"/>
      <c r="W411" s="281"/>
      <c r="X411" s="281"/>
      <c r="Y411" s="281"/>
      <c r="Z411" s="281"/>
      <c r="AA411" s="281"/>
      <c r="AB411" s="281"/>
      <c r="AC411" s="281"/>
      <c r="AD411" s="281"/>
    </row>
    <row r="412" spans="1:30" s="288" customFormat="1" x14ac:dyDescent="0.25">
      <c r="A412" s="287"/>
      <c r="B412" s="274">
        <f t="shared" si="51"/>
        <v>397</v>
      </c>
      <c r="C412" s="304">
        <f t="shared" ca="1" si="48"/>
        <v>0</v>
      </c>
      <c r="D412" s="304">
        <f ca="1">IF(ROUND(E411,0)&lt;&gt;0, IF(ROUND(D411,0)&lt;&gt;0, 'Career Comparison'!$F$28-C412, 0), 0)</f>
        <v>0</v>
      </c>
      <c r="E412" s="304">
        <f ca="1">IF(G$7&gt;=B412, E411*(1+'Government Figures'!$D$8/12)-'Career Comparison'!$F$28, 0)</f>
        <v>0</v>
      </c>
      <c r="F412" s="312">
        <f>'College Schedule'!$L$8*(1+'Government Figures'!$B$8/12)^B412</f>
        <v>3948.7920089563941</v>
      </c>
      <c r="G412" s="278">
        <v>1</v>
      </c>
      <c r="H412" s="279">
        <f t="shared" ca="1" si="54"/>
        <v>0.17320110972991043</v>
      </c>
      <c r="I412" s="304">
        <f>G412*('College Schedule'!$L$9)*(1+'Government Figures'!$B$8/12)^B412</f>
        <v>8793.7710028155325</v>
      </c>
      <c r="J412" s="304">
        <f t="shared" ca="1" si="52"/>
        <v>3321.888097460781</v>
      </c>
      <c r="K412" s="304">
        <f t="shared" ca="1" si="49"/>
        <v>886.38902779141188</v>
      </c>
      <c r="L412" s="278">
        <v>1</v>
      </c>
      <c r="M412" s="279">
        <f t="shared" si="55"/>
        <v>0.13735784313725496</v>
      </c>
      <c r="N412" s="304">
        <f>L412*('College Schedule'!$L$10)*(1+'Government Figures'!$B$8/12)^B412</f>
        <v>5276.2626016893209</v>
      </c>
      <c r="O412" s="304">
        <f t="shared" si="53"/>
        <v>602.73454193912039</v>
      </c>
      <c r="P412" s="304">
        <f t="shared" si="50"/>
        <v>160.82940453475842</v>
      </c>
      <c r="Q412" s="274"/>
      <c r="R412" s="281"/>
      <c r="S412" s="281"/>
      <c r="T412" s="281"/>
      <c r="U412" s="281"/>
      <c r="V412" s="281"/>
      <c r="W412" s="281"/>
      <c r="X412" s="281"/>
      <c r="Y412" s="281"/>
      <c r="Z412" s="281"/>
      <c r="AA412" s="281"/>
      <c r="AB412" s="281"/>
      <c r="AC412" s="281"/>
      <c r="AD412" s="281"/>
    </row>
    <row r="413" spans="1:30" s="288" customFormat="1" x14ac:dyDescent="0.25">
      <c r="A413" s="287"/>
      <c r="B413" s="274">
        <f t="shared" si="51"/>
        <v>398</v>
      </c>
      <c r="C413" s="304">
        <f t="shared" ca="1" si="48"/>
        <v>0</v>
      </c>
      <c r="D413" s="304">
        <f ca="1">IF(ROUND(E412,0)&lt;&gt;0, IF(ROUND(D412,0)&lt;&gt;0, 'Career Comparison'!$F$28-C413, 0), 0)</f>
        <v>0</v>
      </c>
      <c r="E413" s="304">
        <f ca="1">IF(G$7&gt;=B413, E412*(1+'Government Figures'!$D$8/12)-'Career Comparison'!$F$28, 0)</f>
        <v>0</v>
      </c>
      <c r="F413" s="312">
        <f>'College Schedule'!$L$8*(1+'Government Figures'!$B$8/12)^B413</f>
        <v>3955.3733289713223</v>
      </c>
      <c r="G413" s="278">
        <v>1</v>
      </c>
      <c r="H413" s="279">
        <f t="shared" ca="1" si="54"/>
        <v>0.17320110972991043</v>
      </c>
      <c r="I413" s="304">
        <f>G413*('College Schedule'!$L$9)*(1+'Government Figures'!$B$8/12)^B413</f>
        <v>8808.4272878202282</v>
      </c>
      <c r="J413" s="304">
        <f t="shared" ca="1" si="52"/>
        <v>3327.4245776232169</v>
      </c>
      <c r="K413" s="304">
        <f t="shared" ca="1" si="49"/>
        <v>884.91662076850275</v>
      </c>
      <c r="L413" s="278">
        <v>1</v>
      </c>
      <c r="M413" s="279">
        <f t="shared" si="55"/>
        <v>0.13735784313725496</v>
      </c>
      <c r="N413" s="304">
        <f>L413*('College Schedule'!$L$10)*(1+'Government Figures'!$B$8/12)^B413</f>
        <v>5285.0563726921373</v>
      </c>
      <c r="O413" s="304">
        <f t="shared" si="53"/>
        <v>603.73909950901862</v>
      </c>
      <c r="P413" s="304">
        <f t="shared" si="50"/>
        <v>160.56224605546467</v>
      </c>
      <c r="Q413" s="274"/>
      <c r="R413" s="281"/>
      <c r="S413" s="281"/>
      <c r="T413" s="281"/>
      <c r="U413" s="281"/>
      <c r="V413" s="281"/>
      <c r="W413" s="281"/>
      <c r="X413" s="281"/>
      <c r="Y413" s="281"/>
      <c r="Z413" s="281"/>
      <c r="AA413" s="281"/>
      <c r="AB413" s="281"/>
      <c r="AC413" s="281"/>
      <c r="AD413" s="281"/>
    </row>
    <row r="414" spans="1:30" s="288" customFormat="1" x14ac:dyDescent="0.25">
      <c r="A414" s="287"/>
      <c r="B414" s="274">
        <f t="shared" si="51"/>
        <v>399</v>
      </c>
      <c r="C414" s="304">
        <f t="shared" ca="1" si="48"/>
        <v>0</v>
      </c>
      <c r="D414" s="304">
        <f ca="1">IF(ROUND(E413,0)&lt;&gt;0, IF(ROUND(D413,0)&lt;&gt;0, 'Career Comparison'!$F$28-C414, 0), 0)</f>
        <v>0</v>
      </c>
      <c r="E414" s="304">
        <f ca="1">IF(G$7&gt;=B414, E413*(1+'Government Figures'!$D$8/12)-'Career Comparison'!$F$28, 0)</f>
        <v>0</v>
      </c>
      <c r="F414" s="312">
        <f>'College Schedule'!$L$8*(1+'Government Figures'!$B$8/12)^B414</f>
        <v>3961.9656178529408</v>
      </c>
      <c r="G414" s="278">
        <v>1</v>
      </c>
      <c r="H414" s="279">
        <f t="shared" ca="1" si="54"/>
        <v>0.17320110972991043</v>
      </c>
      <c r="I414" s="304">
        <f>G414*('College Schedule'!$L$9)*(1+'Government Figures'!$B$8/12)^B414</f>
        <v>8823.1079999665944</v>
      </c>
      <c r="J414" s="304">
        <f t="shared" ca="1" si="52"/>
        <v>3332.9702852525893</v>
      </c>
      <c r="K414" s="304">
        <f t="shared" ca="1" si="49"/>
        <v>883.44665960443535</v>
      </c>
      <c r="L414" s="278">
        <v>1</v>
      </c>
      <c r="M414" s="279">
        <f t="shared" si="55"/>
        <v>0.13735784313725496</v>
      </c>
      <c r="N414" s="304">
        <f>L414*('College Schedule'!$L$10)*(1+'Government Figures'!$B$8/12)^B414</f>
        <v>5293.8647999799568</v>
      </c>
      <c r="O414" s="304">
        <f t="shared" si="53"/>
        <v>604.74533134153307</v>
      </c>
      <c r="P414" s="304">
        <f t="shared" si="50"/>
        <v>160.29553136102021</v>
      </c>
      <c r="Q414" s="274"/>
      <c r="R414" s="281"/>
      <c r="S414" s="281"/>
      <c r="T414" s="281"/>
      <c r="U414" s="281"/>
      <c r="V414" s="281"/>
      <c r="W414" s="281"/>
      <c r="X414" s="281"/>
      <c r="Y414" s="281"/>
      <c r="Z414" s="281"/>
      <c r="AA414" s="281"/>
      <c r="AB414" s="281"/>
      <c r="AC414" s="281"/>
      <c r="AD414" s="281"/>
    </row>
    <row r="415" spans="1:30" s="288" customFormat="1" x14ac:dyDescent="0.25">
      <c r="A415" s="287"/>
      <c r="B415" s="274">
        <f t="shared" si="51"/>
        <v>400</v>
      </c>
      <c r="C415" s="304">
        <f t="shared" ca="1" si="48"/>
        <v>0</v>
      </c>
      <c r="D415" s="304">
        <f ca="1">IF(ROUND(E414,0)&lt;&gt;0, IF(ROUND(D414,0)&lt;&gt;0, 'Career Comparison'!$F$28-C415, 0), 0)</f>
        <v>0</v>
      </c>
      <c r="E415" s="304">
        <f ca="1">IF(G$7&gt;=B415, E414*(1+'Government Figures'!$D$8/12)-'Career Comparison'!$F$28, 0)</f>
        <v>0</v>
      </c>
      <c r="F415" s="312">
        <f>'College Schedule'!$L$8*(1+'Government Figures'!$B$8/12)^B415</f>
        <v>3968.5688938826966</v>
      </c>
      <c r="G415" s="278">
        <v>1</v>
      </c>
      <c r="H415" s="279">
        <f t="shared" ca="1" si="54"/>
        <v>0.17320110972991043</v>
      </c>
      <c r="I415" s="304">
        <f>G415*('College Schedule'!$L$9)*(1+'Government Figures'!$B$8/12)^B415</f>
        <v>8837.8131799665389</v>
      </c>
      <c r="J415" s="304">
        <f t="shared" ca="1" si="52"/>
        <v>3338.5252357280092</v>
      </c>
      <c r="K415" s="304">
        <f t="shared" ca="1" si="49"/>
        <v>881.97914023632154</v>
      </c>
      <c r="L415" s="278">
        <v>1</v>
      </c>
      <c r="M415" s="279">
        <f t="shared" si="55"/>
        <v>0.13735784313725496</v>
      </c>
      <c r="N415" s="304">
        <f>L415*('College Schedule'!$L$10)*(1+'Government Figures'!$B$8/12)^B415</f>
        <v>5302.6879079799246</v>
      </c>
      <c r="O415" s="304">
        <f t="shared" si="53"/>
        <v>605.75324022710311</v>
      </c>
      <c r="P415" s="304">
        <f t="shared" si="50"/>
        <v>160.02925971424133</v>
      </c>
      <c r="Q415" s="274"/>
      <c r="R415" s="281"/>
      <c r="S415" s="281"/>
      <c r="T415" s="281"/>
      <c r="U415" s="281"/>
      <c r="V415" s="281"/>
      <c r="W415" s="281"/>
      <c r="X415" s="281"/>
      <c r="Y415" s="281"/>
      <c r="Z415" s="281"/>
      <c r="AA415" s="281"/>
      <c r="AB415" s="281"/>
      <c r="AC415" s="281"/>
      <c r="AD415" s="281"/>
    </row>
    <row r="416" spans="1:30" s="288" customFormat="1" x14ac:dyDescent="0.25">
      <c r="A416" s="287"/>
      <c r="B416" s="274">
        <f t="shared" si="51"/>
        <v>401</v>
      </c>
      <c r="C416" s="304">
        <f t="shared" ca="1" si="48"/>
        <v>0</v>
      </c>
      <c r="D416" s="304">
        <f ca="1">IF(ROUND(E415,0)&lt;&gt;0, IF(ROUND(D415,0)&lt;&gt;0, 'Career Comparison'!$F$28-C416, 0), 0)</f>
        <v>0</v>
      </c>
      <c r="E416" s="304">
        <f ca="1">IF(G$7&gt;=B416, E415*(1+'Government Figures'!$D$8/12)-'Career Comparison'!$F$28, 0)</f>
        <v>0</v>
      </c>
      <c r="F416" s="312">
        <f>'College Schedule'!$L$8*(1+'Government Figures'!$B$8/12)^B416</f>
        <v>3975.183175372501</v>
      </c>
      <c r="G416" s="278">
        <v>1</v>
      </c>
      <c r="H416" s="279">
        <f t="shared" ca="1" si="54"/>
        <v>0.17320110972991043</v>
      </c>
      <c r="I416" s="304">
        <f>G416*('College Schedule'!$L$9)*(1+'Government Figures'!$B$8/12)^B416</f>
        <v>8852.5428685998177</v>
      </c>
      <c r="J416" s="304">
        <f t="shared" ca="1" si="52"/>
        <v>3344.0894444542237</v>
      </c>
      <c r="K416" s="304">
        <f t="shared" ca="1" si="49"/>
        <v>880.51405860802197</v>
      </c>
      <c r="L416" s="278">
        <v>1</v>
      </c>
      <c r="M416" s="279">
        <f t="shared" si="55"/>
        <v>0.13735784313725496</v>
      </c>
      <c r="N416" s="304">
        <f>L416*('College Schedule'!$L$10)*(1+'Government Figures'!$B$8/12)^B416</f>
        <v>5311.525721159891</v>
      </c>
      <c r="O416" s="304">
        <f t="shared" si="53"/>
        <v>606.76282896081466</v>
      </c>
      <c r="P416" s="304">
        <f t="shared" si="50"/>
        <v>159.76343037916772</v>
      </c>
      <c r="Q416" s="274"/>
      <c r="R416" s="281"/>
      <c r="S416" s="281"/>
      <c r="T416" s="281"/>
      <c r="U416" s="281"/>
      <c r="V416" s="281"/>
      <c r="W416" s="281"/>
      <c r="X416" s="281"/>
      <c r="Y416" s="281"/>
      <c r="Z416" s="281"/>
      <c r="AA416" s="281"/>
      <c r="AB416" s="281"/>
      <c r="AC416" s="281"/>
      <c r="AD416" s="281"/>
    </row>
    <row r="417" spans="1:30" s="288" customFormat="1" x14ac:dyDescent="0.25">
      <c r="A417" s="287"/>
      <c r="B417" s="274">
        <f t="shared" si="51"/>
        <v>402</v>
      </c>
      <c r="C417" s="304">
        <f t="shared" ca="1" si="48"/>
        <v>0</v>
      </c>
      <c r="D417" s="304">
        <f ca="1">IF(ROUND(E416,0)&lt;&gt;0, IF(ROUND(D416,0)&lt;&gt;0, 'Career Comparison'!$F$28-C417, 0), 0)</f>
        <v>0</v>
      </c>
      <c r="E417" s="304">
        <f ca="1">IF(G$7&gt;=B417, E416*(1+'Government Figures'!$D$8/12)-'Career Comparison'!$F$28, 0)</f>
        <v>0</v>
      </c>
      <c r="F417" s="312">
        <f>'College Schedule'!$L$8*(1+'Government Figures'!$B$8/12)^B417</f>
        <v>3981.8084806647889</v>
      </c>
      <c r="G417" s="278">
        <v>1</v>
      </c>
      <c r="H417" s="279">
        <f t="shared" ca="1" si="54"/>
        <v>0.17320110972991043</v>
      </c>
      <c r="I417" s="304">
        <f>G417*('College Schedule'!$L$9)*(1+'Government Figures'!$B$8/12)^B417</f>
        <v>8867.2971067141516</v>
      </c>
      <c r="J417" s="304">
        <f t="shared" ca="1" si="52"/>
        <v>3349.6629268616475</v>
      </c>
      <c r="K417" s="304">
        <f t="shared" ca="1" si="49"/>
        <v>879.05141067013506</v>
      </c>
      <c r="L417" s="278">
        <v>1</v>
      </c>
      <c r="M417" s="279">
        <f t="shared" si="55"/>
        <v>0.13735784313725496</v>
      </c>
      <c r="N417" s="304">
        <f>L417*('College Schedule'!$L$10)*(1+'Government Figures'!$B$8/12)^B417</f>
        <v>5320.3782640284917</v>
      </c>
      <c r="O417" s="304">
        <f t="shared" si="53"/>
        <v>607.77410034241666</v>
      </c>
      <c r="P417" s="304">
        <f t="shared" si="50"/>
        <v>159.49804262106295</v>
      </c>
      <c r="Q417" s="274"/>
      <c r="R417" s="281"/>
      <c r="S417" s="281"/>
      <c r="T417" s="281"/>
      <c r="U417" s="281"/>
      <c r="V417" s="281"/>
      <c r="W417" s="281"/>
      <c r="X417" s="281"/>
      <c r="Y417" s="281"/>
      <c r="Z417" s="281"/>
      <c r="AA417" s="281"/>
      <c r="AB417" s="281"/>
      <c r="AC417" s="281"/>
      <c r="AD417" s="281"/>
    </row>
    <row r="418" spans="1:30" s="288" customFormat="1" x14ac:dyDescent="0.25">
      <c r="A418" s="287"/>
      <c r="B418" s="274">
        <f t="shared" si="51"/>
        <v>403</v>
      </c>
      <c r="C418" s="304">
        <f t="shared" ca="1" si="48"/>
        <v>0</v>
      </c>
      <c r="D418" s="304">
        <f ca="1">IF(ROUND(E417,0)&lt;&gt;0, IF(ROUND(D417,0)&lt;&gt;0, 'Career Comparison'!$F$28-C418, 0), 0)</f>
        <v>0</v>
      </c>
      <c r="E418" s="304">
        <f ca="1">IF(G$7&gt;=B418, E417*(1+'Government Figures'!$D$8/12)-'Career Comparison'!$F$28, 0)</f>
        <v>0</v>
      </c>
      <c r="F418" s="312">
        <f>'College Schedule'!$L$8*(1+'Government Figures'!$B$8/12)^B418</f>
        <v>3988.444828132564</v>
      </c>
      <c r="G418" s="278">
        <v>1</v>
      </c>
      <c r="H418" s="279">
        <f t="shared" ca="1" si="54"/>
        <v>0.17320110972991043</v>
      </c>
      <c r="I418" s="304">
        <f>G418*('College Schedule'!$L$9)*(1+'Government Figures'!$B$8/12)^B418</f>
        <v>8882.0759352253426</v>
      </c>
      <c r="J418" s="304">
        <f t="shared" ca="1" si="52"/>
        <v>3355.2456984064174</v>
      </c>
      <c r="K418" s="304">
        <f t="shared" ca="1" si="49"/>
        <v>877.59119237998527</v>
      </c>
      <c r="L418" s="278">
        <v>1</v>
      </c>
      <c r="M418" s="279">
        <f t="shared" si="55"/>
        <v>0.13735784313725496</v>
      </c>
      <c r="N418" s="304">
        <f>L418*('College Schedule'!$L$10)*(1+'Government Figures'!$B$8/12)^B418</f>
        <v>5329.2455611352061</v>
      </c>
      <c r="O418" s="304">
        <f t="shared" si="53"/>
        <v>608.78705717632056</v>
      </c>
      <c r="P418" s="304">
        <f t="shared" si="50"/>
        <v>159.23309570640996</v>
      </c>
      <c r="Q418" s="274"/>
      <c r="R418" s="281"/>
      <c r="S418" s="281"/>
      <c r="T418" s="281"/>
      <c r="U418" s="281"/>
      <c r="V418" s="281"/>
      <c r="W418" s="281"/>
      <c r="X418" s="281"/>
      <c r="Y418" s="281"/>
      <c r="Z418" s="281"/>
      <c r="AA418" s="281"/>
      <c r="AB418" s="281"/>
      <c r="AC418" s="281"/>
      <c r="AD418" s="281"/>
    </row>
    <row r="419" spans="1:30" s="288" customFormat="1" x14ac:dyDescent="0.25">
      <c r="A419" s="287"/>
      <c r="B419" s="274">
        <f t="shared" si="51"/>
        <v>404</v>
      </c>
      <c r="C419" s="304">
        <f t="shared" ca="1" si="48"/>
        <v>0</v>
      </c>
      <c r="D419" s="304">
        <f ca="1">IF(ROUND(E418,0)&lt;&gt;0, IF(ROUND(D418,0)&lt;&gt;0, 'Career Comparison'!$F$28-C419, 0), 0)</f>
        <v>0</v>
      </c>
      <c r="E419" s="304">
        <f ca="1">IF(G$7&gt;=B419, E418*(1+'Government Figures'!$D$8/12)-'Career Comparison'!$F$28, 0)</f>
        <v>0</v>
      </c>
      <c r="F419" s="312">
        <f>'College Schedule'!$L$8*(1+'Government Figures'!$B$8/12)^B419</f>
        <v>3995.0922361794514</v>
      </c>
      <c r="G419" s="278">
        <v>1</v>
      </c>
      <c r="H419" s="279">
        <f t="shared" ca="1" si="54"/>
        <v>0.17320110972991043</v>
      </c>
      <c r="I419" s="304">
        <f>G419*('College Schedule'!$L$9)*(1+'Government Figures'!$B$8/12)^B419</f>
        <v>8896.8793951173848</v>
      </c>
      <c r="J419" s="304">
        <f t="shared" ca="1" si="52"/>
        <v>3360.8377745704279</v>
      </c>
      <c r="K419" s="304">
        <f t="shared" ca="1" si="49"/>
        <v>876.13339970161303</v>
      </c>
      <c r="L419" s="278">
        <v>1</v>
      </c>
      <c r="M419" s="279">
        <f t="shared" si="55"/>
        <v>0.13735784313725496</v>
      </c>
      <c r="N419" s="304">
        <f>L419*('College Schedule'!$L$10)*(1+'Government Figures'!$B$8/12)^B419</f>
        <v>5338.1276370704318</v>
      </c>
      <c r="O419" s="304">
        <f t="shared" si="53"/>
        <v>609.80170227161443</v>
      </c>
      <c r="P419" s="304">
        <f t="shared" si="50"/>
        <v>158.96858890291094</v>
      </c>
      <c r="Q419" s="274"/>
      <c r="R419" s="281"/>
      <c r="S419" s="281"/>
      <c r="T419" s="281"/>
      <c r="U419" s="281"/>
      <c r="V419" s="281"/>
      <c r="W419" s="281"/>
      <c r="X419" s="281"/>
      <c r="Y419" s="281"/>
      <c r="Z419" s="281"/>
      <c r="AA419" s="281"/>
      <c r="AB419" s="281"/>
      <c r="AC419" s="281"/>
      <c r="AD419" s="281"/>
    </row>
    <row r="420" spans="1:30" s="288" customFormat="1" x14ac:dyDescent="0.25">
      <c r="A420" s="287"/>
      <c r="B420" s="274">
        <f t="shared" si="51"/>
        <v>405</v>
      </c>
      <c r="C420" s="304">
        <f t="shared" ca="1" si="48"/>
        <v>0</v>
      </c>
      <c r="D420" s="304">
        <f ca="1">IF(ROUND(E419,0)&lt;&gt;0, IF(ROUND(D419,0)&lt;&gt;0, 'Career Comparison'!$F$28-C420, 0), 0)</f>
        <v>0</v>
      </c>
      <c r="E420" s="304">
        <f ca="1">IF(G$7&gt;=B420, E419*(1+'Government Figures'!$D$8/12)-'Career Comparison'!$F$28, 0)</f>
        <v>0</v>
      </c>
      <c r="F420" s="312">
        <f>'College Schedule'!$L$8*(1+'Government Figures'!$B$8/12)^B420</f>
        <v>4001.7507232397516</v>
      </c>
      <c r="G420" s="278">
        <v>1</v>
      </c>
      <c r="H420" s="279">
        <f t="shared" ca="1" si="54"/>
        <v>0.17320110972991043</v>
      </c>
      <c r="I420" s="304">
        <f>G420*('College Schedule'!$L$9)*(1+'Government Figures'!$B$8/12)^B420</f>
        <v>8911.7075274425824</v>
      </c>
      <c r="J420" s="304">
        <f t="shared" ca="1" si="52"/>
        <v>3366.4391708613798</v>
      </c>
      <c r="K420" s="304">
        <f t="shared" ca="1" si="49"/>
        <v>874.67802860576364</v>
      </c>
      <c r="L420" s="278">
        <v>1</v>
      </c>
      <c r="M420" s="279">
        <f t="shared" si="55"/>
        <v>0.13735784313725496</v>
      </c>
      <c r="N420" s="304">
        <f>L420*('College Schedule'!$L$10)*(1+'Government Figures'!$B$8/12)^B420</f>
        <v>5347.0245164655498</v>
      </c>
      <c r="O420" s="304">
        <f t="shared" si="53"/>
        <v>610.81803844206706</v>
      </c>
      <c r="P420" s="304">
        <f t="shared" si="50"/>
        <v>158.70452147948419</v>
      </c>
      <c r="Q420" s="274"/>
      <c r="R420" s="281"/>
      <c r="S420" s="281"/>
      <c r="T420" s="281"/>
      <c r="U420" s="281"/>
      <c r="V420" s="281"/>
      <c r="W420" s="281"/>
      <c r="X420" s="281"/>
      <c r="Y420" s="281"/>
      <c r="Z420" s="281"/>
      <c r="AA420" s="281"/>
      <c r="AB420" s="281"/>
      <c r="AC420" s="281"/>
      <c r="AD420" s="281"/>
    </row>
    <row r="421" spans="1:30" s="288" customFormat="1" x14ac:dyDescent="0.25">
      <c r="A421" s="287"/>
      <c r="B421" s="274">
        <f t="shared" si="51"/>
        <v>406</v>
      </c>
      <c r="C421" s="304">
        <f t="shared" ca="1" si="48"/>
        <v>0</v>
      </c>
      <c r="D421" s="304">
        <f ca="1">IF(ROUND(E420,0)&lt;&gt;0, IF(ROUND(D420,0)&lt;&gt;0, 'Career Comparison'!$F$28-C421, 0), 0)</f>
        <v>0</v>
      </c>
      <c r="E421" s="304">
        <f ca="1">IF(G$7&gt;=B421, E420*(1+'Government Figures'!$D$8/12)-'Career Comparison'!$F$28, 0)</f>
        <v>0</v>
      </c>
      <c r="F421" s="312">
        <f>'College Schedule'!$L$8*(1+'Government Figures'!$B$8/12)^B421</f>
        <v>4008.4203077784837</v>
      </c>
      <c r="G421" s="278">
        <v>1</v>
      </c>
      <c r="H421" s="279">
        <f t="shared" ca="1" si="54"/>
        <v>0.17320110972991043</v>
      </c>
      <c r="I421" s="304">
        <f>G421*('College Schedule'!$L$9)*(1+'Government Figures'!$B$8/12)^B421</f>
        <v>8926.5603733216522</v>
      </c>
      <c r="J421" s="304">
        <f t="shared" ca="1" si="52"/>
        <v>3372.0499028128147</v>
      </c>
      <c r="K421" s="304">
        <f t="shared" ca="1" si="49"/>
        <v>873.22507506987313</v>
      </c>
      <c r="L421" s="278">
        <v>1</v>
      </c>
      <c r="M421" s="279">
        <f t="shared" si="55"/>
        <v>0.13735784313725496</v>
      </c>
      <c r="N421" s="304">
        <f>L421*('College Schedule'!$L$10)*(1+'Government Figures'!$B$8/12)^B421</f>
        <v>5355.9362239929915</v>
      </c>
      <c r="O421" s="304">
        <f t="shared" si="53"/>
        <v>611.8360685061366</v>
      </c>
      <c r="P421" s="304">
        <f t="shared" si="50"/>
        <v>158.44089270626225</v>
      </c>
      <c r="Q421" s="274"/>
      <c r="R421" s="281"/>
      <c r="S421" s="281"/>
      <c r="T421" s="281"/>
      <c r="U421" s="281"/>
      <c r="V421" s="281"/>
      <c r="W421" s="281"/>
      <c r="X421" s="281"/>
      <c r="Y421" s="281"/>
      <c r="Z421" s="281"/>
      <c r="AA421" s="281"/>
      <c r="AB421" s="281"/>
      <c r="AC421" s="281"/>
      <c r="AD421" s="281"/>
    </row>
    <row r="422" spans="1:30" s="288" customFormat="1" x14ac:dyDescent="0.25">
      <c r="A422" s="287"/>
      <c r="B422" s="274">
        <f t="shared" si="51"/>
        <v>407</v>
      </c>
      <c r="C422" s="304">
        <f t="shared" ca="1" si="48"/>
        <v>0</v>
      </c>
      <c r="D422" s="304">
        <f ca="1">IF(ROUND(E421,0)&lt;&gt;0, IF(ROUND(D421,0)&lt;&gt;0, 'Career Comparison'!$F$28-C422, 0), 0)</f>
        <v>0</v>
      </c>
      <c r="E422" s="304">
        <f ca="1">IF(G$7&gt;=B422, E421*(1+'Government Figures'!$D$8/12)-'Career Comparison'!$F$28, 0)</f>
        <v>0</v>
      </c>
      <c r="F422" s="312">
        <f>'College Schedule'!$L$8*(1+'Government Figures'!$B$8/12)^B422</f>
        <v>4015.1010082914486</v>
      </c>
      <c r="G422" s="278">
        <v>1</v>
      </c>
      <c r="H422" s="279">
        <f t="shared" ca="1" si="54"/>
        <v>0.17320110972991043</v>
      </c>
      <c r="I422" s="304">
        <f>G422*('College Schedule'!$L$9)*(1+'Government Figures'!$B$8/12)^B422</f>
        <v>8941.4379739438555</v>
      </c>
      <c r="J422" s="304">
        <f t="shared" ca="1" si="52"/>
        <v>3377.6699859841688</v>
      </c>
      <c r="K422" s="304">
        <f t="shared" ca="1" si="49"/>
        <v>871.77453507806251</v>
      </c>
      <c r="L422" s="278">
        <v>1</v>
      </c>
      <c r="M422" s="279">
        <f t="shared" si="55"/>
        <v>0.13735784313725496</v>
      </c>
      <c r="N422" s="304">
        <f>L422*('College Schedule'!$L$10)*(1+'Government Figures'!$B$8/12)^B422</f>
        <v>5364.8627843663144</v>
      </c>
      <c r="O422" s="304">
        <f t="shared" si="53"/>
        <v>612.85579528698099</v>
      </c>
      <c r="P422" s="304">
        <f t="shared" si="50"/>
        <v>158.17770185459091</v>
      </c>
      <c r="Q422" s="274"/>
      <c r="R422" s="281"/>
      <c r="S422" s="281"/>
      <c r="T422" s="281"/>
      <c r="U422" s="281"/>
      <c r="V422" s="281"/>
      <c r="W422" s="281"/>
      <c r="X422" s="281"/>
      <c r="Y422" s="281"/>
      <c r="Z422" s="281"/>
      <c r="AA422" s="281"/>
      <c r="AB422" s="281"/>
      <c r="AC422" s="281"/>
      <c r="AD422" s="281"/>
    </row>
    <row r="423" spans="1:30" s="288" customFormat="1" x14ac:dyDescent="0.25">
      <c r="A423" s="287"/>
      <c r="B423" s="274">
        <f t="shared" si="51"/>
        <v>408</v>
      </c>
      <c r="C423" s="304">
        <f t="shared" ca="1" si="48"/>
        <v>0</v>
      </c>
      <c r="D423" s="304">
        <f ca="1">IF(ROUND(E422,0)&lt;&gt;0, IF(ROUND(D422,0)&lt;&gt;0, 'Career Comparison'!$F$28-C423, 0), 0)</f>
        <v>0</v>
      </c>
      <c r="E423" s="304">
        <f ca="1">IF(G$7&gt;=B423, E422*(1+'Government Figures'!$D$8/12)-'Career Comparison'!$F$28, 0)</f>
        <v>0</v>
      </c>
      <c r="F423" s="312">
        <f>'College Schedule'!$L$8*(1+'Government Figures'!$B$8/12)^B423</f>
        <v>4021.7928433052684</v>
      </c>
      <c r="G423" s="278">
        <v>1</v>
      </c>
      <c r="H423" s="279">
        <f t="shared" ca="1" si="54"/>
        <v>0.17320110972991043</v>
      </c>
      <c r="I423" s="304">
        <f>G423*('College Schedule'!$L$9)*(1+'Government Figures'!$B$8/12)^B423</f>
        <v>8956.3403705670971</v>
      </c>
      <c r="J423" s="304">
        <f t="shared" ca="1" si="52"/>
        <v>3383.2994359608101</v>
      </c>
      <c r="K423" s="304">
        <f t="shared" ca="1" si="49"/>
        <v>870.32640462112249</v>
      </c>
      <c r="L423" s="278">
        <v>1</v>
      </c>
      <c r="M423" s="279">
        <f t="shared" si="55"/>
        <v>0.13735784313725496</v>
      </c>
      <c r="N423" s="304">
        <f>L423*('College Schedule'!$L$10)*(1+'Government Figures'!$B$8/12)^B423</f>
        <v>5373.804222340259</v>
      </c>
      <c r="O423" s="304">
        <f t="shared" si="53"/>
        <v>613.87722161245892</v>
      </c>
      <c r="P423" s="304">
        <f t="shared" si="50"/>
        <v>157.91494819702504</v>
      </c>
      <c r="Q423" s="274"/>
      <c r="R423" s="281"/>
      <c r="S423" s="281"/>
      <c r="T423" s="281"/>
      <c r="U423" s="281"/>
      <c r="V423" s="281"/>
      <c r="W423" s="281"/>
      <c r="X423" s="281"/>
      <c r="Y423" s="281"/>
      <c r="Z423" s="281"/>
      <c r="AA423" s="281"/>
      <c r="AB423" s="281"/>
      <c r="AC423" s="281"/>
      <c r="AD423" s="281"/>
    </row>
    <row r="424" spans="1:30" s="288" customFormat="1" x14ac:dyDescent="0.25">
      <c r="A424" s="287"/>
      <c r="B424" s="274">
        <f t="shared" si="51"/>
        <v>409</v>
      </c>
      <c r="C424" s="304">
        <f t="shared" ca="1" si="48"/>
        <v>0</v>
      </c>
      <c r="D424" s="304">
        <f ca="1">IF(ROUND(E423,0)&lt;&gt;0, IF(ROUND(D423,0)&lt;&gt;0, 'Career Comparison'!$F$28-C424, 0), 0)</f>
        <v>0</v>
      </c>
      <c r="E424" s="304">
        <f ca="1">IF(G$7&gt;=B424, E423*(1+'Government Figures'!$D$8/12)-'Career Comparison'!$F$28, 0)</f>
        <v>0</v>
      </c>
      <c r="F424" s="312">
        <f>'College Schedule'!$L$8*(1+'Government Figures'!$B$8/12)^B424</f>
        <v>4028.4958313774432</v>
      </c>
      <c r="G424" s="278">
        <v>1</v>
      </c>
      <c r="H424" s="279">
        <f t="shared" ca="1" si="54"/>
        <v>0.17320110972991043</v>
      </c>
      <c r="I424" s="304">
        <f>G424*('College Schedule'!$L$9)*(1+'Government Figures'!$B$8/12)^B424</f>
        <v>8971.2676045180415</v>
      </c>
      <c r="J424" s="304">
        <f t="shared" ca="1" si="52"/>
        <v>3388.938268354078</v>
      </c>
      <c r="K424" s="304">
        <f t="shared" ca="1" si="49"/>
        <v>868.88067969650251</v>
      </c>
      <c r="L424" s="278">
        <v>1</v>
      </c>
      <c r="M424" s="279">
        <f t="shared" si="55"/>
        <v>0.13735784313725496</v>
      </c>
      <c r="N424" s="304">
        <f>L424*('College Schedule'!$L$10)*(1+'Government Figures'!$B$8/12)^B424</f>
        <v>5382.760562710826</v>
      </c>
      <c r="O424" s="304">
        <f t="shared" si="53"/>
        <v>614.90035031514708</v>
      </c>
      <c r="P424" s="304">
        <f t="shared" si="50"/>
        <v>157.65263100732915</v>
      </c>
      <c r="Q424" s="274"/>
      <c r="R424" s="281"/>
      <c r="S424" s="281"/>
      <c r="T424" s="281"/>
      <c r="U424" s="281"/>
      <c r="V424" s="281"/>
      <c r="W424" s="281"/>
      <c r="X424" s="281"/>
      <c r="Y424" s="281"/>
      <c r="Z424" s="281"/>
      <c r="AA424" s="281"/>
      <c r="AB424" s="281"/>
      <c r="AC424" s="281"/>
      <c r="AD424" s="281"/>
    </row>
    <row r="425" spans="1:30" s="288" customFormat="1" x14ac:dyDescent="0.25">
      <c r="A425" s="287"/>
      <c r="B425" s="274">
        <f t="shared" si="51"/>
        <v>410</v>
      </c>
      <c r="C425" s="304">
        <f t="shared" ca="1" si="48"/>
        <v>0</v>
      </c>
      <c r="D425" s="304">
        <f ca="1">IF(ROUND(E424,0)&lt;&gt;0, IF(ROUND(D424,0)&lt;&gt;0, 'Career Comparison'!$F$28-C425, 0), 0)</f>
        <v>0</v>
      </c>
      <c r="E425" s="304">
        <f ca="1">IF(G$7&gt;=B425, E424*(1+'Government Figures'!$D$8/12)-'Career Comparison'!$F$28, 0)</f>
        <v>0</v>
      </c>
      <c r="F425" s="312">
        <f>'College Schedule'!$L$8*(1+'Government Figures'!$B$8/12)^B425</f>
        <v>4035.2099910964062</v>
      </c>
      <c r="G425" s="278">
        <v>1</v>
      </c>
      <c r="H425" s="279">
        <f t="shared" ca="1" si="54"/>
        <v>0.17320110972991043</v>
      </c>
      <c r="I425" s="304">
        <f>G425*('College Schedule'!$L$9)*(1+'Government Figures'!$B$8/12)^B425</f>
        <v>8986.2197171922398</v>
      </c>
      <c r="J425" s="304">
        <f t="shared" ca="1" si="52"/>
        <v>3394.5864988013354</v>
      </c>
      <c r="K425" s="304">
        <f t="shared" ca="1" si="49"/>
        <v>867.43735630830258</v>
      </c>
      <c r="L425" s="278">
        <v>1</v>
      </c>
      <c r="M425" s="279">
        <f t="shared" si="55"/>
        <v>0.13735784313725496</v>
      </c>
      <c r="N425" s="304">
        <f>L425*('College Schedule'!$L$10)*(1+'Government Figures'!$B$8/12)^B425</f>
        <v>5391.7318303153443</v>
      </c>
      <c r="O425" s="304">
        <f t="shared" si="53"/>
        <v>615.92518423233832</v>
      </c>
      <c r="P425" s="304">
        <f t="shared" si="50"/>
        <v>157.39074956047295</v>
      </c>
      <c r="Q425" s="274"/>
      <c r="R425" s="281"/>
      <c r="S425" s="281"/>
      <c r="T425" s="281"/>
      <c r="U425" s="281"/>
      <c r="V425" s="281"/>
      <c r="W425" s="281"/>
      <c r="X425" s="281"/>
      <c r="Y425" s="281"/>
      <c r="Z425" s="281"/>
      <c r="AA425" s="281"/>
      <c r="AB425" s="281"/>
      <c r="AC425" s="281"/>
      <c r="AD425" s="281"/>
    </row>
    <row r="426" spans="1:30" s="288" customFormat="1" x14ac:dyDescent="0.25">
      <c r="A426" s="287"/>
      <c r="B426" s="274">
        <f t="shared" si="51"/>
        <v>411</v>
      </c>
      <c r="C426" s="304">
        <f t="shared" ca="1" si="48"/>
        <v>0</v>
      </c>
      <c r="D426" s="304">
        <f ca="1">IF(ROUND(E425,0)&lt;&gt;0, IF(ROUND(D425,0)&lt;&gt;0, 'Career Comparison'!$F$28-C426, 0), 0)</f>
        <v>0</v>
      </c>
      <c r="E426" s="304">
        <f ca="1">IF(G$7&gt;=B426, E425*(1+'Government Figures'!$D$8/12)-'Career Comparison'!$F$28, 0)</f>
        <v>0</v>
      </c>
      <c r="F426" s="312">
        <f>'College Schedule'!$L$8*(1+'Government Figures'!$B$8/12)^B426</f>
        <v>4041.9353410815675</v>
      </c>
      <c r="G426" s="278">
        <v>1</v>
      </c>
      <c r="H426" s="279">
        <f t="shared" ca="1" si="54"/>
        <v>0.17320110972991043</v>
      </c>
      <c r="I426" s="304">
        <f>G426*('College Schedule'!$L$9)*(1+'Government Figures'!$B$8/12)^B426</f>
        <v>9001.1967500542269</v>
      </c>
      <c r="J426" s="304">
        <f t="shared" ca="1" si="52"/>
        <v>3400.2441429660039</v>
      </c>
      <c r="K426" s="304">
        <f t="shared" ca="1" si="49"/>
        <v>865.99643046725862</v>
      </c>
      <c r="L426" s="278">
        <v>1</v>
      </c>
      <c r="M426" s="279">
        <f t="shared" si="55"/>
        <v>0.13735784313725496</v>
      </c>
      <c r="N426" s="304">
        <f>L426*('College Schedule'!$L$10)*(1+'Government Figures'!$B$8/12)^B426</f>
        <v>5400.7180500325376</v>
      </c>
      <c r="O426" s="304">
        <f t="shared" si="53"/>
        <v>616.95172620605899</v>
      </c>
      <c r="P426" s="304">
        <f t="shared" si="50"/>
        <v>157.12930313263166</v>
      </c>
      <c r="Q426" s="274"/>
      <c r="R426" s="281"/>
      <c r="S426" s="281"/>
      <c r="T426" s="281"/>
      <c r="U426" s="281"/>
      <c r="V426" s="281"/>
      <c r="W426" s="281"/>
      <c r="X426" s="281"/>
      <c r="Y426" s="281"/>
      <c r="Z426" s="281"/>
      <c r="AA426" s="281"/>
      <c r="AB426" s="281"/>
      <c r="AC426" s="281"/>
      <c r="AD426" s="281"/>
    </row>
    <row r="427" spans="1:30" s="288" customFormat="1" x14ac:dyDescent="0.25">
      <c r="A427" s="287"/>
      <c r="B427" s="274">
        <f t="shared" si="51"/>
        <v>412</v>
      </c>
      <c r="C427" s="304">
        <f t="shared" ca="1" si="48"/>
        <v>0</v>
      </c>
      <c r="D427" s="304">
        <f ca="1">IF(ROUND(E426,0)&lt;&gt;0, IF(ROUND(D426,0)&lt;&gt;0, 'Career Comparison'!$F$28-C427, 0), 0)</f>
        <v>0</v>
      </c>
      <c r="E427" s="304">
        <f ca="1">IF(G$7&gt;=B427, E426*(1+'Government Figures'!$D$8/12)-'Career Comparison'!$F$28, 0)</f>
        <v>0</v>
      </c>
      <c r="F427" s="312">
        <f>'College Schedule'!$L$8*(1+'Government Figures'!$B$8/12)^B427</f>
        <v>4048.6718999833702</v>
      </c>
      <c r="G427" s="278">
        <v>1</v>
      </c>
      <c r="H427" s="279">
        <f t="shared" ca="1" si="54"/>
        <v>0.17320110972991043</v>
      </c>
      <c r="I427" s="304">
        <f>G427*('College Schedule'!$L$9)*(1+'Government Figures'!$B$8/12)^B427</f>
        <v>9016.1987446376515</v>
      </c>
      <c r="J427" s="304">
        <f t="shared" ca="1" si="52"/>
        <v>3405.9112165376146</v>
      </c>
      <c r="K427" s="304">
        <f t="shared" ca="1" si="49"/>
        <v>864.55789819073493</v>
      </c>
      <c r="L427" s="278">
        <v>1</v>
      </c>
      <c r="M427" s="279">
        <f t="shared" si="55"/>
        <v>0.13735784313725496</v>
      </c>
      <c r="N427" s="304">
        <f>L427*('College Schedule'!$L$10)*(1+'Government Figures'!$B$8/12)^B427</f>
        <v>5409.7192467825917</v>
      </c>
      <c r="O427" s="304">
        <f t="shared" si="53"/>
        <v>617.97997908306934</v>
      </c>
      <c r="P427" s="304">
        <f t="shared" si="50"/>
        <v>156.86829100118211</v>
      </c>
      <c r="Q427" s="274"/>
      <c r="R427" s="281"/>
      <c r="S427" s="281"/>
      <c r="T427" s="281"/>
      <c r="U427" s="281"/>
      <c r="V427" s="281"/>
      <c r="W427" s="281"/>
      <c r="X427" s="281"/>
      <c r="Y427" s="281"/>
      <c r="Z427" s="281"/>
      <c r="AA427" s="281"/>
      <c r="AB427" s="281"/>
      <c r="AC427" s="281"/>
      <c r="AD427" s="281"/>
    </row>
    <row r="428" spans="1:30" s="288" customFormat="1" x14ac:dyDescent="0.25">
      <c r="A428" s="287"/>
      <c r="B428" s="274">
        <f t="shared" si="51"/>
        <v>413</v>
      </c>
      <c r="C428" s="304">
        <f t="shared" ca="1" si="48"/>
        <v>0</v>
      </c>
      <c r="D428" s="304">
        <f ca="1">IF(ROUND(E427,0)&lt;&gt;0, IF(ROUND(D427,0)&lt;&gt;0, 'Career Comparison'!$F$28-C428, 0), 0)</f>
        <v>0</v>
      </c>
      <c r="E428" s="304">
        <f ca="1">IF(G$7&gt;=B428, E427*(1+'Government Figures'!$D$8/12)-'Career Comparison'!$F$28, 0)</f>
        <v>0</v>
      </c>
      <c r="F428" s="312">
        <f>'College Schedule'!$L$8*(1+'Government Figures'!$B$8/12)^B428</f>
        <v>4055.4196864833434</v>
      </c>
      <c r="G428" s="278">
        <v>1</v>
      </c>
      <c r="H428" s="279">
        <f t="shared" ca="1" si="54"/>
        <v>0.17320110972991043</v>
      </c>
      <c r="I428" s="304">
        <f>G428*('College Schedule'!$L$9)*(1+'Government Figures'!$B$8/12)^B428</f>
        <v>9031.2257425453827</v>
      </c>
      <c r="J428" s="304">
        <f t="shared" ca="1" si="52"/>
        <v>3411.5877352318444</v>
      </c>
      <c r="K428" s="304">
        <f t="shared" ca="1" si="49"/>
        <v>863.12175550271058</v>
      </c>
      <c r="L428" s="278">
        <v>1</v>
      </c>
      <c r="M428" s="279">
        <f t="shared" si="55"/>
        <v>0.13735784313725496</v>
      </c>
      <c r="N428" s="304">
        <f>L428*('College Schedule'!$L$10)*(1+'Government Figures'!$B$8/12)^B428</f>
        <v>5418.7354455272307</v>
      </c>
      <c r="O428" s="304">
        <f t="shared" si="53"/>
        <v>619.0099457148749</v>
      </c>
      <c r="P428" s="304">
        <f t="shared" si="50"/>
        <v>156.60771244470189</v>
      </c>
      <c r="Q428" s="274"/>
      <c r="R428" s="281"/>
      <c r="S428" s="281"/>
      <c r="T428" s="281"/>
      <c r="U428" s="281"/>
      <c r="V428" s="281"/>
      <c r="W428" s="281"/>
      <c r="X428" s="281"/>
      <c r="Y428" s="281"/>
      <c r="Z428" s="281"/>
      <c r="AA428" s="281"/>
      <c r="AB428" s="281"/>
      <c r="AC428" s="281"/>
      <c r="AD428" s="281"/>
    </row>
    <row r="429" spans="1:30" s="288" customFormat="1" x14ac:dyDescent="0.25">
      <c r="A429" s="287"/>
      <c r="B429" s="274">
        <f t="shared" si="51"/>
        <v>414</v>
      </c>
      <c r="C429" s="304">
        <f t="shared" ca="1" si="48"/>
        <v>0</v>
      </c>
      <c r="D429" s="304">
        <f ca="1">IF(ROUND(E428,0)&lt;&gt;0, IF(ROUND(D428,0)&lt;&gt;0, 'Career Comparison'!$F$28-C429, 0), 0)</f>
        <v>0</v>
      </c>
      <c r="E429" s="304">
        <f ca="1">IF(G$7&gt;=B429, E428*(1+'Government Figures'!$D$8/12)-'Career Comparison'!$F$28, 0)</f>
        <v>0</v>
      </c>
      <c r="F429" s="312">
        <f>'College Schedule'!$L$8*(1+'Government Figures'!$B$8/12)^B429</f>
        <v>4062.1787192941483</v>
      </c>
      <c r="G429" s="278">
        <v>1</v>
      </c>
      <c r="H429" s="279">
        <f t="shared" ca="1" si="54"/>
        <v>0.17320110972991043</v>
      </c>
      <c r="I429" s="304">
        <f>G429*('College Schedule'!$L$9)*(1+'Government Figures'!$B$8/12)^B429</f>
        <v>9046.2777854496235</v>
      </c>
      <c r="J429" s="304">
        <f t="shared" ca="1" si="52"/>
        <v>3417.2737147905636</v>
      </c>
      <c r="K429" s="304">
        <f t="shared" ca="1" si="49"/>
        <v>861.68799843376917</v>
      </c>
      <c r="L429" s="278">
        <v>1</v>
      </c>
      <c r="M429" s="279">
        <f t="shared" si="55"/>
        <v>0.13735784313725496</v>
      </c>
      <c r="N429" s="304">
        <f>L429*('College Schedule'!$L$10)*(1+'Government Figures'!$B$8/12)^B429</f>
        <v>5427.7666712697746</v>
      </c>
      <c r="O429" s="304">
        <f t="shared" si="53"/>
        <v>620.04162895773243</v>
      </c>
      <c r="P429" s="304">
        <f t="shared" si="50"/>
        <v>156.34756674296636</v>
      </c>
      <c r="Q429" s="274"/>
      <c r="R429" s="281"/>
      <c r="S429" s="281"/>
      <c r="T429" s="281"/>
      <c r="U429" s="281"/>
      <c r="V429" s="281"/>
      <c r="W429" s="281"/>
      <c r="X429" s="281"/>
      <c r="Y429" s="281"/>
      <c r="Z429" s="281"/>
      <c r="AA429" s="281"/>
      <c r="AB429" s="281"/>
      <c r="AC429" s="281"/>
      <c r="AD429" s="281"/>
    </row>
    <row r="430" spans="1:30" s="288" customFormat="1" x14ac:dyDescent="0.25">
      <c r="A430" s="287"/>
      <c r="B430" s="274">
        <f t="shared" si="51"/>
        <v>415</v>
      </c>
      <c r="C430" s="304">
        <f t="shared" ca="1" si="48"/>
        <v>0</v>
      </c>
      <c r="D430" s="304">
        <f ca="1">IF(ROUND(E429,0)&lt;&gt;0, IF(ROUND(D429,0)&lt;&gt;0, 'Career Comparison'!$F$28-C430, 0), 0)</f>
        <v>0</v>
      </c>
      <c r="E430" s="304">
        <f ca="1">IF(G$7&gt;=B430, E429*(1+'Government Figures'!$D$8/12)-'Career Comparison'!$F$28, 0)</f>
        <v>0</v>
      </c>
      <c r="F430" s="312">
        <f>'College Schedule'!$L$8*(1+'Government Figures'!$B$8/12)^B430</f>
        <v>4068.949017159639</v>
      </c>
      <c r="G430" s="278">
        <v>1</v>
      </c>
      <c r="H430" s="279">
        <f t="shared" ca="1" si="54"/>
        <v>0.17320110972991043</v>
      </c>
      <c r="I430" s="304">
        <f>G430*('College Schedule'!$L$9)*(1+'Government Figures'!$B$8/12)^B430</f>
        <v>9061.3549150920408</v>
      </c>
      <c r="J430" s="304">
        <f t="shared" ca="1" si="52"/>
        <v>3422.9691709818817</v>
      </c>
      <c r="K430" s="304">
        <f t="shared" ca="1" si="49"/>
        <v>860.25662302108833</v>
      </c>
      <c r="L430" s="278">
        <v>1</v>
      </c>
      <c r="M430" s="279">
        <f t="shared" si="55"/>
        <v>0.13735784313725496</v>
      </c>
      <c r="N430" s="304">
        <f>L430*('College Schedule'!$L$10)*(1+'Government Figures'!$B$8/12)^B430</f>
        <v>5436.8129490552255</v>
      </c>
      <c r="O430" s="304">
        <f t="shared" si="53"/>
        <v>621.07503167266259</v>
      </c>
      <c r="P430" s="304">
        <f t="shared" si="50"/>
        <v>156.08785317694824</v>
      </c>
      <c r="Q430" s="274"/>
      <c r="R430" s="281"/>
      <c r="S430" s="281"/>
      <c r="T430" s="281"/>
      <c r="U430" s="281"/>
      <c r="V430" s="281"/>
      <c r="W430" s="281"/>
      <c r="X430" s="281"/>
      <c r="Y430" s="281"/>
      <c r="Z430" s="281"/>
      <c r="AA430" s="281"/>
      <c r="AB430" s="281"/>
      <c r="AC430" s="281"/>
      <c r="AD430" s="281"/>
    </row>
    <row r="431" spans="1:30" s="288" customFormat="1" x14ac:dyDescent="0.25">
      <c r="A431" s="287"/>
      <c r="B431" s="274">
        <f t="shared" si="51"/>
        <v>416</v>
      </c>
      <c r="C431" s="304">
        <f t="shared" ca="1" si="48"/>
        <v>0</v>
      </c>
      <c r="D431" s="304">
        <f ca="1">IF(ROUND(E430,0)&lt;&gt;0, IF(ROUND(D430,0)&lt;&gt;0, 'Career Comparison'!$F$28-C431, 0), 0)</f>
        <v>0</v>
      </c>
      <c r="E431" s="304">
        <f ca="1">IF(G$7&gt;=B431, E430*(1+'Government Figures'!$D$8/12)-'Career Comparison'!$F$28, 0)</f>
        <v>0</v>
      </c>
      <c r="F431" s="312">
        <f>'College Schedule'!$L$8*(1+'Government Figures'!$B$8/12)^B431</f>
        <v>4075.730598854906</v>
      </c>
      <c r="G431" s="278">
        <v>1</v>
      </c>
      <c r="H431" s="279">
        <f t="shared" ca="1" si="54"/>
        <v>0.17320110972991043</v>
      </c>
      <c r="I431" s="304">
        <f>G431*('College Schedule'!$L$9)*(1+'Government Figures'!$B$8/12)^B431</f>
        <v>9076.4571732838631</v>
      </c>
      <c r="J431" s="304">
        <f t="shared" ca="1" si="52"/>
        <v>3428.6741196001858</v>
      </c>
      <c r="K431" s="304">
        <f t="shared" ca="1" si="49"/>
        <v>858.82762530842899</v>
      </c>
      <c r="L431" s="278">
        <v>1</v>
      </c>
      <c r="M431" s="279">
        <f t="shared" si="55"/>
        <v>0.13735784313725496</v>
      </c>
      <c r="N431" s="304">
        <f>L431*('College Schedule'!$L$10)*(1+'Government Figures'!$B$8/12)^B431</f>
        <v>5445.8743039703186</v>
      </c>
      <c r="O431" s="304">
        <f t="shared" si="53"/>
        <v>622.11015672545</v>
      </c>
      <c r="P431" s="304">
        <f t="shared" si="50"/>
        <v>155.82857102881368</v>
      </c>
      <c r="Q431" s="274"/>
      <c r="R431" s="281"/>
      <c r="S431" s="281"/>
      <c r="T431" s="281"/>
      <c r="U431" s="281"/>
      <c r="V431" s="281"/>
      <c r="W431" s="281"/>
      <c r="X431" s="281"/>
      <c r="Y431" s="281"/>
      <c r="Z431" s="281"/>
      <c r="AA431" s="281"/>
      <c r="AB431" s="281"/>
      <c r="AC431" s="281"/>
      <c r="AD431" s="281"/>
    </row>
    <row r="432" spans="1:30" s="288" customFormat="1" x14ac:dyDescent="0.25">
      <c r="A432" s="287"/>
      <c r="B432" s="274">
        <f t="shared" si="51"/>
        <v>417</v>
      </c>
      <c r="C432" s="304">
        <f t="shared" ca="1" si="48"/>
        <v>0</v>
      </c>
      <c r="D432" s="304">
        <f ca="1">IF(ROUND(E431,0)&lt;&gt;0, IF(ROUND(D431,0)&lt;&gt;0, 'Career Comparison'!$F$28-C432, 0), 0)</f>
        <v>0</v>
      </c>
      <c r="E432" s="304">
        <f ca="1">IF(G$7&gt;=B432, E431*(1+'Government Figures'!$D$8/12)-'Career Comparison'!$F$28, 0)</f>
        <v>0</v>
      </c>
      <c r="F432" s="312">
        <f>'College Schedule'!$L$8*(1+'Government Figures'!$B$8/12)^B432</f>
        <v>4082.5234831863309</v>
      </c>
      <c r="G432" s="278">
        <v>1</v>
      </c>
      <c r="H432" s="279">
        <f t="shared" ca="1" si="54"/>
        <v>0.17320110972991043</v>
      </c>
      <c r="I432" s="304">
        <f>G432*('College Schedule'!$L$9)*(1+'Government Figures'!$B$8/12)^B432</f>
        <v>9091.5846019060027</v>
      </c>
      <c r="J432" s="304">
        <f t="shared" ca="1" si="52"/>
        <v>3434.3885764661864</v>
      </c>
      <c r="K432" s="304">
        <f t="shared" ca="1" si="49"/>
        <v>857.40100134612237</v>
      </c>
      <c r="L432" s="278">
        <v>1</v>
      </c>
      <c r="M432" s="279">
        <f t="shared" si="55"/>
        <v>0.13735784313725496</v>
      </c>
      <c r="N432" s="304">
        <f>L432*('College Schedule'!$L$10)*(1+'Government Figures'!$B$8/12)^B432</f>
        <v>5454.9507611436029</v>
      </c>
      <c r="O432" s="304">
        <f t="shared" si="53"/>
        <v>623.14700698665911</v>
      </c>
      <c r="P432" s="304">
        <f t="shared" si="50"/>
        <v>155.56971958192193</v>
      </c>
      <c r="Q432" s="274"/>
      <c r="R432" s="281"/>
      <c r="S432" s="281"/>
      <c r="T432" s="281"/>
      <c r="U432" s="281"/>
      <c r="V432" s="281"/>
      <c r="W432" s="281"/>
      <c r="X432" s="281"/>
      <c r="Y432" s="281"/>
      <c r="Z432" s="281"/>
      <c r="AA432" s="281"/>
      <c r="AB432" s="281"/>
      <c r="AC432" s="281"/>
      <c r="AD432" s="281"/>
    </row>
    <row r="433" spans="1:30" s="288" customFormat="1" x14ac:dyDescent="0.25">
      <c r="A433" s="287"/>
      <c r="B433" s="274">
        <f t="shared" si="51"/>
        <v>418</v>
      </c>
      <c r="C433" s="304">
        <f t="shared" ca="1" si="48"/>
        <v>0</v>
      </c>
      <c r="D433" s="304">
        <f ca="1">IF(ROUND(E432,0)&lt;&gt;0, IF(ROUND(D432,0)&lt;&gt;0, 'Career Comparison'!$F$28-C433, 0), 0)</f>
        <v>0</v>
      </c>
      <c r="E433" s="304">
        <f ca="1">IF(G$7&gt;=B433, E432*(1+'Government Figures'!$D$8/12)-'Career Comparison'!$F$28, 0)</f>
        <v>0</v>
      </c>
      <c r="F433" s="312">
        <f>'College Schedule'!$L$8*(1+'Government Figures'!$B$8/12)^B433</f>
        <v>4089.3276889916415</v>
      </c>
      <c r="G433" s="278">
        <v>1</v>
      </c>
      <c r="H433" s="279">
        <f t="shared" ca="1" si="54"/>
        <v>0.17320110972991043</v>
      </c>
      <c r="I433" s="304">
        <f>G433*('College Schedule'!$L$9)*(1+'Government Figures'!$B$8/12)^B433</f>
        <v>9106.7372429091793</v>
      </c>
      <c r="J433" s="304">
        <f t="shared" ca="1" si="52"/>
        <v>3440.1125574269627</v>
      </c>
      <c r="K433" s="304">
        <f t="shared" ca="1" si="49"/>
        <v>855.97674719106226</v>
      </c>
      <c r="L433" s="278">
        <v>1</v>
      </c>
      <c r="M433" s="279">
        <f t="shared" si="55"/>
        <v>0.13735784313725496</v>
      </c>
      <c r="N433" s="304">
        <f>L433*('College Schedule'!$L$10)*(1+'Government Figures'!$B$8/12)^B433</f>
        <v>5464.042345745509</v>
      </c>
      <c r="O433" s="304">
        <f t="shared" si="53"/>
        <v>624.18558533163741</v>
      </c>
      <c r="P433" s="304">
        <f t="shared" si="50"/>
        <v>155.31129812082253</v>
      </c>
      <c r="Q433" s="274"/>
      <c r="R433" s="281"/>
      <c r="S433" s="281"/>
      <c r="T433" s="281"/>
      <c r="U433" s="281"/>
      <c r="V433" s="281"/>
      <c r="W433" s="281"/>
      <c r="X433" s="281"/>
      <c r="Y433" s="281"/>
      <c r="Z433" s="281"/>
      <c r="AA433" s="281"/>
      <c r="AB433" s="281"/>
      <c r="AC433" s="281"/>
      <c r="AD433" s="281"/>
    </row>
    <row r="434" spans="1:30" s="288" customFormat="1" x14ac:dyDescent="0.25">
      <c r="A434" s="287"/>
      <c r="B434" s="274">
        <f t="shared" si="51"/>
        <v>419</v>
      </c>
      <c r="C434" s="304">
        <f t="shared" ca="1" si="48"/>
        <v>0</v>
      </c>
      <c r="D434" s="304">
        <f ca="1">IF(ROUND(E433,0)&lt;&gt;0, IF(ROUND(D433,0)&lt;&gt;0, 'Career Comparison'!$F$28-C434, 0), 0)</f>
        <v>0</v>
      </c>
      <c r="E434" s="304">
        <f ca="1">IF(G$7&gt;=B434, E433*(1+'Government Figures'!$D$8/12)-'Career Comparison'!$F$28, 0)</f>
        <v>0</v>
      </c>
      <c r="F434" s="312">
        <f>'College Schedule'!$L$8*(1+'Government Figures'!$B$8/12)^B434</f>
        <v>4096.1432351399608</v>
      </c>
      <c r="G434" s="278">
        <v>1</v>
      </c>
      <c r="H434" s="279">
        <f t="shared" ca="1" si="54"/>
        <v>0.17320110972991043</v>
      </c>
      <c r="I434" s="304">
        <f>G434*('College Schedule'!$L$9)*(1+'Government Figures'!$B$8/12)^B434</f>
        <v>9121.9151383140288</v>
      </c>
      <c r="J434" s="304">
        <f t="shared" ca="1" si="52"/>
        <v>3445.8460783560085</v>
      </c>
      <c r="K434" s="304">
        <f t="shared" ca="1" si="49"/>
        <v>854.55485890669161</v>
      </c>
      <c r="L434" s="278">
        <v>1</v>
      </c>
      <c r="M434" s="279">
        <f t="shared" si="55"/>
        <v>0.13735784313725496</v>
      </c>
      <c r="N434" s="304">
        <f>L434*('College Schedule'!$L$10)*(1+'Government Figures'!$B$8/12)^B434</f>
        <v>5473.1490829884178</v>
      </c>
      <c r="O434" s="304">
        <f t="shared" si="53"/>
        <v>625.22589464052271</v>
      </c>
      <c r="P434" s="304">
        <f t="shared" si="50"/>
        <v>155.05330593125279</v>
      </c>
      <c r="Q434" s="274"/>
      <c r="R434" s="281"/>
      <c r="S434" s="281"/>
      <c r="T434" s="281"/>
      <c r="U434" s="281"/>
      <c r="V434" s="281"/>
      <c r="W434" s="281"/>
      <c r="X434" s="281"/>
      <c r="Y434" s="281"/>
      <c r="Z434" s="281"/>
      <c r="AA434" s="281"/>
      <c r="AB434" s="281"/>
      <c r="AC434" s="281"/>
      <c r="AD434" s="281"/>
    </row>
    <row r="435" spans="1:30" s="288" customFormat="1" x14ac:dyDescent="0.25">
      <c r="A435" s="287"/>
      <c r="B435" s="274">
        <f t="shared" si="51"/>
        <v>420</v>
      </c>
      <c r="C435" s="304">
        <f t="shared" ca="1" si="48"/>
        <v>0</v>
      </c>
      <c r="D435" s="304">
        <f ca="1">IF(ROUND(E434,0)&lt;&gt;0, IF(ROUND(D434,0)&lt;&gt;0, 'Career Comparison'!$F$28-C435, 0), 0)</f>
        <v>0</v>
      </c>
      <c r="E435" s="304">
        <f ca="1">IF(G$7&gt;=B435, E434*(1+'Government Figures'!$D$8/12)-'Career Comparison'!$F$28, 0)</f>
        <v>0</v>
      </c>
      <c r="F435" s="312">
        <f>'College Schedule'!$L$8*(1+'Government Figures'!$B$8/12)^B435</f>
        <v>4102.9701405318619</v>
      </c>
      <c r="G435" s="278">
        <v>1</v>
      </c>
      <c r="H435" s="279">
        <f t="shared" ca="1" si="54"/>
        <v>0.17320110972991043</v>
      </c>
      <c r="I435" s="304">
        <f>G435*('College Schedule'!$L$9)*(1+'Government Figures'!$B$8/12)^B435</f>
        <v>9137.1183302112204</v>
      </c>
      <c r="J435" s="304">
        <f t="shared" ca="1" si="52"/>
        <v>3451.5891551532686</v>
      </c>
      <c r="K435" s="304">
        <f t="shared" ca="1" si="49"/>
        <v>853.13533256299309</v>
      </c>
      <c r="L435" s="278">
        <v>1</v>
      </c>
      <c r="M435" s="279">
        <f t="shared" si="55"/>
        <v>0.13735784313725496</v>
      </c>
      <c r="N435" s="304">
        <f>L435*('College Schedule'!$L$10)*(1+'Government Figures'!$B$8/12)^B435</f>
        <v>5482.2709981267326</v>
      </c>
      <c r="O435" s="304">
        <f t="shared" si="53"/>
        <v>626.26793779825675</v>
      </c>
      <c r="P435" s="304">
        <f t="shared" si="50"/>
        <v>154.79574230013779</v>
      </c>
      <c r="Q435" s="274"/>
      <c r="R435" s="281"/>
      <c r="S435" s="281"/>
      <c r="T435" s="281"/>
      <c r="U435" s="281"/>
      <c r="V435" s="281"/>
      <c r="W435" s="281"/>
      <c r="X435" s="281"/>
      <c r="Y435" s="281"/>
      <c r="Z435" s="281"/>
      <c r="AA435" s="281"/>
      <c r="AB435" s="281"/>
      <c r="AC435" s="281"/>
      <c r="AD435" s="281"/>
    </row>
    <row r="436" spans="1:30" s="288" customFormat="1" x14ac:dyDescent="0.25">
      <c r="A436" s="287"/>
      <c r="B436" s="274">
        <f t="shared" si="51"/>
        <v>421</v>
      </c>
      <c r="C436" s="304">
        <f t="shared" ca="1" si="48"/>
        <v>0</v>
      </c>
      <c r="D436" s="304">
        <f ca="1">IF(ROUND(E435,0)&lt;&gt;0, IF(ROUND(D435,0)&lt;&gt;0, 'Career Comparison'!$F$28-C436, 0), 0)</f>
        <v>0</v>
      </c>
      <c r="E436" s="304">
        <f ca="1">IF(G$7&gt;=B436, E435*(1+'Government Figures'!$D$8/12)-'Career Comparison'!$F$28, 0)</f>
        <v>0</v>
      </c>
      <c r="F436" s="312">
        <f>'College Schedule'!$L$8*(1+'Government Figures'!$B$8/12)^B436</f>
        <v>4109.8084240994149</v>
      </c>
      <c r="G436" s="278">
        <v>1</v>
      </c>
      <c r="H436" s="279">
        <f t="shared" ca="1" si="54"/>
        <v>0.17320110972991043</v>
      </c>
      <c r="I436" s="304">
        <f>G436*('College Schedule'!$L$9)*(1+'Government Figures'!$B$8/12)^B436</f>
        <v>9152.3468607615723</v>
      </c>
      <c r="J436" s="304">
        <f t="shared" ca="1" si="52"/>
        <v>3457.3418037451911</v>
      </c>
      <c r="K436" s="304">
        <f t="shared" ca="1" si="49"/>
        <v>851.71816423647658</v>
      </c>
      <c r="L436" s="278">
        <v>1</v>
      </c>
      <c r="M436" s="279">
        <f t="shared" si="55"/>
        <v>0.13735784313725496</v>
      </c>
      <c r="N436" s="304">
        <f>L436*('College Schedule'!$L$10)*(1+'Government Figures'!$B$8/12)^B436</f>
        <v>5491.4081164569443</v>
      </c>
      <c r="O436" s="304">
        <f t="shared" si="53"/>
        <v>627.31171769458797</v>
      </c>
      <c r="P436" s="304">
        <f t="shared" si="50"/>
        <v>154.53860651558625</v>
      </c>
      <c r="Q436" s="274"/>
      <c r="R436" s="281"/>
      <c r="S436" s="281"/>
      <c r="T436" s="281"/>
      <c r="U436" s="281"/>
      <c r="V436" s="281"/>
      <c r="W436" s="281"/>
      <c r="X436" s="281"/>
      <c r="Y436" s="281"/>
      <c r="Z436" s="281"/>
      <c r="AA436" s="281"/>
      <c r="AB436" s="281"/>
      <c r="AC436" s="281"/>
      <c r="AD436" s="281"/>
    </row>
    <row r="437" spans="1:30" s="288" customFormat="1" x14ac:dyDescent="0.25">
      <c r="A437" s="287"/>
      <c r="B437" s="274">
        <f t="shared" si="51"/>
        <v>422</v>
      </c>
      <c r="C437" s="304">
        <f t="shared" ca="1" si="48"/>
        <v>0</v>
      </c>
      <c r="D437" s="304">
        <f ca="1">IF(ROUND(E436,0)&lt;&gt;0, IF(ROUND(D436,0)&lt;&gt;0, 'Career Comparison'!$F$28-C437, 0), 0)</f>
        <v>0</v>
      </c>
      <c r="E437" s="304">
        <f ca="1">IF(G$7&gt;=B437, E436*(1+'Government Figures'!$D$8/12)-'Career Comparison'!$F$28, 0)</f>
        <v>0</v>
      </c>
      <c r="F437" s="312">
        <f>'College Schedule'!$L$8*(1+'Government Figures'!$B$8/12)^B437</f>
        <v>4116.6581048062471</v>
      </c>
      <c r="G437" s="278">
        <v>1</v>
      </c>
      <c r="H437" s="279">
        <f t="shared" ca="1" si="54"/>
        <v>0.17320110972991043</v>
      </c>
      <c r="I437" s="304">
        <f>G437*('College Schedule'!$L$9)*(1+'Government Figures'!$B$8/12)^B437</f>
        <v>9167.600772196176</v>
      </c>
      <c r="J437" s="304">
        <f t="shared" ca="1" si="52"/>
        <v>3463.1040400847678</v>
      </c>
      <c r="K437" s="304">
        <f t="shared" ca="1" si="49"/>
        <v>850.30335001017011</v>
      </c>
      <c r="L437" s="278">
        <v>1</v>
      </c>
      <c r="M437" s="279">
        <f t="shared" si="55"/>
        <v>0.13735784313725496</v>
      </c>
      <c r="N437" s="304">
        <f>L437*('College Schedule'!$L$10)*(1+'Government Figures'!$B$8/12)^B437</f>
        <v>5500.5604633177063</v>
      </c>
      <c r="O437" s="304">
        <f t="shared" si="53"/>
        <v>628.35723722407874</v>
      </c>
      <c r="P437" s="304">
        <f t="shared" si="50"/>
        <v>154.28189786688915</v>
      </c>
      <c r="Q437" s="274"/>
      <c r="R437" s="281"/>
      <c r="S437" s="281"/>
      <c r="T437" s="281"/>
      <c r="U437" s="281"/>
      <c r="V437" s="281"/>
      <c r="W437" s="281"/>
      <c r="X437" s="281"/>
      <c r="Y437" s="281"/>
      <c r="Z437" s="281"/>
      <c r="AA437" s="281"/>
      <c r="AB437" s="281"/>
      <c r="AC437" s="281"/>
      <c r="AD437" s="281"/>
    </row>
    <row r="438" spans="1:30" s="288" customFormat="1" x14ac:dyDescent="0.25">
      <c r="A438" s="287"/>
      <c r="B438" s="274">
        <f t="shared" si="51"/>
        <v>423</v>
      </c>
      <c r="C438" s="304">
        <f t="shared" ca="1" si="48"/>
        <v>0</v>
      </c>
      <c r="D438" s="304">
        <f ca="1">IF(ROUND(E437,0)&lt;&gt;0, IF(ROUND(D437,0)&lt;&gt;0, 'Career Comparison'!$F$28-C438, 0), 0)</f>
        <v>0</v>
      </c>
      <c r="E438" s="304">
        <f ca="1">IF(G$7&gt;=B438, E437*(1+'Government Figures'!$D$8/12)-'Career Comparison'!$F$28, 0)</f>
        <v>0</v>
      </c>
      <c r="F438" s="312">
        <f>'College Schedule'!$L$8*(1+'Government Figures'!$B$8/12)^B438</f>
        <v>4123.5192016475912</v>
      </c>
      <c r="G438" s="278">
        <v>1</v>
      </c>
      <c r="H438" s="279">
        <f t="shared" ca="1" si="54"/>
        <v>0.17320110972991043</v>
      </c>
      <c r="I438" s="304">
        <f>G438*('College Schedule'!$L$9)*(1+'Government Figures'!$B$8/12)^B438</f>
        <v>9182.880106816503</v>
      </c>
      <c r="J438" s="304">
        <f t="shared" ca="1" si="52"/>
        <v>3468.8758801515751</v>
      </c>
      <c r="K438" s="304">
        <f t="shared" ca="1" si="49"/>
        <v>848.89088597360808</v>
      </c>
      <c r="L438" s="278">
        <v>1</v>
      </c>
      <c r="M438" s="279">
        <f t="shared" si="55"/>
        <v>0.13735784313725496</v>
      </c>
      <c r="N438" s="304">
        <f>L438*('College Schedule'!$L$10)*(1+'Government Figures'!$B$8/12)^B438</f>
        <v>5509.7280640899025</v>
      </c>
      <c r="O438" s="304">
        <f t="shared" si="53"/>
        <v>629.40449928611906</v>
      </c>
      <c r="P438" s="304">
        <f t="shared" si="50"/>
        <v>154.02561564451892</v>
      </c>
      <c r="Q438" s="274"/>
      <c r="R438" s="281"/>
      <c r="S438" s="281"/>
      <c r="T438" s="281"/>
      <c r="U438" s="281"/>
      <c r="V438" s="281"/>
      <c r="W438" s="281"/>
      <c r="X438" s="281"/>
      <c r="Y438" s="281"/>
      <c r="Z438" s="281"/>
      <c r="AA438" s="281"/>
      <c r="AB438" s="281"/>
      <c r="AC438" s="281"/>
      <c r="AD438" s="281"/>
    </row>
    <row r="439" spans="1:30" s="288" customFormat="1" x14ac:dyDescent="0.25">
      <c r="A439" s="287"/>
      <c r="B439" s="274">
        <f t="shared" si="51"/>
        <v>424</v>
      </c>
      <c r="C439" s="304">
        <f t="shared" ca="1" si="48"/>
        <v>0</v>
      </c>
      <c r="D439" s="304">
        <f ca="1">IF(ROUND(E438,0)&lt;&gt;0, IF(ROUND(D438,0)&lt;&gt;0, 'Career Comparison'!$F$28-C439, 0), 0)</f>
        <v>0</v>
      </c>
      <c r="E439" s="304">
        <f ca="1">IF(G$7&gt;=B439, E438*(1+'Government Figures'!$D$8/12)-'Career Comparison'!$F$28, 0)</f>
        <v>0</v>
      </c>
      <c r="F439" s="312">
        <f>'College Schedule'!$L$8*(1+'Government Figures'!$B$8/12)^B439</f>
        <v>4130.3917336503382</v>
      </c>
      <c r="G439" s="278">
        <v>1</v>
      </c>
      <c r="H439" s="279">
        <f t="shared" ca="1" si="54"/>
        <v>0.17320110972991043</v>
      </c>
      <c r="I439" s="304">
        <f>G439*('College Schedule'!$L$9)*(1+'Government Figures'!$B$8/12)^B439</f>
        <v>9198.1849069945329</v>
      </c>
      <c r="J439" s="304">
        <f t="shared" ca="1" si="52"/>
        <v>3474.6573399518284</v>
      </c>
      <c r="K439" s="304">
        <f t="shared" ca="1" si="49"/>
        <v>847.48076822282167</v>
      </c>
      <c r="L439" s="278">
        <v>1</v>
      </c>
      <c r="M439" s="279">
        <f t="shared" si="55"/>
        <v>0.13735784313725496</v>
      </c>
      <c r="N439" s="304">
        <f>L439*('College Schedule'!$L$10)*(1+'Government Figures'!$B$8/12)^B439</f>
        <v>5518.9109441967212</v>
      </c>
      <c r="O439" s="304">
        <f t="shared" si="53"/>
        <v>630.45350678493014</v>
      </c>
      <c r="P439" s="304">
        <f t="shared" si="50"/>
        <v>153.76975914012627</v>
      </c>
      <c r="Q439" s="274"/>
      <c r="R439" s="281"/>
      <c r="S439" s="281"/>
      <c r="T439" s="281"/>
      <c r="U439" s="281"/>
      <c r="V439" s="281"/>
      <c r="W439" s="281"/>
      <c r="X439" s="281"/>
      <c r="Y439" s="281"/>
      <c r="Z439" s="281"/>
      <c r="AA439" s="281"/>
      <c r="AB439" s="281"/>
      <c r="AC439" s="281"/>
      <c r="AD439" s="281"/>
    </row>
    <row r="440" spans="1:30" s="288" customFormat="1" x14ac:dyDescent="0.25">
      <c r="A440" s="287"/>
      <c r="B440" s="274">
        <f t="shared" si="51"/>
        <v>425</v>
      </c>
      <c r="C440" s="304">
        <f t="shared" ref="C440:C495" ca="1" si="56">E439-E440</f>
        <v>0</v>
      </c>
      <c r="D440" s="304">
        <f ca="1">IF(ROUND(E439,0)&lt;&gt;0, IF(ROUND(D439,0)&lt;&gt;0, 'Career Comparison'!$F$28-C440, 0), 0)</f>
        <v>0</v>
      </c>
      <c r="E440" s="304">
        <f ca="1">IF(G$7&gt;=B440, E439*(1+'Government Figures'!$D$8/12)-'Career Comparison'!$F$28, 0)</f>
        <v>0</v>
      </c>
      <c r="F440" s="312">
        <f>'College Schedule'!$L$8*(1+'Government Figures'!$B$8/12)^B440</f>
        <v>4137.2757198730887</v>
      </c>
      <c r="G440" s="278">
        <v>1</v>
      </c>
      <c r="H440" s="279">
        <f t="shared" ca="1" si="54"/>
        <v>0.17320110972991043</v>
      </c>
      <c r="I440" s="304">
        <f>G440*('College Schedule'!$L$9)*(1+'Government Figures'!$B$8/12)^B440</f>
        <v>9213.5152151728562</v>
      </c>
      <c r="J440" s="304">
        <f t="shared" ca="1" si="52"/>
        <v>3480.448435518414</v>
      </c>
      <c r="K440" s="304">
        <f t="shared" ca="1" si="49"/>
        <v>846.07299286032514</v>
      </c>
      <c r="L440" s="278">
        <v>1</v>
      </c>
      <c r="M440" s="279">
        <f t="shared" si="55"/>
        <v>0.13735784313725496</v>
      </c>
      <c r="N440" s="304">
        <f>L440*('College Schedule'!$L$10)*(1+'Government Figures'!$B$8/12)^B440</f>
        <v>5528.1091291037146</v>
      </c>
      <c r="O440" s="304">
        <f t="shared" si="53"/>
        <v>631.5042626295708</v>
      </c>
      <c r="P440" s="304">
        <f t="shared" si="50"/>
        <v>153.51432764653782</v>
      </c>
      <c r="Q440" s="274"/>
      <c r="R440" s="281"/>
      <c r="S440" s="281"/>
      <c r="T440" s="281"/>
      <c r="U440" s="281"/>
      <c r="V440" s="281"/>
      <c r="W440" s="281"/>
      <c r="X440" s="281"/>
      <c r="Y440" s="281"/>
      <c r="Z440" s="281"/>
      <c r="AA440" s="281"/>
      <c r="AB440" s="281"/>
      <c r="AC440" s="281"/>
      <c r="AD440" s="281"/>
    </row>
    <row r="441" spans="1:30" s="288" customFormat="1" x14ac:dyDescent="0.25">
      <c r="A441" s="287"/>
      <c r="B441" s="274">
        <f t="shared" si="51"/>
        <v>426</v>
      </c>
      <c r="C441" s="304">
        <f t="shared" ca="1" si="56"/>
        <v>0</v>
      </c>
      <c r="D441" s="304">
        <f ca="1">IF(ROUND(E440,0)&lt;&gt;0, IF(ROUND(D440,0)&lt;&gt;0, 'Career Comparison'!$F$28-C441, 0), 0)</f>
        <v>0</v>
      </c>
      <c r="E441" s="304">
        <f ca="1">IF(G$7&gt;=B441, E440*(1+'Government Figures'!$D$8/12)-'Career Comparison'!$F$28, 0)</f>
        <v>0</v>
      </c>
      <c r="F441" s="312">
        <f>'College Schedule'!$L$8*(1+'Government Figures'!$B$8/12)^B441</f>
        <v>4144.1711794062103</v>
      </c>
      <c r="G441" s="278">
        <v>1</v>
      </c>
      <c r="H441" s="279">
        <f t="shared" ca="1" si="54"/>
        <v>0.17320110972991043</v>
      </c>
      <c r="I441" s="304">
        <f>G441*('College Schedule'!$L$9)*(1+'Government Figures'!$B$8/12)^B441</f>
        <v>9228.8710738648115</v>
      </c>
      <c r="J441" s="304">
        <f t="shared" ca="1" si="52"/>
        <v>3486.2491829109458</v>
      </c>
      <c r="K441" s="304">
        <f t="shared" ca="1" si="49"/>
        <v>844.66755599510861</v>
      </c>
      <c r="L441" s="278">
        <v>1</v>
      </c>
      <c r="M441" s="279">
        <f t="shared" si="55"/>
        <v>0.13735784313725496</v>
      </c>
      <c r="N441" s="304">
        <f>L441*('College Schedule'!$L$10)*(1+'Government Figures'!$B$8/12)^B441</f>
        <v>5537.3226443188878</v>
      </c>
      <c r="O441" s="304">
        <f t="shared" si="53"/>
        <v>632.55676973395384</v>
      </c>
      <c r="P441" s="304">
        <f t="shared" si="50"/>
        <v>153.25932045775625</v>
      </c>
      <c r="Q441" s="274"/>
      <c r="R441" s="281"/>
      <c r="S441" s="281"/>
      <c r="T441" s="281"/>
      <c r="U441" s="281"/>
      <c r="V441" s="281"/>
      <c r="W441" s="281"/>
      <c r="X441" s="281"/>
      <c r="Y441" s="281"/>
      <c r="Z441" s="281"/>
      <c r="AA441" s="281"/>
      <c r="AB441" s="281"/>
      <c r="AC441" s="281"/>
      <c r="AD441" s="281"/>
    </row>
    <row r="442" spans="1:30" s="288" customFormat="1" x14ac:dyDescent="0.25">
      <c r="A442" s="287"/>
      <c r="B442" s="274">
        <f t="shared" si="51"/>
        <v>427</v>
      </c>
      <c r="C442" s="304">
        <f t="shared" ca="1" si="56"/>
        <v>0</v>
      </c>
      <c r="D442" s="304">
        <f ca="1">IF(ROUND(E441,0)&lt;&gt;0, IF(ROUND(D441,0)&lt;&gt;0, 'Career Comparison'!$F$28-C442, 0), 0)</f>
        <v>0</v>
      </c>
      <c r="E442" s="304">
        <f ca="1">IF(G$7&gt;=B442, E441*(1+'Government Figures'!$D$8/12)-'Career Comparison'!$F$28, 0)</f>
        <v>0</v>
      </c>
      <c r="F442" s="312">
        <f>'College Schedule'!$L$8*(1+'Government Figures'!$B$8/12)^B442</f>
        <v>4151.078131371888</v>
      </c>
      <c r="G442" s="278">
        <v>1</v>
      </c>
      <c r="H442" s="279">
        <f t="shared" ca="1" si="54"/>
        <v>0.17320110972991043</v>
      </c>
      <c r="I442" s="304">
        <f>G442*('College Schedule'!$L$9)*(1+'Government Figures'!$B$8/12)^B442</f>
        <v>9244.2525256545869</v>
      </c>
      <c r="J442" s="304">
        <f t="shared" ca="1" si="52"/>
        <v>3492.0595982157975</v>
      </c>
      <c r="K442" s="304">
        <f t="shared" ca="1" si="49"/>
        <v>843.26445374262494</v>
      </c>
      <c r="L442" s="278">
        <v>1</v>
      </c>
      <c r="M442" s="279">
        <f t="shared" si="55"/>
        <v>0.13735784313725496</v>
      </c>
      <c r="N442" s="304">
        <f>L442*('College Schedule'!$L$10)*(1+'Government Figures'!$B$8/12)^B442</f>
        <v>5546.5515153927527</v>
      </c>
      <c r="O442" s="304">
        <f t="shared" si="53"/>
        <v>633.6110310168433</v>
      </c>
      <c r="P442" s="304">
        <f t="shared" si="50"/>
        <v>153.00473686895583</v>
      </c>
      <c r="Q442" s="274"/>
      <c r="R442" s="281"/>
      <c r="S442" s="281"/>
      <c r="T442" s="281"/>
      <c r="U442" s="281"/>
      <c r="V442" s="281"/>
      <c r="W442" s="281"/>
      <c r="X442" s="281"/>
      <c r="Y442" s="281"/>
      <c r="Z442" s="281"/>
      <c r="AA442" s="281"/>
      <c r="AB442" s="281"/>
      <c r="AC442" s="281"/>
      <c r="AD442" s="281"/>
    </row>
    <row r="443" spans="1:30" s="288" customFormat="1" x14ac:dyDescent="0.25">
      <c r="A443" s="287"/>
      <c r="B443" s="274">
        <f t="shared" si="51"/>
        <v>428</v>
      </c>
      <c r="C443" s="304">
        <f t="shared" ca="1" si="56"/>
        <v>0</v>
      </c>
      <c r="D443" s="304">
        <f ca="1">IF(ROUND(E442,0)&lt;&gt;0, IF(ROUND(D442,0)&lt;&gt;0, 'Career Comparison'!$F$28-C443, 0), 0)</f>
        <v>0</v>
      </c>
      <c r="E443" s="304">
        <f ca="1">IF(G$7&gt;=B443, E442*(1+'Government Figures'!$D$8/12)-'Career Comparison'!$F$28, 0)</f>
        <v>0</v>
      </c>
      <c r="F443" s="312">
        <f>'College Schedule'!$L$8*(1+'Government Figures'!$B$8/12)^B443</f>
        <v>4157.996594924175</v>
      </c>
      <c r="G443" s="278">
        <v>1</v>
      </c>
      <c r="H443" s="279">
        <f t="shared" ca="1" si="54"/>
        <v>0.17320110972991043</v>
      </c>
      <c r="I443" s="304">
        <f>G443*('College Schedule'!$L$9)*(1+'Government Figures'!$B$8/12)^B443</f>
        <v>9259.6596131973456</v>
      </c>
      <c r="J443" s="304">
        <f t="shared" ca="1" si="52"/>
        <v>3497.8796975461573</v>
      </c>
      <c r="K443" s="304">
        <f t="shared" ca="1" si="49"/>
        <v>841.86368222478029</v>
      </c>
      <c r="L443" s="278">
        <v>1</v>
      </c>
      <c r="M443" s="279">
        <f t="shared" si="55"/>
        <v>0.13735784313725496</v>
      </c>
      <c r="N443" s="304">
        <f>L443*('College Schedule'!$L$10)*(1+'Government Figures'!$B$8/12)^B443</f>
        <v>5555.7957679184083</v>
      </c>
      <c r="O443" s="304">
        <f t="shared" si="53"/>
        <v>634.66704940187174</v>
      </c>
      <c r="P443" s="304">
        <f t="shared" si="50"/>
        <v>152.75057617648261</v>
      </c>
      <c r="Q443" s="274"/>
      <c r="R443" s="281"/>
      <c r="S443" s="281"/>
      <c r="T443" s="281"/>
      <c r="U443" s="281"/>
      <c r="V443" s="281"/>
      <c r="W443" s="281"/>
      <c r="X443" s="281"/>
      <c r="Y443" s="281"/>
      <c r="Z443" s="281"/>
      <c r="AA443" s="281"/>
      <c r="AB443" s="281"/>
      <c r="AC443" s="281"/>
      <c r="AD443" s="281"/>
    </row>
    <row r="444" spans="1:30" s="288" customFormat="1" x14ac:dyDescent="0.25">
      <c r="A444" s="287"/>
      <c r="B444" s="274">
        <f t="shared" si="51"/>
        <v>429</v>
      </c>
      <c r="C444" s="304">
        <f t="shared" ca="1" si="56"/>
        <v>0</v>
      </c>
      <c r="D444" s="304">
        <f ca="1">IF(ROUND(E443,0)&lt;&gt;0, IF(ROUND(D443,0)&lt;&gt;0, 'Career Comparison'!$F$28-C444, 0), 0)</f>
        <v>0</v>
      </c>
      <c r="E444" s="304">
        <f ca="1">IF(G$7&gt;=B444, E443*(1+'Government Figures'!$D$8/12)-'Career Comparison'!$F$28, 0)</f>
        <v>0</v>
      </c>
      <c r="F444" s="312">
        <f>'College Schedule'!$L$8*(1+'Government Figures'!$B$8/12)^B444</f>
        <v>4164.9265892490494</v>
      </c>
      <c r="G444" s="278">
        <v>1</v>
      </c>
      <c r="H444" s="279">
        <f t="shared" ca="1" si="54"/>
        <v>0.17320110972991043</v>
      </c>
      <c r="I444" s="304">
        <f>G444*('College Schedule'!$L$9)*(1+'Government Figures'!$B$8/12)^B444</f>
        <v>9275.0923792193425</v>
      </c>
      <c r="J444" s="304">
        <f t="shared" ca="1" si="52"/>
        <v>3503.7094970420676</v>
      </c>
      <c r="K444" s="304">
        <f t="shared" ca="1" si="49"/>
        <v>840.46523756992178</v>
      </c>
      <c r="L444" s="278">
        <v>1</v>
      </c>
      <c r="M444" s="279">
        <f t="shared" si="55"/>
        <v>0.13735784313725496</v>
      </c>
      <c r="N444" s="304">
        <f>L444*('College Schedule'!$L$10)*(1+'Government Figures'!$B$8/12)^B444</f>
        <v>5565.0554275316063</v>
      </c>
      <c r="O444" s="304">
        <f t="shared" si="53"/>
        <v>635.72482781754115</v>
      </c>
      <c r="P444" s="304">
        <f t="shared" si="50"/>
        <v>152.49683767785049</v>
      </c>
      <c r="Q444" s="274"/>
      <c r="R444" s="281"/>
      <c r="S444" s="281"/>
      <c r="T444" s="281"/>
      <c r="U444" s="281"/>
      <c r="V444" s="281"/>
      <c r="W444" s="281"/>
      <c r="X444" s="281"/>
      <c r="Y444" s="281"/>
      <c r="Z444" s="281"/>
      <c r="AA444" s="281"/>
      <c r="AB444" s="281"/>
      <c r="AC444" s="281"/>
      <c r="AD444" s="281"/>
    </row>
    <row r="445" spans="1:30" s="288" customFormat="1" x14ac:dyDescent="0.25">
      <c r="A445" s="287"/>
      <c r="B445" s="274">
        <f t="shared" si="51"/>
        <v>430</v>
      </c>
      <c r="C445" s="304">
        <f t="shared" ca="1" si="56"/>
        <v>0</v>
      </c>
      <c r="D445" s="304">
        <f ca="1">IF(ROUND(E444,0)&lt;&gt;0, IF(ROUND(D444,0)&lt;&gt;0, 'Career Comparison'!$F$28-C445, 0), 0)</f>
        <v>0</v>
      </c>
      <c r="E445" s="304">
        <f ca="1">IF(G$7&gt;=B445, E444*(1+'Government Figures'!$D$8/12)-'Career Comparison'!$F$28, 0)</f>
        <v>0</v>
      </c>
      <c r="F445" s="312">
        <f>'College Schedule'!$L$8*(1+'Government Figures'!$B$8/12)^B445</f>
        <v>4171.8681335644642</v>
      </c>
      <c r="G445" s="278">
        <v>1</v>
      </c>
      <c r="H445" s="279">
        <f t="shared" ca="1" si="54"/>
        <v>0.17320110972991043</v>
      </c>
      <c r="I445" s="304">
        <f>G445*('College Schedule'!$L$9)*(1+'Government Figures'!$B$8/12)^B445</f>
        <v>9290.5508665180405</v>
      </c>
      <c r="J445" s="304">
        <f t="shared" ca="1" si="52"/>
        <v>3509.5490128704705</v>
      </c>
      <c r="K445" s="304">
        <f t="shared" ca="1" si="49"/>
        <v>839.06911591282858</v>
      </c>
      <c r="L445" s="278">
        <v>1</v>
      </c>
      <c r="M445" s="279">
        <f t="shared" si="55"/>
        <v>0.13735784313725496</v>
      </c>
      <c r="N445" s="304">
        <f>L445*('College Schedule'!$L$10)*(1+'Government Figures'!$B$8/12)^B445</f>
        <v>5574.3305199108254</v>
      </c>
      <c r="O445" s="304">
        <f t="shared" si="53"/>
        <v>636.78436919723754</v>
      </c>
      <c r="P445" s="304">
        <f t="shared" si="50"/>
        <v>152.24352067174118</v>
      </c>
      <c r="Q445" s="274"/>
      <c r="R445" s="281"/>
      <c r="S445" s="281"/>
      <c r="T445" s="281"/>
      <c r="U445" s="281"/>
      <c r="V445" s="281"/>
      <c r="W445" s="281"/>
      <c r="X445" s="281"/>
      <c r="Y445" s="281"/>
      <c r="Z445" s="281"/>
      <c r="AA445" s="281"/>
      <c r="AB445" s="281"/>
      <c r="AC445" s="281"/>
      <c r="AD445" s="281"/>
    </row>
    <row r="446" spans="1:30" s="288" customFormat="1" x14ac:dyDescent="0.25">
      <c r="A446" s="287"/>
      <c r="B446" s="274">
        <f t="shared" si="51"/>
        <v>431</v>
      </c>
      <c r="C446" s="304">
        <f t="shared" ca="1" si="56"/>
        <v>0</v>
      </c>
      <c r="D446" s="304">
        <f ca="1">IF(ROUND(E445,0)&lt;&gt;0, IF(ROUND(D445,0)&lt;&gt;0, 'Career Comparison'!$F$28-C446, 0), 0)</f>
        <v>0</v>
      </c>
      <c r="E446" s="304">
        <f ca="1">IF(G$7&gt;=B446, E445*(1+'Government Figures'!$D$8/12)-'Career Comparison'!$F$28, 0)</f>
        <v>0</v>
      </c>
      <c r="F446" s="312">
        <f>'College Schedule'!$L$8*(1+'Government Figures'!$B$8/12)^B446</f>
        <v>4178.8212471204051</v>
      </c>
      <c r="G446" s="278">
        <v>1</v>
      </c>
      <c r="H446" s="279">
        <f t="shared" ca="1" si="54"/>
        <v>0.17320110972991043</v>
      </c>
      <c r="I446" s="304">
        <f>G446*('College Schedule'!$L$9)*(1+'Government Figures'!$B$8/12)^B446</f>
        <v>9306.0351179622376</v>
      </c>
      <c r="J446" s="304">
        <f t="shared" ca="1" si="52"/>
        <v>3515.3982612252548</v>
      </c>
      <c r="K446" s="304">
        <f t="shared" ca="1" si="49"/>
        <v>837.67531339470077</v>
      </c>
      <c r="L446" s="278">
        <v>1</v>
      </c>
      <c r="M446" s="279">
        <f t="shared" si="55"/>
        <v>0.13735784313725496</v>
      </c>
      <c r="N446" s="304">
        <f>L446*('College Schedule'!$L$10)*(1+'Government Figures'!$B$8/12)^B446</f>
        <v>5583.6210707773434</v>
      </c>
      <c r="O446" s="304">
        <f t="shared" si="53"/>
        <v>637.84567647923268</v>
      </c>
      <c r="P446" s="304">
        <f t="shared" si="50"/>
        <v>151.99062445800064</v>
      </c>
      <c r="Q446" s="274"/>
      <c r="R446" s="281"/>
      <c r="S446" s="281"/>
      <c r="T446" s="281"/>
      <c r="U446" s="281"/>
      <c r="V446" s="281"/>
      <c r="W446" s="281"/>
      <c r="X446" s="281"/>
      <c r="Y446" s="281"/>
      <c r="Z446" s="281"/>
      <c r="AA446" s="281"/>
      <c r="AB446" s="281"/>
      <c r="AC446" s="281"/>
      <c r="AD446" s="281"/>
    </row>
    <row r="447" spans="1:30" s="288" customFormat="1" x14ac:dyDescent="0.25">
      <c r="A447" s="287"/>
      <c r="B447" s="274">
        <f t="shared" si="51"/>
        <v>432</v>
      </c>
      <c r="C447" s="304">
        <f t="shared" ca="1" si="56"/>
        <v>0</v>
      </c>
      <c r="D447" s="304">
        <f ca="1">IF(ROUND(E446,0)&lt;&gt;0, IF(ROUND(D446,0)&lt;&gt;0, 'Career Comparison'!$F$28-C447, 0), 0)</f>
        <v>0</v>
      </c>
      <c r="E447" s="304">
        <f ca="1">IF(G$7&gt;=B447, E446*(1+'Government Figures'!$D$8/12)-'Career Comparison'!$F$28, 0)</f>
        <v>0</v>
      </c>
      <c r="F447" s="312">
        <f>'College Schedule'!$L$8*(1+'Government Figures'!$B$8/12)^B447</f>
        <v>4185.7859491989402</v>
      </c>
      <c r="G447" s="278">
        <v>1</v>
      </c>
      <c r="H447" s="279">
        <f t="shared" ca="1" si="54"/>
        <v>0.17320110972991043</v>
      </c>
      <c r="I447" s="304">
        <f>G447*('College Schedule'!$L$9)*(1+'Government Figures'!$B$8/12)^B447</f>
        <v>9321.5451764921781</v>
      </c>
      <c r="J447" s="304">
        <f t="shared" ca="1" si="52"/>
        <v>3521.2572583272986</v>
      </c>
      <c r="K447" s="304">
        <f t="shared" ca="1" si="49"/>
        <v>836.28382616314855</v>
      </c>
      <c r="L447" s="278">
        <v>1</v>
      </c>
      <c r="M447" s="279">
        <f t="shared" si="55"/>
        <v>0.13735784313725496</v>
      </c>
      <c r="N447" s="304">
        <f>L447*('College Schedule'!$L$10)*(1+'Government Figures'!$B$8/12)^B447</f>
        <v>5592.9271058953082</v>
      </c>
      <c r="O447" s="304">
        <f t="shared" si="53"/>
        <v>638.90875260669873</v>
      </c>
      <c r="P447" s="304">
        <f t="shared" si="50"/>
        <v>151.73814833763868</v>
      </c>
      <c r="Q447" s="274"/>
      <c r="R447" s="281"/>
      <c r="S447" s="281"/>
      <c r="T447" s="281"/>
      <c r="U447" s="281"/>
      <c r="V447" s="281"/>
      <c r="W447" s="281"/>
      <c r="X447" s="281"/>
      <c r="Y447" s="281"/>
      <c r="Z447" s="281"/>
      <c r="AA447" s="281"/>
      <c r="AB447" s="281"/>
      <c r="AC447" s="281"/>
      <c r="AD447" s="281"/>
    </row>
    <row r="448" spans="1:30" s="288" customFormat="1" x14ac:dyDescent="0.25">
      <c r="A448" s="287"/>
      <c r="B448" s="274">
        <f t="shared" si="51"/>
        <v>433</v>
      </c>
      <c r="C448" s="304">
        <f t="shared" ca="1" si="56"/>
        <v>0</v>
      </c>
      <c r="D448" s="304">
        <f ca="1">IF(ROUND(E447,0)&lt;&gt;0, IF(ROUND(D447,0)&lt;&gt;0, 'Career Comparison'!$F$28-C448, 0), 0)</f>
        <v>0</v>
      </c>
      <c r="E448" s="304">
        <f ca="1">IF(G$7&gt;=B448, E447*(1+'Government Figures'!$D$8/12)-'Career Comparison'!$F$28, 0)</f>
        <v>0</v>
      </c>
      <c r="F448" s="312">
        <f>'College Schedule'!$L$8*(1+'Government Figures'!$B$8/12)^B448</f>
        <v>4192.7622591142708</v>
      </c>
      <c r="G448" s="278">
        <v>1</v>
      </c>
      <c r="H448" s="279">
        <f t="shared" ca="1" si="54"/>
        <v>0.17320110972991043</v>
      </c>
      <c r="I448" s="304">
        <f>G448*('College Schedule'!$L$9)*(1+'Government Figures'!$B$8/12)^B448</f>
        <v>9337.0810851196638</v>
      </c>
      <c r="J448" s="304">
        <f t="shared" ca="1" si="52"/>
        <v>3527.1260204245109</v>
      </c>
      <c r="K448" s="304">
        <f t="shared" ca="1" si="49"/>
        <v>834.89465037217974</v>
      </c>
      <c r="L448" s="278">
        <v>1</v>
      </c>
      <c r="M448" s="279">
        <f t="shared" si="55"/>
        <v>0.13735784313725496</v>
      </c>
      <c r="N448" s="304">
        <f>L448*('College Schedule'!$L$10)*(1+'Government Figures'!$B$8/12)^B448</f>
        <v>5602.248651071799</v>
      </c>
      <c r="O448" s="304">
        <f t="shared" si="53"/>
        <v>639.97360052771</v>
      </c>
      <c r="P448" s="304">
        <f t="shared" si="50"/>
        <v>151.48609161282533</v>
      </c>
      <c r="Q448" s="274"/>
      <c r="R448" s="281"/>
      <c r="S448" s="281"/>
      <c r="T448" s="281"/>
      <c r="U448" s="281"/>
      <c r="V448" s="281"/>
      <c r="W448" s="281"/>
      <c r="X448" s="281"/>
      <c r="Y448" s="281"/>
      <c r="Z448" s="281"/>
      <c r="AA448" s="281"/>
      <c r="AB448" s="281"/>
      <c r="AC448" s="281"/>
      <c r="AD448" s="281"/>
    </row>
    <row r="449" spans="1:30" s="288" customFormat="1" x14ac:dyDescent="0.25">
      <c r="A449" s="287"/>
      <c r="B449" s="274">
        <f t="shared" si="51"/>
        <v>434</v>
      </c>
      <c r="C449" s="304">
        <f t="shared" ca="1" si="56"/>
        <v>0</v>
      </c>
      <c r="D449" s="304">
        <f ca="1">IF(ROUND(E448,0)&lt;&gt;0, IF(ROUND(D448,0)&lt;&gt;0, 'Career Comparison'!$F$28-C449, 0), 0)</f>
        <v>0</v>
      </c>
      <c r="E449" s="304">
        <f ca="1">IF(G$7&gt;=B449, E448*(1+'Government Figures'!$D$8/12)-'Career Comparison'!$F$28, 0)</f>
        <v>0</v>
      </c>
      <c r="F449" s="312">
        <f>'College Schedule'!$L$8*(1+'Government Figures'!$B$8/12)^B449</f>
        <v>4199.7501962127944</v>
      </c>
      <c r="G449" s="278">
        <v>1</v>
      </c>
      <c r="H449" s="279">
        <f t="shared" ca="1" si="54"/>
        <v>0.17320110972991043</v>
      </c>
      <c r="I449" s="304">
        <f>G449*('College Schedule'!$L$9)*(1+'Government Figures'!$B$8/12)^B449</f>
        <v>9352.6428869281954</v>
      </c>
      <c r="J449" s="304">
        <f t="shared" ca="1" si="52"/>
        <v>3533.0045637918847</v>
      </c>
      <c r="K449" s="304">
        <f t="shared" ca="1" si="49"/>
        <v>833.50778218219261</v>
      </c>
      <c r="L449" s="278">
        <v>1</v>
      </c>
      <c r="M449" s="279">
        <f t="shared" si="55"/>
        <v>0.13735784313725496</v>
      </c>
      <c r="N449" s="304">
        <f>L449*('College Schedule'!$L$10)*(1+'Government Figures'!$B$8/12)^B449</f>
        <v>5611.5857321569183</v>
      </c>
      <c r="O449" s="304">
        <f t="shared" si="53"/>
        <v>641.04022319525575</v>
      </c>
      <c r="P449" s="304">
        <f t="shared" si="50"/>
        <v>151.23445358689031</v>
      </c>
      <c r="Q449" s="274"/>
      <c r="R449" s="281"/>
      <c r="S449" s="281"/>
      <c r="T449" s="281"/>
      <c r="U449" s="281"/>
      <c r="V449" s="281"/>
      <c r="W449" s="281"/>
      <c r="X449" s="281"/>
      <c r="Y449" s="281"/>
      <c r="Z449" s="281"/>
      <c r="AA449" s="281"/>
      <c r="AB449" s="281"/>
      <c r="AC449" s="281"/>
      <c r="AD449" s="281"/>
    </row>
    <row r="450" spans="1:30" s="288" customFormat="1" x14ac:dyDescent="0.25">
      <c r="A450" s="287"/>
      <c r="B450" s="274">
        <f t="shared" si="51"/>
        <v>435</v>
      </c>
      <c r="C450" s="304">
        <f t="shared" ca="1" si="56"/>
        <v>0</v>
      </c>
      <c r="D450" s="304">
        <f ca="1">IF(ROUND(E449,0)&lt;&gt;0, IF(ROUND(D449,0)&lt;&gt;0, 'Career Comparison'!$F$28-C450, 0), 0)</f>
        <v>0</v>
      </c>
      <c r="E450" s="304">
        <f ca="1">IF(G$7&gt;=B450, E449*(1+'Government Figures'!$D$8/12)-'Career Comparison'!$F$28, 0)</f>
        <v>0</v>
      </c>
      <c r="F450" s="312">
        <f>'College Schedule'!$L$8*(1+'Government Figures'!$B$8/12)^B450</f>
        <v>4206.7497798731501</v>
      </c>
      <c r="G450" s="278">
        <v>1</v>
      </c>
      <c r="H450" s="279">
        <f t="shared" ca="1" si="54"/>
        <v>0.17320110972991043</v>
      </c>
      <c r="I450" s="304">
        <f>G450*('College Schedule'!$L$9)*(1+'Government Figures'!$B$8/12)^B450</f>
        <v>9368.230625073078</v>
      </c>
      <c r="J450" s="304">
        <f t="shared" ca="1" si="52"/>
        <v>3538.8929047315387</v>
      </c>
      <c r="K450" s="304">
        <f t="shared" ca="1" si="49"/>
        <v>832.12321775996304</v>
      </c>
      <c r="L450" s="278">
        <v>1</v>
      </c>
      <c r="M450" s="279">
        <f t="shared" si="55"/>
        <v>0.13735784313725496</v>
      </c>
      <c r="N450" s="304">
        <f>L450*('College Schedule'!$L$10)*(1+'Government Figures'!$B$8/12)^B450</f>
        <v>5620.9383750438483</v>
      </c>
      <c r="O450" s="304">
        <f t="shared" si="53"/>
        <v>642.10862356724829</v>
      </c>
      <c r="P450" s="304">
        <f t="shared" si="50"/>
        <v>150.98323356432078</v>
      </c>
      <c r="Q450" s="274"/>
      <c r="R450" s="281"/>
      <c r="S450" s="281"/>
      <c r="T450" s="281"/>
      <c r="U450" s="281"/>
      <c r="V450" s="281"/>
      <c r="W450" s="281"/>
      <c r="X450" s="281"/>
      <c r="Y450" s="281"/>
      <c r="Z450" s="281"/>
      <c r="AA450" s="281"/>
      <c r="AB450" s="281"/>
      <c r="AC450" s="281"/>
      <c r="AD450" s="281"/>
    </row>
    <row r="451" spans="1:30" s="288" customFormat="1" x14ac:dyDescent="0.25">
      <c r="A451" s="287"/>
      <c r="B451" s="274">
        <f t="shared" si="51"/>
        <v>436</v>
      </c>
      <c r="C451" s="304">
        <f t="shared" ca="1" si="56"/>
        <v>0</v>
      </c>
      <c r="D451" s="304">
        <f ca="1">IF(ROUND(E450,0)&lt;&gt;0, IF(ROUND(D450,0)&lt;&gt;0, 'Career Comparison'!$F$28-C451, 0), 0)</f>
        <v>0</v>
      </c>
      <c r="E451" s="304">
        <f ca="1">IF(G$7&gt;=B451, E450*(1+'Government Figures'!$D$8/12)-'Career Comparison'!$F$28, 0)</f>
        <v>0</v>
      </c>
      <c r="F451" s="312">
        <f>'College Schedule'!$L$8*(1+'Government Figures'!$B$8/12)^B451</f>
        <v>4213.7610295062732</v>
      </c>
      <c r="G451" s="278">
        <v>1</v>
      </c>
      <c r="H451" s="279">
        <f t="shared" ca="1" si="54"/>
        <v>0.17320110972991043</v>
      </c>
      <c r="I451" s="304">
        <f>G451*('College Schedule'!$L$9)*(1+'Government Figures'!$B$8/12)^B451</f>
        <v>9383.8443427815346</v>
      </c>
      <c r="J451" s="304">
        <f t="shared" ca="1" si="52"/>
        <v>3544.7910595727571</v>
      </c>
      <c r="K451" s="304">
        <f t="shared" ca="1" si="49"/>
        <v>830.74095327863415</v>
      </c>
      <c r="L451" s="278">
        <v>1</v>
      </c>
      <c r="M451" s="279">
        <f t="shared" si="55"/>
        <v>0.13735784313725496</v>
      </c>
      <c r="N451" s="304">
        <f>L451*('College Schedule'!$L$10)*(1+'Government Figures'!$B$8/12)^B451</f>
        <v>5630.3066056689213</v>
      </c>
      <c r="O451" s="304">
        <f t="shared" si="53"/>
        <v>643.17880460652577</v>
      </c>
      <c r="P451" s="304">
        <f t="shared" si="50"/>
        <v>150.7324308507585</v>
      </c>
      <c r="Q451" s="274"/>
      <c r="R451" s="281"/>
      <c r="S451" s="281"/>
      <c r="T451" s="281"/>
      <c r="U451" s="281"/>
      <c r="V451" s="281"/>
      <c r="W451" s="281"/>
      <c r="X451" s="281"/>
      <c r="Y451" s="281"/>
      <c r="Z451" s="281"/>
      <c r="AA451" s="281"/>
      <c r="AB451" s="281"/>
      <c r="AC451" s="281"/>
      <c r="AD451" s="281"/>
    </row>
    <row r="452" spans="1:30" s="288" customFormat="1" x14ac:dyDescent="0.25">
      <c r="A452" s="287"/>
      <c r="B452" s="274">
        <f t="shared" si="51"/>
        <v>437</v>
      </c>
      <c r="C452" s="304">
        <f t="shared" ca="1" si="56"/>
        <v>0</v>
      </c>
      <c r="D452" s="304">
        <f ca="1">IF(ROUND(E451,0)&lt;&gt;0, IF(ROUND(D451,0)&lt;&gt;0, 'Career Comparison'!$F$28-C452, 0), 0)</f>
        <v>0</v>
      </c>
      <c r="E452" s="304">
        <f ca="1">IF(G$7&gt;=B452, E451*(1+'Government Figures'!$D$8/12)-'Career Comparison'!$F$28, 0)</f>
        <v>0</v>
      </c>
      <c r="F452" s="312">
        <f>'College Schedule'!$L$8*(1+'Government Figures'!$B$8/12)^B452</f>
        <v>4220.7839645554495</v>
      </c>
      <c r="G452" s="278">
        <v>1</v>
      </c>
      <c r="H452" s="279">
        <f t="shared" ca="1" si="54"/>
        <v>0.17320110972991043</v>
      </c>
      <c r="I452" s="304">
        <f>G452*('College Schedule'!$L$9)*(1+'Government Figures'!$B$8/12)^B452</f>
        <v>9399.484083352836</v>
      </c>
      <c r="J452" s="304">
        <f t="shared" ca="1" si="52"/>
        <v>3550.6990446720456</v>
      </c>
      <c r="K452" s="304">
        <f t="shared" ca="1" si="49"/>
        <v>829.36098491770622</v>
      </c>
      <c r="L452" s="278">
        <v>1</v>
      </c>
      <c r="M452" s="279">
        <f t="shared" si="55"/>
        <v>0.13735784313725496</v>
      </c>
      <c r="N452" s="304">
        <f>L452*('College Schedule'!$L$10)*(1+'Government Figures'!$B$8/12)^B452</f>
        <v>5639.6904500117034</v>
      </c>
      <c r="O452" s="304">
        <f t="shared" si="53"/>
        <v>644.25076928087128</v>
      </c>
      <c r="P452" s="304">
        <f t="shared" si="50"/>
        <v>150.48204475300005</v>
      </c>
      <c r="Q452" s="274"/>
      <c r="R452" s="281"/>
      <c r="S452" s="281"/>
      <c r="T452" s="281"/>
      <c r="U452" s="281"/>
      <c r="V452" s="281"/>
      <c r="W452" s="281"/>
      <c r="X452" s="281"/>
      <c r="Y452" s="281"/>
      <c r="Z452" s="281"/>
      <c r="AA452" s="281"/>
      <c r="AB452" s="281"/>
      <c r="AC452" s="281"/>
      <c r="AD452" s="281"/>
    </row>
    <row r="453" spans="1:30" s="288" customFormat="1" x14ac:dyDescent="0.25">
      <c r="A453" s="287"/>
      <c r="B453" s="274">
        <f t="shared" si="51"/>
        <v>438</v>
      </c>
      <c r="C453" s="304">
        <f t="shared" ca="1" si="56"/>
        <v>0</v>
      </c>
      <c r="D453" s="304">
        <f ca="1">IF(ROUND(E452,0)&lt;&gt;0, IF(ROUND(D452,0)&lt;&gt;0, 'Career Comparison'!$F$28-C453, 0), 0)</f>
        <v>0</v>
      </c>
      <c r="E453" s="304">
        <f ca="1">IF(G$7&gt;=B453, E452*(1+'Government Figures'!$D$8/12)-'Career Comparison'!$F$28, 0)</f>
        <v>0</v>
      </c>
      <c r="F453" s="312">
        <f>'College Schedule'!$L$8*(1+'Government Figures'!$B$8/12)^B453</f>
        <v>4227.8186044963759</v>
      </c>
      <c r="G453" s="278">
        <v>1</v>
      </c>
      <c r="H453" s="279">
        <f t="shared" ca="1" si="54"/>
        <v>0.17320110972991043</v>
      </c>
      <c r="I453" s="304">
        <f>G453*('College Schedule'!$L$9)*(1+'Government Figures'!$B$8/12)^B453</f>
        <v>9415.1498901584255</v>
      </c>
      <c r="J453" s="304">
        <f t="shared" ca="1" si="52"/>
        <v>3556.6168764131662</v>
      </c>
      <c r="K453" s="304">
        <f t="shared" ca="1" si="49"/>
        <v>827.98330886302551</v>
      </c>
      <c r="L453" s="278">
        <v>1</v>
      </c>
      <c r="M453" s="279">
        <f t="shared" si="55"/>
        <v>0.13735784313725496</v>
      </c>
      <c r="N453" s="304">
        <f>L453*('College Schedule'!$L$10)*(1+'Government Figures'!$B$8/12)^B453</f>
        <v>5649.0899340950564</v>
      </c>
      <c r="O453" s="304">
        <f t="shared" si="53"/>
        <v>645.32452056300554</v>
      </c>
      <c r="P453" s="304">
        <f t="shared" si="50"/>
        <v>150.23207457899159</v>
      </c>
      <c r="Q453" s="274"/>
      <c r="R453" s="281"/>
      <c r="S453" s="281"/>
      <c r="T453" s="281"/>
      <c r="U453" s="281"/>
      <c r="V453" s="281"/>
      <c r="W453" s="281"/>
      <c r="X453" s="281"/>
      <c r="Y453" s="281"/>
      <c r="Z453" s="281"/>
      <c r="AA453" s="281"/>
      <c r="AB453" s="281"/>
      <c r="AC453" s="281"/>
      <c r="AD453" s="281"/>
    </row>
    <row r="454" spans="1:30" s="288" customFormat="1" x14ac:dyDescent="0.25">
      <c r="A454" s="287"/>
      <c r="B454" s="274">
        <f t="shared" si="51"/>
        <v>439</v>
      </c>
      <c r="C454" s="304">
        <f t="shared" ca="1" si="56"/>
        <v>0</v>
      </c>
      <c r="D454" s="304">
        <f ca="1">IF(ROUND(E453,0)&lt;&gt;0, IF(ROUND(D453,0)&lt;&gt;0, 'Career Comparison'!$F$28-C454, 0), 0)</f>
        <v>0</v>
      </c>
      <c r="E454" s="304">
        <f ca="1">IF(G$7&gt;=B454, E453*(1+'Government Figures'!$D$8/12)-'Career Comparison'!$F$28, 0)</f>
        <v>0</v>
      </c>
      <c r="F454" s="312">
        <f>'College Schedule'!$L$8*(1+'Government Figures'!$B$8/12)^B454</f>
        <v>4234.8649688372034</v>
      </c>
      <c r="G454" s="278">
        <v>1</v>
      </c>
      <c r="H454" s="279">
        <f t="shared" ca="1" si="54"/>
        <v>0.17320110972991043</v>
      </c>
      <c r="I454" s="304">
        <f>G454*('College Schedule'!$L$9)*(1+'Government Figures'!$B$8/12)^B454</f>
        <v>9430.8418066420236</v>
      </c>
      <c r="J454" s="304">
        <f t="shared" ca="1" si="52"/>
        <v>3562.5445712071887</v>
      </c>
      <c r="K454" s="304">
        <f t="shared" ca="1" si="49"/>
        <v>826.60792130677476</v>
      </c>
      <c r="L454" s="278">
        <v>1</v>
      </c>
      <c r="M454" s="279">
        <f t="shared" si="55"/>
        <v>0.13735784313725496</v>
      </c>
      <c r="N454" s="304">
        <f>L454*('College Schedule'!$L$10)*(1+'Government Figures'!$B$8/12)^B454</f>
        <v>5658.5050839852147</v>
      </c>
      <c r="O454" s="304">
        <f t="shared" si="53"/>
        <v>646.40006143061055</v>
      </c>
      <c r="P454" s="304">
        <f t="shared" si="50"/>
        <v>149.98251963783045</v>
      </c>
      <c r="Q454" s="274"/>
      <c r="R454" s="281"/>
      <c r="S454" s="281"/>
      <c r="T454" s="281"/>
      <c r="U454" s="281"/>
      <c r="V454" s="281"/>
      <c r="W454" s="281"/>
      <c r="X454" s="281"/>
      <c r="Y454" s="281"/>
      <c r="Z454" s="281"/>
      <c r="AA454" s="281"/>
      <c r="AB454" s="281"/>
      <c r="AC454" s="281"/>
      <c r="AD454" s="281"/>
    </row>
    <row r="455" spans="1:30" s="288" customFormat="1" x14ac:dyDescent="0.25">
      <c r="A455" s="287"/>
      <c r="B455" s="274">
        <f t="shared" si="51"/>
        <v>440</v>
      </c>
      <c r="C455" s="304">
        <f t="shared" ca="1" si="56"/>
        <v>0</v>
      </c>
      <c r="D455" s="304">
        <f ca="1">IF(ROUND(E454,0)&lt;&gt;0, IF(ROUND(D454,0)&lt;&gt;0, 'Career Comparison'!$F$28-C455, 0), 0)</f>
        <v>0</v>
      </c>
      <c r="E455" s="304">
        <f ca="1">IF(G$7&gt;=B455, E454*(1+'Government Figures'!$D$8/12)-'Career Comparison'!$F$28, 0)</f>
        <v>0</v>
      </c>
      <c r="F455" s="312">
        <f>'College Schedule'!$L$8*(1+'Government Figures'!$B$8/12)^B455</f>
        <v>4241.9230771186003</v>
      </c>
      <c r="G455" s="278">
        <v>1</v>
      </c>
      <c r="H455" s="279">
        <f t="shared" ca="1" si="54"/>
        <v>0.17320110972991043</v>
      </c>
      <c r="I455" s="304">
        <f>G455*('College Schedule'!$L$9)*(1+'Government Figures'!$B$8/12)^B455</f>
        <v>9446.5598763197631</v>
      </c>
      <c r="J455" s="304">
        <f t="shared" ca="1" si="52"/>
        <v>3568.4821454925341</v>
      </c>
      <c r="K455" s="304">
        <f t="shared" ca="1" si="49"/>
        <v>825.23481844746118</v>
      </c>
      <c r="L455" s="278">
        <v>1</v>
      </c>
      <c r="M455" s="279">
        <f t="shared" si="55"/>
        <v>0.13735784313725496</v>
      </c>
      <c r="N455" s="304">
        <f>L455*('College Schedule'!$L$10)*(1+'Government Figures'!$B$8/12)^B455</f>
        <v>5667.9359257918586</v>
      </c>
      <c r="O455" s="304">
        <f t="shared" si="53"/>
        <v>647.47739486632781</v>
      </c>
      <c r="P455" s="304">
        <f t="shared" si="50"/>
        <v>149.73337923976086</v>
      </c>
      <c r="Q455" s="274"/>
      <c r="R455" s="281"/>
      <c r="S455" s="281"/>
      <c r="T455" s="281"/>
      <c r="U455" s="281"/>
      <c r="V455" s="281"/>
      <c r="W455" s="281"/>
      <c r="X455" s="281"/>
      <c r="Y455" s="281"/>
      <c r="Z455" s="281"/>
      <c r="AA455" s="281"/>
      <c r="AB455" s="281"/>
      <c r="AC455" s="281"/>
      <c r="AD455" s="281"/>
    </row>
    <row r="456" spans="1:30" s="288" customFormat="1" x14ac:dyDescent="0.25">
      <c r="A456" s="287"/>
      <c r="B456" s="274">
        <f t="shared" si="51"/>
        <v>441</v>
      </c>
      <c r="C456" s="304">
        <f t="shared" ca="1" si="56"/>
        <v>0</v>
      </c>
      <c r="D456" s="304">
        <f ca="1">IF(ROUND(E455,0)&lt;&gt;0, IF(ROUND(D455,0)&lt;&gt;0, 'Career Comparison'!$F$28-C456, 0), 0)</f>
        <v>0</v>
      </c>
      <c r="E456" s="304">
        <f ca="1">IF(G$7&gt;=B456, E455*(1+'Government Figures'!$D$8/12)-'Career Comparison'!$F$28, 0)</f>
        <v>0</v>
      </c>
      <c r="F456" s="312">
        <f>'College Schedule'!$L$8*(1+'Government Figures'!$B$8/12)^B456</f>
        <v>4248.9929489137967</v>
      </c>
      <c r="G456" s="278">
        <v>1</v>
      </c>
      <c r="H456" s="279">
        <f t="shared" ca="1" si="54"/>
        <v>0.17320110972991043</v>
      </c>
      <c r="I456" s="304">
        <f>G456*('College Schedule'!$L$9)*(1+'Government Figures'!$B$8/12)^B456</f>
        <v>9462.3041427802946</v>
      </c>
      <c r="J456" s="304">
        <f t="shared" ca="1" si="52"/>
        <v>3574.4296157350218</v>
      </c>
      <c r="K456" s="304">
        <f t="shared" ca="1" si="49"/>
        <v>823.86399648990732</v>
      </c>
      <c r="L456" s="278">
        <v>1</v>
      </c>
      <c r="M456" s="279">
        <f t="shared" si="55"/>
        <v>0.13735784313725496</v>
      </c>
      <c r="N456" s="304">
        <f>L456*('College Schedule'!$L$10)*(1+'Government Figures'!$B$8/12)^B456</f>
        <v>5677.3824856681777</v>
      </c>
      <c r="O456" s="304">
        <f t="shared" si="53"/>
        <v>648.55652385777285</v>
      </c>
      <c r="P456" s="304">
        <f t="shared" si="50"/>
        <v>149.4846526961735</v>
      </c>
      <c r="Q456" s="274"/>
      <c r="R456" s="281"/>
      <c r="S456" s="281"/>
      <c r="T456" s="281"/>
      <c r="U456" s="281"/>
      <c r="V456" s="281"/>
      <c r="W456" s="281"/>
      <c r="X456" s="281"/>
      <c r="Y456" s="281"/>
      <c r="Z456" s="281"/>
      <c r="AA456" s="281"/>
      <c r="AB456" s="281"/>
      <c r="AC456" s="281"/>
      <c r="AD456" s="281"/>
    </row>
    <row r="457" spans="1:30" s="288" customFormat="1" x14ac:dyDescent="0.25">
      <c r="A457" s="287"/>
      <c r="B457" s="274">
        <f t="shared" si="51"/>
        <v>442</v>
      </c>
      <c r="C457" s="304">
        <f t="shared" ca="1" si="56"/>
        <v>0</v>
      </c>
      <c r="D457" s="304">
        <f ca="1">IF(ROUND(E456,0)&lt;&gt;0, IF(ROUND(D456,0)&lt;&gt;0, 'Career Comparison'!$F$28-C457, 0), 0)</f>
        <v>0</v>
      </c>
      <c r="E457" s="304">
        <f ca="1">IF(G$7&gt;=B457, E456*(1+'Government Figures'!$D$8/12)-'Career Comparison'!$F$28, 0)</f>
        <v>0</v>
      </c>
      <c r="F457" s="312">
        <f>'College Schedule'!$L$8*(1+'Government Figures'!$B$8/12)^B457</f>
        <v>4256.0746038286534</v>
      </c>
      <c r="G457" s="278">
        <v>1</v>
      </c>
      <c r="H457" s="279">
        <f t="shared" ca="1" si="54"/>
        <v>0.17320110972991043</v>
      </c>
      <c r="I457" s="304">
        <f>G457*('College Schedule'!$L$9)*(1+'Government Figures'!$B$8/12)^B457</f>
        <v>9478.0746496849279</v>
      </c>
      <c r="J457" s="304">
        <f t="shared" ca="1" si="52"/>
        <v>3580.3869984279127</v>
      </c>
      <c r="K457" s="304">
        <f t="shared" ca="1" si="49"/>
        <v>822.49545164523943</v>
      </c>
      <c r="L457" s="278">
        <v>1</v>
      </c>
      <c r="M457" s="279">
        <f t="shared" si="55"/>
        <v>0.13735784313725496</v>
      </c>
      <c r="N457" s="304">
        <f>L457*('College Schedule'!$L$10)*(1+'Government Figures'!$B$8/12)^B457</f>
        <v>5686.844789810958</v>
      </c>
      <c r="O457" s="304">
        <f t="shared" si="53"/>
        <v>649.63745139753519</v>
      </c>
      <c r="P457" s="304">
        <f t="shared" si="50"/>
        <v>149.23633931960163</v>
      </c>
      <c r="Q457" s="274"/>
      <c r="R457" s="281"/>
      <c r="S457" s="281"/>
      <c r="T457" s="281"/>
      <c r="U457" s="281"/>
      <c r="V457" s="281"/>
      <c r="W457" s="281"/>
      <c r="X457" s="281"/>
      <c r="Y457" s="281"/>
      <c r="Z457" s="281"/>
      <c r="AA457" s="281"/>
      <c r="AB457" s="281"/>
      <c r="AC457" s="281"/>
      <c r="AD457" s="281"/>
    </row>
    <row r="458" spans="1:30" s="288" customFormat="1" x14ac:dyDescent="0.25">
      <c r="A458" s="287"/>
      <c r="B458" s="274">
        <f t="shared" si="51"/>
        <v>443</v>
      </c>
      <c r="C458" s="304">
        <f t="shared" ca="1" si="56"/>
        <v>0</v>
      </c>
      <c r="D458" s="304">
        <f ca="1">IF(ROUND(E457,0)&lt;&gt;0, IF(ROUND(D457,0)&lt;&gt;0, 'Career Comparison'!$F$28-C458, 0), 0)</f>
        <v>0</v>
      </c>
      <c r="E458" s="304">
        <f ca="1">IF(G$7&gt;=B458, E457*(1+'Government Figures'!$D$8/12)-'Career Comparison'!$F$28, 0)</f>
        <v>0</v>
      </c>
      <c r="F458" s="312">
        <f>'College Schedule'!$L$8*(1+'Government Figures'!$B$8/12)^B458</f>
        <v>4263.1680615017012</v>
      </c>
      <c r="G458" s="278">
        <v>1</v>
      </c>
      <c r="H458" s="279">
        <f t="shared" ca="1" si="54"/>
        <v>0.17320110972991043</v>
      </c>
      <c r="I458" s="304">
        <f>G458*('College Schedule'!$L$9)*(1+'Government Figures'!$B$8/12)^B458</f>
        <v>9493.8714407677362</v>
      </c>
      <c r="J458" s="304">
        <f t="shared" ca="1" si="52"/>
        <v>3586.3543100919596</v>
      </c>
      <c r="K458" s="304">
        <f t="shared" ca="1" si="49"/>
        <v>821.12918013087858</v>
      </c>
      <c r="L458" s="278">
        <v>1</v>
      </c>
      <c r="M458" s="279">
        <f t="shared" si="55"/>
        <v>0.13735784313725496</v>
      </c>
      <c r="N458" s="304">
        <f>L458*('College Schedule'!$L$10)*(1+'Government Figures'!$B$8/12)^B458</f>
        <v>5696.3228644606434</v>
      </c>
      <c r="O458" s="304">
        <f t="shared" si="53"/>
        <v>650.72018048319842</v>
      </c>
      <c r="P458" s="304">
        <f t="shared" si="50"/>
        <v>148.98843842372204</v>
      </c>
      <c r="Q458" s="274"/>
      <c r="R458" s="281"/>
      <c r="S458" s="281"/>
      <c r="T458" s="281"/>
      <c r="U458" s="281"/>
      <c r="V458" s="281"/>
      <c r="W458" s="281"/>
      <c r="X458" s="281"/>
      <c r="Y458" s="281"/>
      <c r="Z458" s="281"/>
      <c r="AA458" s="281"/>
      <c r="AB458" s="281"/>
      <c r="AC458" s="281"/>
      <c r="AD458" s="281"/>
    </row>
    <row r="459" spans="1:30" s="288" customFormat="1" x14ac:dyDescent="0.25">
      <c r="A459" s="287"/>
      <c r="B459" s="274">
        <f t="shared" si="51"/>
        <v>444</v>
      </c>
      <c r="C459" s="304">
        <f t="shared" ca="1" si="56"/>
        <v>0</v>
      </c>
      <c r="D459" s="304">
        <f ca="1">IF(ROUND(E458,0)&lt;&gt;0, IF(ROUND(D458,0)&lt;&gt;0, 'Career Comparison'!$F$28-C459, 0), 0)</f>
        <v>0</v>
      </c>
      <c r="E459" s="304">
        <f ca="1">IF(G$7&gt;=B459, E458*(1+'Government Figures'!$D$8/12)-'Career Comparison'!$F$28, 0)</f>
        <v>0</v>
      </c>
      <c r="F459" s="312">
        <f>'College Schedule'!$L$8*(1+'Government Figures'!$B$8/12)^B459</f>
        <v>4270.2733416042038</v>
      </c>
      <c r="G459" s="278">
        <v>1</v>
      </c>
      <c r="H459" s="279">
        <f t="shared" ca="1" si="54"/>
        <v>0.17320110972991043</v>
      </c>
      <c r="I459" s="304">
        <f>G459*('College Schedule'!$L$9)*(1+'Government Figures'!$B$8/12)^B459</f>
        <v>9509.6945598356833</v>
      </c>
      <c r="J459" s="304">
        <f t="shared" ca="1" si="52"/>
        <v>3592.331567275447</v>
      </c>
      <c r="K459" s="304">
        <f t="shared" ca="1" si="49"/>
        <v>819.76517817052832</v>
      </c>
      <c r="L459" s="278">
        <v>1</v>
      </c>
      <c r="M459" s="279">
        <f t="shared" si="55"/>
        <v>0.13735784313725496</v>
      </c>
      <c r="N459" s="304">
        <f>L459*('College Schedule'!$L$10)*(1+'Government Figures'!$B$8/12)^B459</f>
        <v>5705.8167359014105</v>
      </c>
      <c r="O459" s="304">
        <f t="shared" si="53"/>
        <v>651.80471411733652</v>
      </c>
      <c r="P459" s="304">
        <f t="shared" si="50"/>
        <v>148.74094932335024</v>
      </c>
      <c r="Q459" s="274"/>
      <c r="R459" s="281"/>
      <c r="S459" s="281"/>
      <c r="T459" s="281"/>
      <c r="U459" s="281"/>
      <c r="V459" s="281"/>
      <c r="W459" s="281"/>
      <c r="X459" s="281"/>
      <c r="Y459" s="281"/>
      <c r="Z459" s="281"/>
      <c r="AA459" s="281"/>
      <c r="AB459" s="281"/>
      <c r="AC459" s="281"/>
      <c r="AD459" s="281"/>
    </row>
    <row r="460" spans="1:30" s="288" customFormat="1" x14ac:dyDescent="0.25">
      <c r="A460" s="287"/>
      <c r="B460" s="274">
        <f t="shared" si="51"/>
        <v>445</v>
      </c>
      <c r="C460" s="304">
        <f t="shared" ca="1" si="56"/>
        <v>0</v>
      </c>
      <c r="D460" s="304">
        <f ca="1">IF(ROUND(E459,0)&lt;&gt;0, IF(ROUND(D459,0)&lt;&gt;0, 'Career Comparison'!$F$28-C460, 0), 0)</f>
        <v>0</v>
      </c>
      <c r="E460" s="304">
        <f ca="1">IF(G$7&gt;=B460, E459*(1+'Government Figures'!$D$8/12)-'Career Comparison'!$F$28, 0)</f>
        <v>0</v>
      </c>
      <c r="F460" s="312">
        <f>'College Schedule'!$L$8*(1+'Government Figures'!$B$8/12)^B460</f>
        <v>4277.3904638402119</v>
      </c>
      <c r="G460" s="278">
        <v>1</v>
      </c>
      <c r="H460" s="279">
        <f t="shared" ca="1" si="54"/>
        <v>0.17320110972991043</v>
      </c>
      <c r="I460" s="304">
        <f>G460*('College Schedule'!$L$9)*(1+'Government Figures'!$B$8/12)^B460</f>
        <v>9525.5440507687454</v>
      </c>
      <c r="J460" s="304">
        <f t="shared" ca="1" si="52"/>
        <v>3598.3187865542404</v>
      </c>
      <c r="K460" s="304">
        <f t="shared" ca="1" si="49"/>
        <v>818.40344199416575</v>
      </c>
      <c r="L460" s="278">
        <v>1</v>
      </c>
      <c r="M460" s="279">
        <f t="shared" si="55"/>
        <v>0.13735784313725496</v>
      </c>
      <c r="N460" s="304">
        <f>L460*('College Schedule'!$L$10)*(1+'Government Figures'!$B$8/12)^B460</f>
        <v>5715.3264304612476</v>
      </c>
      <c r="O460" s="304">
        <f t="shared" si="53"/>
        <v>652.89105530753204</v>
      </c>
      <c r="P460" s="304">
        <f t="shared" si="50"/>
        <v>148.49387133444105</v>
      </c>
      <c r="Q460" s="274"/>
      <c r="R460" s="281"/>
      <c r="S460" s="281"/>
      <c r="T460" s="281"/>
      <c r="U460" s="281"/>
      <c r="V460" s="281"/>
      <c r="W460" s="281"/>
      <c r="X460" s="281"/>
      <c r="Y460" s="281"/>
      <c r="Z460" s="281"/>
      <c r="AA460" s="281"/>
      <c r="AB460" s="281"/>
      <c r="AC460" s="281"/>
      <c r="AD460" s="281"/>
    </row>
    <row r="461" spans="1:30" s="288" customFormat="1" x14ac:dyDescent="0.25">
      <c r="A461" s="287"/>
      <c r="B461" s="274">
        <f t="shared" si="51"/>
        <v>446</v>
      </c>
      <c r="C461" s="304">
        <f t="shared" ca="1" si="56"/>
        <v>0</v>
      </c>
      <c r="D461" s="304">
        <f ca="1">IF(ROUND(E460,0)&lt;&gt;0, IF(ROUND(D460,0)&lt;&gt;0, 'Career Comparison'!$F$28-C461, 0), 0)</f>
        <v>0</v>
      </c>
      <c r="E461" s="304">
        <f ca="1">IF(G$7&gt;=B461, E460*(1+'Government Figures'!$D$8/12)-'Career Comparison'!$F$28, 0)</f>
        <v>0</v>
      </c>
      <c r="F461" s="312">
        <f>'College Schedule'!$L$8*(1+'Government Figures'!$B$8/12)^B461</f>
        <v>4284.5194479466127</v>
      </c>
      <c r="G461" s="278">
        <v>1</v>
      </c>
      <c r="H461" s="279">
        <f t="shared" ca="1" si="54"/>
        <v>0.17320110972991043</v>
      </c>
      <c r="I461" s="304">
        <f>G461*('College Schedule'!$L$9)*(1+'Government Figures'!$B$8/12)^B461</f>
        <v>9541.4199575200273</v>
      </c>
      <c r="J461" s="304">
        <f t="shared" ca="1" si="52"/>
        <v>3604.3159845318314</v>
      </c>
      <c r="K461" s="304">
        <f t="shared" ca="1" si="49"/>
        <v>817.04396783802929</v>
      </c>
      <c r="L461" s="278">
        <v>1</v>
      </c>
      <c r="M461" s="279">
        <f t="shared" si="55"/>
        <v>0.13735784313725496</v>
      </c>
      <c r="N461" s="304">
        <f>L461*('College Schedule'!$L$10)*(1+'Government Figures'!$B$8/12)^B461</f>
        <v>5724.8519745120175</v>
      </c>
      <c r="O461" s="304">
        <f t="shared" si="53"/>
        <v>653.97920706637888</v>
      </c>
      <c r="P461" s="304">
        <f t="shared" si="50"/>
        <v>148.24720377408502</v>
      </c>
      <c r="Q461" s="274"/>
      <c r="R461" s="281"/>
      <c r="S461" s="281"/>
      <c r="T461" s="281"/>
      <c r="U461" s="281"/>
      <c r="V461" s="281"/>
      <c r="W461" s="281"/>
      <c r="X461" s="281"/>
      <c r="Y461" s="281"/>
      <c r="Z461" s="281"/>
      <c r="AA461" s="281"/>
      <c r="AB461" s="281"/>
      <c r="AC461" s="281"/>
      <c r="AD461" s="281"/>
    </row>
    <row r="462" spans="1:30" s="288" customFormat="1" x14ac:dyDescent="0.25">
      <c r="A462" s="287"/>
      <c r="B462" s="274">
        <f t="shared" si="51"/>
        <v>447</v>
      </c>
      <c r="C462" s="304">
        <f t="shared" ca="1" si="56"/>
        <v>0</v>
      </c>
      <c r="D462" s="304">
        <f ca="1">IF(ROUND(E461,0)&lt;&gt;0, IF(ROUND(D461,0)&lt;&gt;0, 'Career Comparison'!$F$28-C462, 0), 0)</f>
        <v>0</v>
      </c>
      <c r="E462" s="304">
        <f ca="1">IF(G$7&gt;=B462, E461*(1+'Government Figures'!$D$8/12)-'Career Comparison'!$F$28, 0)</f>
        <v>0</v>
      </c>
      <c r="F462" s="312">
        <f>'College Schedule'!$L$8*(1+'Government Figures'!$B$8/12)^B462</f>
        <v>4291.6603136931917</v>
      </c>
      <c r="G462" s="278">
        <v>1</v>
      </c>
      <c r="H462" s="279">
        <f t="shared" ca="1" si="54"/>
        <v>0.17320110972991043</v>
      </c>
      <c r="I462" s="304">
        <f>G462*('College Schedule'!$L$9)*(1+'Government Figures'!$B$8/12)^B462</f>
        <v>9557.3223241158958</v>
      </c>
      <c r="J462" s="304">
        <f t="shared" ca="1" si="52"/>
        <v>3610.3231778393838</v>
      </c>
      <c r="K462" s="304">
        <f t="shared" ca="1" si="49"/>
        <v>815.68675194461014</v>
      </c>
      <c r="L462" s="278">
        <v>1</v>
      </c>
      <c r="M462" s="279">
        <f t="shared" si="55"/>
        <v>0.13735784313725496</v>
      </c>
      <c r="N462" s="304">
        <f>L462*('College Schedule'!$L$10)*(1+'Government Figures'!$B$8/12)^B462</f>
        <v>5734.3933944695382</v>
      </c>
      <c r="O462" s="304">
        <f t="shared" si="53"/>
        <v>655.06917241148858</v>
      </c>
      <c r="P462" s="304">
        <f t="shared" si="50"/>
        <v>148.00094596050656</v>
      </c>
      <c r="Q462" s="274"/>
      <c r="R462" s="281"/>
      <c r="S462" s="281"/>
      <c r="T462" s="281"/>
      <c r="U462" s="281"/>
      <c r="V462" s="281"/>
      <c r="W462" s="281"/>
      <c r="X462" s="281"/>
      <c r="Y462" s="281"/>
      <c r="Z462" s="281"/>
      <c r="AA462" s="281"/>
      <c r="AB462" s="281"/>
      <c r="AC462" s="281"/>
      <c r="AD462" s="281"/>
    </row>
    <row r="463" spans="1:30" s="288" customFormat="1" x14ac:dyDescent="0.25">
      <c r="A463" s="287"/>
      <c r="B463" s="274">
        <f t="shared" si="51"/>
        <v>448</v>
      </c>
      <c r="C463" s="304">
        <f t="shared" ca="1" si="56"/>
        <v>0</v>
      </c>
      <c r="D463" s="304">
        <f ca="1">IF(ROUND(E462,0)&lt;&gt;0, IF(ROUND(D462,0)&lt;&gt;0, 'Career Comparison'!$F$28-C463, 0), 0)</f>
        <v>0</v>
      </c>
      <c r="E463" s="304">
        <f ca="1">IF(G$7&gt;=B463, E462*(1+'Government Figures'!$D$8/12)-'Career Comparison'!$F$28, 0)</f>
        <v>0</v>
      </c>
      <c r="F463" s="312">
        <f>'College Schedule'!$L$8*(1+'Government Figures'!$B$8/12)^B463</f>
        <v>4298.8130808826809</v>
      </c>
      <c r="G463" s="278">
        <v>1</v>
      </c>
      <c r="H463" s="279">
        <f t="shared" ca="1" si="54"/>
        <v>0.17320110972991043</v>
      </c>
      <c r="I463" s="304">
        <f>G463*('College Schedule'!$L$9)*(1+'Government Figures'!$B$8/12)^B463</f>
        <v>9573.2511946560899</v>
      </c>
      <c r="J463" s="304">
        <f t="shared" ca="1" si="52"/>
        <v>3616.3403831357837</v>
      </c>
      <c r="K463" s="304">
        <f t="shared" ref="K463:K495" ca="1" si="57">J463/(1+($G$9/12))^B463</f>
        <v>814.3317905626426</v>
      </c>
      <c r="L463" s="278">
        <v>1</v>
      </c>
      <c r="M463" s="279">
        <f t="shared" si="55"/>
        <v>0.13735784313725496</v>
      </c>
      <c r="N463" s="304">
        <f>L463*('College Schedule'!$L$10)*(1+'Government Figures'!$B$8/12)^B463</f>
        <v>5743.9507167936545</v>
      </c>
      <c r="O463" s="304">
        <f t="shared" si="53"/>
        <v>656.16095436550768</v>
      </c>
      <c r="P463" s="304">
        <f t="shared" ref="P463:P495" si="58">O463/(1+($G$9/12))^B463</f>
        <v>147.75509721306383</v>
      </c>
      <c r="Q463" s="274"/>
      <c r="R463" s="281"/>
      <c r="S463" s="281"/>
      <c r="T463" s="281"/>
      <c r="U463" s="281"/>
      <c r="V463" s="281"/>
      <c r="W463" s="281"/>
      <c r="X463" s="281"/>
      <c r="Y463" s="281"/>
      <c r="Z463" s="281"/>
      <c r="AA463" s="281"/>
      <c r="AB463" s="281"/>
      <c r="AC463" s="281"/>
      <c r="AD463" s="281"/>
    </row>
    <row r="464" spans="1:30" s="288" customFormat="1" x14ac:dyDescent="0.25">
      <c r="A464" s="287"/>
      <c r="B464" s="274">
        <f t="shared" ref="B464:B527" si="59">B463+1</f>
        <v>449</v>
      </c>
      <c r="C464" s="304">
        <f t="shared" ca="1" si="56"/>
        <v>0</v>
      </c>
      <c r="D464" s="304">
        <f ca="1">IF(ROUND(E463,0)&lt;&gt;0, IF(ROUND(D463,0)&lt;&gt;0, 'Career Comparison'!$F$28-C464, 0), 0)</f>
        <v>0</v>
      </c>
      <c r="E464" s="304">
        <f ca="1">IF(G$7&gt;=B464, E463*(1+'Government Figures'!$D$8/12)-'Career Comparison'!$F$28, 0)</f>
        <v>0</v>
      </c>
      <c r="F464" s="312">
        <f>'College Schedule'!$L$8*(1+'Government Figures'!$B$8/12)^B464</f>
        <v>4305.9777693508186</v>
      </c>
      <c r="G464" s="278">
        <v>1</v>
      </c>
      <c r="H464" s="279">
        <f t="shared" ca="1" si="54"/>
        <v>0.17320110972991043</v>
      </c>
      <c r="I464" s="304">
        <f>G464*('College Schedule'!$L$9)*(1+'Government Figures'!$B$8/12)^B464</f>
        <v>9589.2066133138505</v>
      </c>
      <c r="J464" s="304">
        <f t="shared" ref="J464:J495" ca="1" si="60">I464*(1-H464)-F464-C464-D464</f>
        <v>3622.3676171076768</v>
      </c>
      <c r="K464" s="304">
        <f t="shared" ca="1" si="57"/>
        <v>812.97907994708987</v>
      </c>
      <c r="L464" s="278">
        <v>1</v>
      </c>
      <c r="M464" s="279">
        <f t="shared" si="55"/>
        <v>0.13735784313725496</v>
      </c>
      <c r="N464" s="304">
        <f>L464*('College Schedule'!$L$10)*(1+'Government Figures'!$B$8/12)^B464</f>
        <v>5753.5239679883107</v>
      </c>
      <c r="O464" s="304">
        <f t="shared" ref="O464:O495" si="61">N464*(1-M464)-F464</f>
        <v>657.25455595611675</v>
      </c>
      <c r="P464" s="304">
        <f t="shared" si="58"/>
        <v>147.50965685224475</v>
      </c>
      <c r="Q464" s="274"/>
      <c r="R464" s="281"/>
      <c r="S464" s="281"/>
      <c r="T464" s="281"/>
      <c r="U464" s="281"/>
      <c r="V464" s="281"/>
      <c r="W464" s="281"/>
      <c r="X464" s="281"/>
      <c r="Y464" s="281"/>
      <c r="Z464" s="281"/>
      <c r="AA464" s="281"/>
      <c r="AB464" s="281"/>
      <c r="AC464" s="281"/>
      <c r="AD464" s="281"/>
    </row>
    <row r="465" spans="1:30" s="288" customFormat="1" x14ac:dyDescent="0.25">
      <c r="A465" s="287"/>
      <c r="B465" s="274">
        <f t="shared" si="59"/>
        <v>450</v>
      </c>
      <c r="C465" s="304">
        <f t="shared" ca="1" si="56"/>
        <v>0</v>
      </c>
      <c r="D465" s="304">
        <f ca="1">IF(ROUND(E464,0)&lt;&gt;0, IF(ROUND(D464,0)&lt;&gt;0, 'Career Comparison'!$F$28-C465, 0), 0)</f>
        <v>0</v>
      </c>
      <c r="E465" s="304">
        <f ca="1">IF(G$7&gt;=B465, E464*(1+'Government Figures'!$D$8/12)-'Career Comparison'!$F$28, 0)</f>
        <v>0</v>
      </c>
      <c r="F465" s="312">
        <f>'College Schedule'!$L$8*(1+'Government Figures'!$B$8/12)^B465</f>
        <v>4313.1543989664024</v>
      </c>
      <c r="G465" s="278">
        <v>1</v>
      </c>
      <c r="H465" s="279">
        <f t="shared" ca="1" si="54"/>
        <v>0.17320110972991043</v>
      </c>
      <c r="I465" s="304">
        <f>G465*('College Schedule'!$L$9)*(1+'Government Figures'!$B$8/12)^B465</f>
        <v>9605.1886243360386</v>
      </c>
      <c r="J465" s="304">
        <f t="shared" ca="1" si="60"/>
        <v>3628.404896469523</v>
      </c>
      <c r="K465" s="304">
        <f t="shared" ca="1" si="57"/>
        <v>811.62861635913794</v>
      </c>
      <c r="L465" s="278">
        <v>1</v>
      </c>
      <c r="M465" s="279">
        <f t="shared" si="55"/>
        <v>0.13735784313725496</v>
      </c>
      <c r="N465" s="304">
        <f>L465*('College Schedule'!$L$10)*(1+'Government Figures'!$B$8/12)^B465</f>
        <v>5763.1131746016245</v>
      </c>
      <c r="O465" s="304">
        <f t="shared" si="61"/>
        <v>658.34998021604497</v>
      </c>
      <c r="P465" s="304">
        <f t="shared" si="58"/>
        <v>147.26462419966657</v>
      </c>
      <c r="Q465" s="274"/>
      <c r="R465" s="281"/>
      <c r="S465" s="281"/>
      <c r="T465" s="281"/>
      <c r="U465" s="281"/>
      <c r="V465" s="281"/>
      <c r="W465" s="281"/>
      <c r="X465" s="281"/>
      <c r="Y465" s="281"/>
      <c r="Z465" s="281"/>
      <c r="AA465" s="281"/>
      <c r="AB465" s="281"/>
      <c r="AC465" s="281"/>
      <c r="AD465" s="281"/>
    </row>
    <row r="466" spans="1:30" s="288" customFormat="1" x14ac:dyDescent="0.25">
      <c r="A466" s="287"/>
      <c r="B466" s="274">
        <f t="shared" si="59"/>
        <v>451</v>
      </c>
      <c r="C466" s="304">
        <f t="shared" ca="1" si="56"/>
        <v>0</v>
      </c>
      <c r="D466" s="304">
        <f ca="1">IF(ROUND(E465,0)&lt;&gt;0, IF(ROUND(D465,0)&lt;&gt;0, 'Career Comparison'!$F$28-C466, 0), 0)</f>
        <v>0</v>
      </c>
      <c r="E466" s="304">
        <f ca="1">IF(G$7&gt;=B466, E465*(1+'Government Figures'!$D$8/12)-'Career Comparison'!$F$28, 0)</f>
        <v>0</v>
      </c>
      <c r="F466" s="312">
        <f>'College Schedule'!$L$8*(1+'Government Figures'!$B$8/12)^B466</f>
        <v>4320.3429896313473</v>
      </c>
      <c r="G466" s="278">
        <v>1</v>
      </c>
      <c r="H466" s="279">
        <f t="shared" ref="H466:H529" ca="1" si="62">H465</f>
        <v>0.17320110972991043</v>
      </c>
      <c r="I466" s="304">
        <f>G466*('College Schedule'!$L$9)*(1+'Government Figures'!$B$8/12)^B466</f>
        <v>9621.1972720432677</v>
      </c>
      <c r="J466" s="304">
        <f t="shared" ca="1" si="60"/>
        <v>3634.4522379636392</v>
      </c>
      <c r="K466" s="304">
        <f t="shared" ca="1" si="57"/>
        <v>810.28039606618233</v>
      </c>
      <c r="L466" s="278">
        <v>1</v>
      </c>
      <c r="M466" s="279">
        <f t="shared" ref="M466:M529" si="63">M465</f>
        <v>0.13735784313725496</v>
      </c>
      <c r="N466" s="304">
        <f>L466*('College Schedule'!$L$10)*(1+'Government Figures'!$B$8/12)^B466</f>
        <v>5772.7183632259612</v>
      </c>
      <c r="O466" s="304">
        <f t="shared" si="61"/>
        <v>659.44723018307104</v>
      </c>
      <c r="P466" s="304">
        <f t="shared" si="58"/>
        <v>147.01999857807223</v>
      </c>
      <c r="Q466" s="274"/>
      <c r="R466" s="281"/>
      <c r="S466" s="281"/>
      <c r="T466" s="281"/>
      <c r="U466" s="281"/>
      <c r="V466" s="281"/>
      <c r="W466" s="281"/>
      <c r="X466" s="281"/>
      <c r="Y466" s="281"/>
      <c r="Z466" s="281"/>
      <c r="AA466" s="281"/>
      <c r="AB466" s="281"/>
      <c r="AC466" s="281"/>
      <c r="AD466" s="281"/>
    </row>
    <row r="467" spans="1:30" s="288" customFormat="1" x14ac:dyDescent="0.25">
      <c r="A467" s="287"/>
      <c r="B467" s="274">
        <f t="shared" si="59"/>
        <v>452</v>
      </c>
      <c r="C467" s="304">
        <f t="shared" ca="1" si="56"/>
        <v>0</v>
      </c>
      <c r="D467" s="304">
        <f ca="1">IF(ROUND(E466,0)&lt;&gt;0, IF(ROUND(D466,0)&lt;&gt;0, 'Career Comparison'!$F$28-C467, 0), 0)</f>
        <v>0</v>
      </c>
      <c r="E467" s="304">
        <f ca="1">IF(G$7&gt;=B467, E466*(1+'Government Figures'!$D$8/12)-'Career Comparison'!$F$28, 0)</f>
        <v>0</v>
      </c>
      <c r="F467" s="312">
        <f>'College Schedule'!$L$8*(1+'Government Figures'!$B$8/12)^B467</f>
        <v>4327.5435612807332</v>
      </c>
      <c r="G467" s="278">
        <v>1</v>
      </c>
      <c r="H467" s="279">
        <f t="shared" ca="1" si="62"/>
        <v>0.17320110972991043</v>
      </c>
      <c r="I467" s="304">
        <f>G467*('College Schedule'!$L$9)*(1+'Government Figures'!$B$8/12)^B467</f>
        <v>9637.232600830006</v>
      </c>
      <c r="J467" s="304">
        <f t="shared" ca="1" si="60"/>
        <v>3640.5096583602444</v>
      </c>
      <c r="K467" s="304">
        <f t="shared" ca="1" si="57"/>
        <v>808.93441534181989</v>
      </c>
      <c r="L467" s="278">
        <v>1</v>
      </c>
      <c r="M467" s="279">
        <f t="shared" si="63"/>
        <v>0.13735784313725496</v>
      </c>
      <c r="N467" s="304">
        <f>L467*('College Schedule'!$L$10)*(1+'Government Figures'!$B$8/12)^B467</f>
        <v>5782.3395604980051</v>
      </c>
      <c r="O467" s="304">
        <f t="shared" si="61"/>
        <v>660.54630890004319</v>
      </c>
      <c r="P467" s="304">
        <f t="shared" si="58"/>
        <v>146.77577931133138</v>
      </c>
      <c r="Q467" s="274"/>
      <c r="R467" s="281"/>
      <c r="S467" s="281"/>
      <c r="T467" s="281"/>
      <c r="U467" s="281"/>
      <c r="V467" s="281"/>
      <c r="W467" s="281"/>
      <c r="X467" s="281"/>
      <c r="Y467" s="281"/>
      <c r="Z467" s="281"/>
      <c r="AA467" s="281"/>
      <c r="AB467" s="281"/>
      <c r="AC467" s="281"/>
      <c r="AD467" s="281"/>
    </row>
    <row r="468" spans="1:30" s="288" customFormat="1" x14ac:dyDescent="0.25">
      <c r="A468" s="287"/>
      <c r="B468" s="274">
        <f t="shared" si="59"/>
        <v>453</v>
      </c>
      <c r="C468" s="304">
        <f t="shared" ca="1" si="56"/>
        <v>0</v>
      </c>
      <c r="D468" s="304">
        <f ca="1">IF(ROUND(E467,0)&lt;&gt;0, IF(ROUND(D467,0)&lt;&gt;0, 'Career Comparison'!$F$28-C468, 0), 0)</f>
        <v>0</v>
      </c>
      <c r="E468" s="304">
        <f ca="1">IF(G$7&gt;=B468, E467*(1+'Government Figures'!$D$8/12)-'Career Comparison'!$F$28, 0)</f>
        <v>0</v>
      </c>
      <c r="F468" s="312">
        <f>'College Schedule'!$L$8*(1+'Government Figures'!$B$8/12)^B468</f>
        <v>4334.7561338828673</v>
      </c>
      <c r="G468" s="278">
        <v>1</v>
      </c>
      <c r="H468" s="279">
        <f t="shared" ca="1" si="62"/>
        <v>0.17320110972991043</v>
      </c>
      <c r="I468" s="304">
        <f>G468*('College Schedule'!$L$9)*(1+'Government Figures'!$B$8/12)^B468</f>
        <v>9653.2946551647237</v>
      </c>
      <c r="J468" s="304">
        <f t="shared" ca="1" si="60"/>
        <v>3646.5771744575131</v>
      </c>
      <c r="K468" s="304">
        <f t="shared" ca="1" si="57"/>
        <v>807.59067046583709</v>
      </c>
      <c r="L468" s="278">
        <v>1</v>
      </c>
      <c r="M468" s="279">
        <f t="shared" si="63"/>
        <v>0.13735784313725496</v>
      </c>
      <c r="N468" s="304">
        <f>L468*('College Schedule'!$L$10)*(1+'Government Figures'!$B$8/12)^B468</f>
        <v>5791.9767930988346</v>
      </c>
      <c r="O468" s="304">
        <f t="shared" si="61"/>
        <v>661.64721941487642</v>
      </c>
      <c r="P468" s="304">
        <f t="shared" si="58"/>
        <v>146.53196572443542</v>
      </c>
      <c r="Q468" s="274"/>
      <c r="R468" s="281"/>
      <c r="S468" s="281"/>
      <c r="T468" s="281"/>
      <c r="U468" s="281"/>
      <c r="V468" s="281"/>
      <c r="W468" s="281"/>
      <c r="X468" s="281"/>
      <c r="Y468" s="281"/>
      <c r="Z468" s="281"/>
      <c r="AA468" s="281"/>
      <c r="AB468" s="281"/>
      <c r="AC468" s="281"/>
      <c r="AD468" s="281"/>
    </row>
    <row r="469" spans="1:30" s="288" customFormat="1" x14ac:dyDescent="0.25">
      <c r="A469" s="287"/>
      <c r="B469" s="274">
        <f t="shared" si="59"/>
        <v>454</v>
      </c>
      <c r="C469" s="304">
        <f t="shared" ca="1" si="56"/>
        <v>0</v>
      </c>
      <c r="D469" s="304">
        <f ca="1">IF(ROUND(E468,0)&lt;&gt;0, IF(ROUND(D468,0)&lt;&gt;0, 'Career Comparison'!$F$28-C469, 0), 0)</f>
        <v>0</v>
      </c>
      <c r="E469" s="304">
        <f ca="1">IF(G$7&gt;=B469, E468*(1+'Government Figures'!$D$8/12)-'Career Comparison'!$F$28, 0)</f>
        <v>0</v>
      </c>
      <c r="F469" s="312">
        <f>'College Schedule'!$L$8*(1+'Government Figures'!$B$8/12)^B469</f>
        <v>4341.9807274393388</v>
      </c>
      <c r="G469" s="278">
        <v>1</v>
      </c>
      <c r="H469" s="279">
        <f t="shared" ca="1" si="62"/>
        <v>0.17320110972991043</v>
      </c>
      <c r="I469" s="304">
        <f>G469*('College Schedule'!$L$9)*(1+'Government Figures'!$B$8/12)^B469</f>
        <v>9669.3834795899966</v>
      </c>
      <c r="J469" s="304">
        <f t="shared" ca="1" si="60"/>
        <v>3652.6548030816075</v>
      </c>
      <c r="K469" s="304">
        <f t="shared" ca="1" si="57"/>
        <v>806.24915772419899</v>
      </c>
      <c r="L469" s="278">
        <v>1</v>
      </c>
      <c r="M469" s="279">
        <f t="shared" si="63"/>
        <v>0.13735784313725496</v>
      </c>
      <c r="N469" s="304">
        <f>L469*('College Schedule'!$L$10)*(1+'Government Figures'!$B$8/12)^B469</f>
        <v>5801.6300877539989</v>
      </c>
      <c r="O469" s="304">
        <f t="shared" si="61"/>
        <v>662.7499647805671</v>
      </c>
      <c r="P469" s="304">
        <f t="shared" si="58"/>
        <v>146.2885571434976</v>
      </c>
      <c r="Q469" s="274"/>
      <c r="R469" s="281"/>
      <c r="S469" s="281"/>
      <c r="T469" s="281"/>
      <c r="U469" s="281"/>
      <c r="V469" s="281"/>
      <c r="W469" s="281"/>
      <c r="X469" s="281"/>
      <c r="Y469" s="281"/>
      <c r="Z469" s="281"/>
      <c r="AA469" s="281"/>
      <c r="AB469" s="281"/>
      <c r="AC469" s="281"/>
      <c r="AD469" s="281"/>
    </row>
    <row r="470" spans="1:30" s="288" customFormat="1" x14ac:dyDescent="0.25">
      <c r="A470" s="287"/>
      <c r="B470" s="274">
        <f t="shared" si="59"/>
        <v>455</v>
      </c>
      <c r="C470" s="304">
        <f t="shared" ca="1" si="56"/>
        <v>0</v>
      </c>
      <c r="D470" s="304">
        <f ca="1">IF(ROUND(E469,0)&lt;&gt;0, IF(ROUND(D469,0)&lt;&gt;0, 'Career Comparison'!$F$28-C470, 0), 0)</f>
        <v>0</v>
      </c>
      <c r="E470" s="304">
        <f ca="1">IF(G$7&gt;=B470, E469*(1+'Government Figures'!$D$8/12)-'Career Comparison'!$F$28, 0)</f>
        <v>0</v>
      </c>
      <c r="F470" s="312">
        <f>'College Schedule'!$L$8*(1+'Government Figures'!$B$8/12)^B470</f>
        <v>4349.2173619850719</v>
      </c>
      <c r="G470" s="278">
        <v>1</v>
      </c>
      <c r="H470" s="279">
        <f t="shared" ca="1" si="62"/>
        <v>0.17320110972991043</v>
      </c>
      <c r="I470" s="304">
        <f>G470*('College Schedule'!$L$9)*(1+'Government Figures'!$B$8/12)^B470</f>
        <v>9685.4991187226478</v>
      </c>
      <c r="J470" s="304">
        <f t="shared" ca="1" si="60"/>
        <v>3658.742561086744</v>
      </c>
      <c r="K470" s="304">
        <f t="shared" ca="1" si="57"/>
        <v>804.90987340904246</v>
      </c>
      <c r="L470" s="278">
        <v>1</v>
      </c>
      <c r="M470" s="279">
        <f t="shared" si="63"/>
        <v>0.13735784313725496</v>
      </c>
      <c r="N470" s="304">
        <f>L470*('College Schedule'!$L$10)*(1+'Government Figures'!$B$8/12)^B470</f>
        <v>5811.2994712335894</v>
      </c>
      <c r="O470" s="304">
        <f t="shared" si="61"/>
        <v>663.85454805520112</v>
      </c>
      <c r="P470" s="304">
        <f t="shared" si="58"/>
        <v>146.04555289575086</v>
      </c>
      <c r="Q470" s="274"/>
      <c r="R470" s="281"/>
      <c r="S470" s="281"/>
      <c r="T470" s="281"/>
      <c r="U470" s="281"/>
      <c r="V470" s="281"/>
      <c r="W470" s="281"/>
      <c r="X470" s="281"/>
      <c r="Y470" s="281"/>
      <c r="Z470" s="281"/>
      <c r="AA470" s="281"/>
      <c r="AB470" s="281"/>
      <c r="AC470" s="281"/>
      <c r="AD470" s="281"/>
    </row>
    <row r="471" spans="1:30" s="288" customFormat="1" x14ac:dyDescent="0.25">
      <c r="A471" s="287"/>
      <c r="B471" s="274">
        <f t="shared" si="59"/>
        <v>456</v>
      </c>
      <c r="C471" s="304">
        <f t="shared" ca="1" si="56"/>
        <v>0</v>
      </c>
      <c r="D471" s="304">
        <f ca="1">IF(ROUND(E470,0)&lt;&gt;0, IF(ROUND(D470,0)&lt;&gt;0, 'Career Comparison'!$F$28-C471, 0), 0)</f>
        <v>0</v>
      </c>
      <c r="E471" s="304">
        <f ca="1">IF(G$7&gt;=B471, E470*(1+'Government Figures'!$D$8/12)-'Career Comparison'!$F$28, 0)</f>
        <v>0</v>
      </c>
      <c r="F471" s="312">
        <f>'College Schedule'!$L$8*(1+'Government Figures'!$B$8/12)^B471</f>
        <v>4356.4660575883809</v>
      </c>
      <c r="G471" s="278">
        <v>1</v>
      </c>
      <c r="H471" s="279">
        <f t="shared" ca="1" si="62"/>
        <v>0.17320110972991043</v>
      </c>
      <c r="I471" s="304">
        <f>G471*('College Schedule'!$L$9)*(1+'Government Figures'!$B$8/12)^B471</f>
        <v>9701.6416172538538</v>
      </c>
      <c r="J471" s="304">
        <f t="shared" ca="1" si="60"/>
        <v>3664.8404653552225</v>
      </c>
      <c r="K471" s="304">
        <f t="shared" ca="1" si="57"/>
        <v>803.57281381866233</v>
      </c>
      <c r="L471" s="278">
        <v>1</v>
      </c>
      <c r="M471" s="279">
        <f t="shared" si="63"/>
        <v>0.13735784313725496</v>
      </c>
      <c r="N471" s="304">
        <f>L471*('College Schedule'!$L$10)*(1+'Government Figures'!$B$8/12)^B471</f>
        <v>5820.9849703523132</v>
      </c>
      <c r="O471" s="304">
        <f t="shared" si="61"/>
        <v>664.96097230196028</v>
      </c>
      <c r="P471" s="304">
        <f t="shared" si="58"/>
        <v>145.80295230954542</v>
      </c>
      <c r="Q471" s="274"/>
      <c r="R471" s="281"/>
      <c r="S471" s="281"/>
      <c r="T471" s="281"/>
      <c r="U471" s="281"/>
      <c r="V471" s="281"/>
      <c r="W471" s="281"/>
      <c r="X471" s="281"/>
      <c r="Y471" s="281"/>
      <c r="Z471" s="281"/>
      <c r="AA471" s="281"/>
      <c r="AB471" s="281"/>
      <c r="AC471" s="281"/>
      <c r="AD471" s="281"/>
    </row>
    <row r="472" spans="1:30" s="288" customFormat="1" x14ac:dyDescent="0.25">
      <c r="A472" s="287"/>
      <c r="B472" s="274">
        <f t="shared" si="59"/>
        <v>457</v>
      </c>
      <c r="C472" s="304">
        <f t="shared" ca="1" si="56"/>
        <v>0</v>
      </c>
      <c r="D472" s="304">
        <f ca="1">IF(ROUND(E471,0)&lt;&gt;0, IF(ROUND(D471,0)&lt;&gt;0, 'Career Comparison'!$F$28-C472, 0), 0)</f>
        <v>0</v>
      </c>
      <c r="E472" s="304">
        <f ca="1">IF(G$7&gt;=B472, E471*(1+'Government Figures'!$D$8/12)-'Career Comparison'!$F$28, 0)</f>
        <v>0</v>
      </c>
      <c r="F472" s="312">
        <f>'College Schedule'!$L$8*(1+'Government Figures'!$B$8/12)^B472</f>
        <v>4363.7268343510277</v>
      </c>
      <c r="G472" s="278">
        <v>1</v>
      </c>
      <c r="H472" s="279">
        <f t="shared" ca="1" si="62"/>
        <v>0.17320110972991043</v>
      </c>
      <c r="I472" s="304">
        <f>G472*('College Schedule'!$L$9)*(1+'Government Figures'!$B$8/12)^B472</f>
        <v>9717.8110199492767</v>
      </c>
      <c r="J472" s="304">
        <f t="shared" ca="1" si="60"/>
        <v>3670.9485327974817</v>
      </c>
      <c r="K472" s="304">
        <f t="shared" ca="1" si="57"/>
        <v>802.23797525750183</v>
      </c>
      <c r="L472" s="278">
        <v>1</v>
      </c>
      <c r="M472" s="279">
        <f t="shared" si="63"/>
        <v>0.13735784313725496</v>
      </c>
      <c r="N472" s="304">
        <f>L472*('College Schedule'!$L$10)*(1+'Government Figures'!$B$8/12)^B472</f>
        <v>5830.6866119695669</v>
      </c>
      <c r="O472" s="304">
        <f t="shared" si="61"/>
        <v>666.06924058913046</v>
      </c>
      <c r="P472" s="304">
        <f t="shared" si="58"/>
        <v>145.5607547143469</v>
      </c>
      <c r="Q472" s="274"/>
      <c r="R472" s="281"/>
      <c r="S472" s="281"/>
      <c r="T472" s="281"/>
      <c r="U472" s="281"/>
      <c r="V472" s="281"/>
      <c r="W472" s="281"/>
      <c r="X472" s="281"/>
      <c r="Y472" s="281"/>
      <c r="Z472" s="281"/>
      <c r="AA472" s="281"/>
      <c r="AB472" s="281"/>
      <c r="AC472" s="281"/>
      <c r="AD472" s="281"/>
    </row>
    <row r="473" spans="1:30" s="288" customFormat="1" x14ac:dyDescent="0.25">
      <c r="A473" s="287"/>
      <c r="B473" s="274">
        <f t="shared" si="59"/>
        <v>458</v>
      </c>
      <c r="C473" s="304">
        <f t="shared" ca="1" si="56"/>
        <v>0</v>
      </c>
      <c r="D473" s="304">
        <f ca="1">IF(ROUND(E472,0)&lt;&gt;0, IF(ROUND(D472,0)&lt;&gt;0, 'Career Comparison'!$F$28-C473, 0), 0)</f>
        <v>0</v>
      </c>
      <c r="E473" s="304">
        <f ca="1">IF(G$7&gt;=B473, E472*(1+'Government Figures'!$D$8/12)-'Career Comparison'!$F$28, 0)</f>
        <v>0</v>
      </c>
      <c r="F473" s="312">
        <f>'College Schedule'!$L$8*(1+'Government Figures'!$B$8/12)^B473</f>
        <v>4370.9997124082802</v>
      </c>
      <c r="G473" s="278">
        <v>1</v>
      </c>
      <c r="H473" s="279">
        <f t="shared" ca="1" si="62"/>
        <v>0.17320110972991043</v>
      </c>
      <c r="I473" s="304">
        <f>G473*('College Schedule'!$L$9)*(1+'Government Figures'!$B$8/12)^B473</f>
        <v>9734.0073716491952</v>
      </c>
      <c r="J473" s="304">
        <f t="shared" ca="1" si="60"/>
        <v>3677.0667803521455</v>
      </c>
      <c r="K473" s="304">
        <f t="shared" ca="1" si="57"/>
        <v>800.90535403614388</v>
      </c>
      <c r="L473" s="278">
        <v>1</v>
      </c>
      <c r="M473" s="279">
        <f t="shared" si="63"/>
        <v>0.13735784313725496</v>
      </c>
      <c r="N473" s="304">
        <f>L473*('College Schedule'!$L$10)*(1+'Government Figures'!$B$8/12)^B473</f>
        <v>5840.4044229895171</v>
      </c>
      <c r="O473" s="304">
        <f t="shared" si="61"/>
        <v>667.17935599011253</v>
      </c>
      <c r="P473" s="304">
        <f t="shared" si="58"/>
        <v>145.31895944073503</v>
      </c>
      <c r="Q473" s="274"/>
      <c r="R473" s="281"/>
      <c r="S473" s="281"/>
      <c r="T473" s="281"/>
      <c r="U473" s="281"/>
      <c r="V473" s="281"/>
      <c r="W473" s="281"/>
      <c r="X473" s="281"/>
      <c r="Y473" s="281"/>
      <c r="Z473" s="281"/>
      <c r="AA473" s="281"/>
      <c r="AB473" s="281"/>
      <c r="AC473" s="281"/>
      <c r="AD473" s="281"/>
    </row>
    <row r="474" spans="1:30" s="288" customFormat="1" x14ac:dyDescent="0.25">
      <c r="A474" s="287"/>
      <c r="B474" s="274">
        <f t="shared" si="59"/>
        <v>459</v>
      </c>
      <c r="C474" s="304">
        <f t="shared" ca="1" si="56"/>
        <v>0</v>
      </c>
      <c r="D474" s="304">
        <f ca="1">IF(ROUND(E473,0)&lt;&gt;0, IF(ROUND(D473,0)&lt;&gt;0, 'Career Comparison'!$F$28-C474, 0), 0)</f>
        <v>0</v>
      </c>
      <c r="E474" s="304">
        <f ca="1">IF(G$7&gt;=B474, E473*(1+'Government Figures'!$D$8/12)-'Career Comparison'!$F$28, 0)</f>
        <v>0</v>
      </c>
      <c r="F474" s="312">
        <f>'College Schedule'!$L$8*(1+'Government Figures'!$B$8/12)^B474</f>
        <v>4378.2847119289609</v>
      </c>
      <c r="G474" s="278">
        <v>1</v>
      </c>
      <c r="H474" s="279">
        <f t="shared" ca="1" si="62"/>
        <v>0.17320110972991043</v>
      </c>
      <c r="I474" s="304">
        <f>G474*('College Schedule'!$L$9)*(1+'Government Figures'!$B$8/12)^B474</f>
        <v>9750.2307172686105</v>
      </c>
      <c r="J474" s="304">
        <f t="shared" ca="1" si="60"/>
        <v>3683.195224986066</v>
      </c>
      <c r="K474" s="304">
        <f t="shared" ca="1" si="57"/>
        <v>799.57494647129965</v>
      </c>
      <c r="L474" s="278">
        <v>1</v>
      </c>
      <c r="M474" s="279">
        <f t="shared" si="63"/>
        <v>0.13735784313725496</v>
      </c>
      <c r="N474" s="304">
        <f>L474*('College Schedule'!$L$10)*(1+'Government Figures'!$B$8/12)^B474</f>
        <v>5850.1384303611667</v>
      </c>
      <c r="O474" s="304">
        <f t="shared" si="61"/>
        <v>668.29132158342964</v>
      </c>
      <c r="P474" s="304">
        <f t="shared" si="58"/>
        <v>145.07756582040159</v>
      </c>
      <c r="Q474" s="274"/>
      <c r="R474" s="281"/>
      <c r="S474" s="281"/>
      <c r="T474" s="281"/>
      <c r="U474" s="281"/>
      <c r="V474" s="281"/>
      <c r="W474" s="281"/>
      <c r="X474" s="281"/>
      <c r="Y474" s="281"/>
      <c r="Z474" s="281"/>
      <c r="AA474" s="281"/>
      <c r="AB474" s="281"/>
      <c r="AC474" s="281"/>
      <c r="AD474" s="281"/>
    </row>
    <row r="475" spans="1:30" s="288" customFormat="1" x14ac:dyDescent="0.25">
      <c r="A475" s="287"/>
      <c r="B475" s="274">
        <f t="shared" si="59"/>
        <v>460</v>
      </c>
      <c r="C475" s="304">
        <f t="shared" ca="1" si="56"/>
        <v>0</v>
      </c>
      <c r="D475" s="304">
        <f ca="1">IF(ROUND(E474,0)&lt;&gt;0, IF(ROUND(D474,0)&lt;&gt;0, 'Career Comparison'!$F$28-C475, 0), 0)</f>
        <v>0</v>
      </c>
      <c r="E475" s="304">
        <f ca="1">IF(G$7&gt;=B475, E474*(1+'Government Figures'!$D$8/12)-'Career Comparison'!$F$28, 0)</f>
        <v>0</v>
      </c>
      <c r="F475" s="312">
        <f>'College Schedule'!$L$8*(1+'Government Figures'!$B$8/12)^B475</f>
        <v>4385.5818531155101</v>
      </c>
      <c r="G475" s="278">
        <v>1</v>
      </c>
      <c r="H475" s="279">
        <f t="shared" ca="1" si="62"/>
        <v>0.17320110972991043</v>
      </c>
      <c r="I475" s="304">
        <f>G475*('College Schedule'!$L$9)*(1+'Government Figures'!$B$8/12)^B475</f>
        <v>9766.4811017973916</v>
      </c>
      <c r="J475" s="304">
        <f t="shared" ca="1" si="60"/>
        <v>3689.3338836943749</v>
      </c>
      <c r="K475" s="304">
        <f t="shared" ca="1" si="57"/>
        <v>798.24674888579887</v>
      </c>
      <c r="L475" s="278">
        <v>1</v>
      </c>
      <c r="M475" s="279">
        <f t="shared" si="63"/>
        <v>0.13735784313725496</v>
      </c>
      <c r="N475" s="304">
        <f>L475*('College Schedule'!$L$10)*(1+'Government Figures'!$B$8/12)^B475</f>
        <v>5859.8886610784357</v>
      </c>
      <c r="O475" s="304">
        <f t="shared" si="61"/>
        <v>669.40514045273449</v>
      </c>
      <c r="P475" s="304">
        <f t="shared" si="58"/>
        <v>144.83657318614826</v>
      </c>
      <c r="Q475" s="274"/>
      <c r="R475" s="281"/>
      <c r="S475" s="281"/>
      <c r="T475" s="281"/>
      <c r="U475" s="281"/>
      <c r="V475" s="281"/>
      <c r="W475" s="281"/>
      <c r="X475" s="281"/>
      <c r="Y475" s="281"/>
      <c r="Z475" s="281"/>
      <c r="AA475" s="281"/>
      <c r="AB475" s="281"/>
      <c r="AC475" s="281"/>
      <c r="AD475" s="281"/>
    </row>
    <row r="476" spans="1:30" s="288" customFormat="1" x14ac:dyDescent="0.25">
      <c r="A476" s="287"/>
      <c r="B476" s="274">
        <f t="shared" si="59"/>
        <v>461</v>
      </c>
      <c r="C476" s="304">
        <f t="shared" ca="1" si="56"/>
        <v>0</v>
      </c>
      <c r="D476" s="304">
        <f ca="1">IF(ROUND(E475,0)&lt;&gt;0, IF(ROUND(D475,0)&lt;&gt;0, 'Career Comparison'!$F$28-C476, 0), 0)</f>
        <v>0</v>
      </c>
      <c r="E476" s="304">
        <f ca="1">IF(G$7&gt;=B476, E475*(1+'Government Figures'!$D$8/12)-'Career Comparison'!$F$28, 0)</f>
        <v>0</v>
      </c>
      <c r="F476" s="312">
        <f>'College Schedule'!$L$8*(1+'Government Figures'!$B$8/12)^B476</f>
        <v>4392.8911562040357</v>
      </c>
      <c r="G476" s="278">
        <v>1</v>
      </c>
      <c r="H476" s="279">
        <f t="shared" ca="1" si="62"/>
        <v>0.17320110972991043</v>
      </c>
      <c r="I476" s="304">
        <f>G476*('College Schedule'!$L$9)*(1+'Government Figures'!$B$8/12)^B476</f>
        <v>9782.7585703003879</v>
      </c>
      <c r="J476" s="304">
        <f t="shared" ca="1" si="60"/>
        <v>3695.4827735005329</v>
      </c>
      <c r="K476" s="304">
        <f t="shared" ca="1" si="57"/>
        <v>796.92075760858029</v>
      </c>
      <c r="L476" s="278">
        <v>1</v>
      </c>
      <c r="M476" s="279">
        <f t="shared" si="63"/>
        <v>0.13735784313725496</v>
      </c>
      <c r="N476" s="304">
        <f>L476*('College Schedule'!$L$10)*(1+'Government Figures'!$B$8/12)^B476</f>
        <v>5869.6551421802333</v>
      </c>
      <c r="O476" s="304">
        <f t="shared" si="61"/>
        <v>670.52081568682297</v>
      </c>
      <c r="P476" s="304">
        <f t="shared" si="58"/>
        <v>144.5959808718857</v>
      </c>
      <c r="Q476" s="274"/>
      <c r="R476" s="281"/>
      <c r="S476" s="281"/>
      <c r="T476" s="281"/>
      <c r="U476" s="281"/>
      <c r="V476" s="281"/>
      <c r="W476" s="281"/>
      <c r="X476" s="281"/>
      <c r="Y476" s="281"/>
      <c r="Z476" s="281"/>
      <c r="AA476" s="281"/>
      <c r="AB476" s="281"/>
      <c r="AC476" s="281"/>
      <c r="AD476" s="281"/>
    </row>
    <row r="477" spans="1:30" s="288" customFormat="1" x14ac:dyDescent="0.25">
      <c r="A477" s="287"/>
      <c r="B477" s="274">
        <f t="shared" si="59"/>
        <v>462</v>
      </c>
      <c r="C477" s="304">
        <f t="shared" ca="1" si="56"/>
        <v>0</v>
      </c>
      <c r="D477" s="304">
        <f ca="1">IF(ROUND(E476,0)&lt;&gt;0, IF(ROUND(D476,0)&lt;&gt;0, 'Career Comparison'!$F$28-C477, 0), 0)</f>
        <v>0</v>
      </c>
      <c r="E477" s="304">
        <f ca="1">IF(G$7&gt;=B477, E476*(1+'Government Figures'!$D$8/12)-'Career Comparison'!$F$28, 0)</f>
        <v>0</v>
      </c>
      <c r="F477" s="312">
        <f>'College Schedule'!$L$8*(1+'Government Figures'!$B$8/12)^B477</f>
        <v>4400.2126414643762</v>
      </c>
      <c r="G477" s="278">
        <v>1</v>
      </c>
      <c r="H477" s="279">
        <f t="shared" ca="1" si="62"/>
        <v>0.17320110972991043</v>
      </c>
      <c r="I477" s="304">
        <f>G477*('College Schedule'!$L$9)*(1+'Government Figures'!$B$8/12)^B477</f>
        <v>9799.0631679175567</v>
      </c>
      <c r="J477" s="304">
        <f t="shared" ca="1" si="60"/>
        <v>3701.6419114563678</v>
      </c>
      <c r="K477" s="304">
        <f t="shared" ca="1" si="57"/>
        <v>795.59696897467893</v>
      </c>
      <c r="L477" s="278">
        <v>1</v>
      </c>
      <c r="M477" s="279">
        <f t="shared" si="63"/>
        <v>0.13735784313725496</v>
      </c>
      <c r="N477" s="304">
        <f>L477*('College Schedule'!$L$10)*(1+'Government Figures'!$B$8/12)^B477</f>
        <v>5879.4379007505349</v>
      </c>
      <c r="O477" s="304">
        <f t="shared" si="61"/>
        <v>671.63835037963509</v>
      </c>
      <c r="P477" s="304">
        <f t="shared" si="58"/>
        <v>144.35578821263022</v>
      </c>
      <c r="Q477" s="274"/>
      <c r="R477" s="281"/>
      <c r="S477" s="281"/>
      <c r="T477" s="281"/>
      <c r="U477" s="281"/>
      <c r="V477" s="281"/>
      <c r="W477" s="281"/>
      <c r="X477" s="281"/>
      <c r="Y477" s="281"/>
      <c r="Z477" s="281"/>
      <c r="AA477" s="281"/>
      <c r="AB477" s="281"/>
      <c r="AC477" s="281"/>
      <c r="AD477" s="281"/>
    </row>
    <row r="478" spans="1:30" s="288" customFormat="1" x14ac:dyDescent="0.25">
      <c r="A478" s="287"/>
      <c r="B478" s="274">
        <f t="shared" si="59"/>
        <v>463</v>
      </c>
      <c r="C478" s="304">
        <f t="shared" ca="1" si="56"/>
        <v>0</v>
      </c>
      <c r="D478" s="304">
        <f ca="1">IF(ROUND(E477,0)&lt;&gt;0, IF(ROUND(D477,0)&lt;&gt;0, 'Career Comparison'!$F$28-C478, 0), 0)</f>
        <v>0</v>
      </c>
      <c r="E478" s="304">
        <f ca="1">IF(G$7&gt;=B478, E477*(1+'Government Figures'!$D$8/12)-'Career Comparison'!$F$28, 0)</f>
        <v>0</v>
      </c>
      <c r="F478" s="312">
        <f>'College Schedule'!$L$8*(1+'Government Figures'!$B$8/12)^B478</f>
        <v>4407.5463292001496</v>
      </c>
      <c r="G478" s="278">
        <v>1</v>
      </c>
      <c r="H478" s="279">
        <f t="shared" ca="1" si="62"/>
        <v>0.17320110972991043</v>
      </c>
      <c r="I478" s="304">
        <f>G478*('College Schedule'!$L$9)*(1+'Government Figures'!$B$8/12)^B478</f>
        <v>9815.3949398640834</v>
      </c>
      <c r="J478" s="304">
        <f t="shared" ca="1" si="60"/>
        <v>3707.8113146421274</v>
      </c>
      <c r="K478" s="304">
        <f t="shared" ca="1" si="57"/>
        <v>794.27537932521886</v>
      </c>
      <c r="L478" s="278">
        <v>1</v>
      </c>
      <c r="M478" s="279">
        <f t="shared" si="63"/>
        <v>0.13735784313725496</v>
      </c>
      <c r="N478" s="304">
        <f>L478*('College Schedule'!$L$10)*(1+'Government Figures'!$B$8/12)^B478</f>
        <v>5889.2369639184508</v>
      </c>
      <c r="O478" s="304">
        <f t="shared" si="61"/>
        <v>672.75774763026675</v>
      </c>
      <c r="P478" s="304">
        <f t="shared" si="58"/>
        <v>144.11599454450263</v>
      </c>
      <c r="Q478" s="274"/>
      <c r="R478" s="281"/>
      <c r="S478" s="281"/>
      <c r="T478" s="281"/>
      <c r="U478" s="281"/>
      <c r="V478" s="281"/>
      <c r="W478" s="281"/>
      <c r="X478" s="281"/>
      <c r="Y478" s="281"/>
      <c r="Z478" s="281"/>
      <c r="AA478" s="281"/>
      <c r="AB478" s="281"/>
      <c r="AC478" s="281"/>
      <c r="AD478" s="281"/>
    </row>
    <row r="479" spans="1:30" s="288" customFormat="1" x14ac:dyDescent="0.25">
      <c r="A479" s="287"/>
      <c r="B479" s="274">
        <f t="shared" si="59"/>
        <v>464</v>
      </c>
      <c r="C479" s="304">
        <f t="shared" ca="1" si="56"/>
        <v>0</v>
      </c>
      <c r="D479" s="304">
        <f ca="1">IF(ROUND(E478,0)&lt;&gt;0, IF(ROUND(D478,0)&lt;&gt;0, 'Career Comparison'!$F$28-C479, 0), 0)</f>
        <v>0</v>
      </c>
      <c r="E479" s="304">
        <f ca="1">IF(G$7&gt;=B479, E478*(1+'Government Figures'!$D$8/12)-'Career Comparison'!$F$28, 0)</f>
        <v>0</v>
      </c>
      <c r="F479" s="312">
        <f>'College Schedule'!$L$8*(1+'Government Figures'!$B$8/12)^B479</f>
        <v>4414.8922397488177</v>
      </c>
      <c r="G479" s="278">
        <v>1</v>
      </c>
      <c r="H479" s="279">
        <f t="shared" ca="1" si="62"/>
        <v>0.17320110972991043</v>
      </c>
      <c r="I479" s="304">
        <f>G479*('College Schedule'!$L$9)*(1+'Government Figures'!$B$8/12)^B479</f>
        <v>9831.7539314305268</v>
      </c>
      <c r="J479" s="304">
        <f t="shared" ca="1" si="60"/>
        <v>3713.9910001665321</v>
      </c>
      <c r="K479" s="304">
        <f t="shared" ca="1" si="57"/>
        <v>792.95598500740311</v>
      </c>
      <c r="L479" s="278">
        <v>1</v>
      </c>
      <c r="M479" s="279">
        <f t="shared" si="63"/>
        <v>0.13735784313725496</v>
      </c>
      <c r="N479" s="304">
        <f>L479*('College Schedule'!$L$10)*(1+'Government Figures'!$B$8/12)^B479</f>
        <v>5899.0523588583173</v>
      </c>
      <c r="O479" s="304">
        <f t="shared" si="61"/>
        <v>673.87901054298527</v>
      </c>
      <c r="P479" s="304">
        <f t="shared" si="58"/>
        <v>143.87659920472802</v>
      </c>
      <c r="Q479" s="274"/>
      <c r="R479" s="281"/>
      <c r="S479" s="281"/>
      <c r="T479" s="281"/>
      <c r="U479" s="281"/>
      <c r="V479" s="281"/>
      <c r="W479" s="281"/>
      <c r="X479" s="281"/>
      <c r="Y479" s="281"/>
      <c r="Z479" s="281"/>
      <c r="AA479" s="281"/>
      <c r="AB479" s="281"/>
      <c r="AC479" s="281"/>
      <c r="AD479" s="281"/>
    </row>
    <row r="480" spans="1:30" s="288" customFormat="1" x14ac:dyDescent="0.25">
      <c r="A480" s="287"/>
      <c r="B480" s="274">
        <f t="shared" si="59"/>
        <v>465</v>
      </c>
      <c r="C480" s="304">
        <f t="shared" ca="1" si="56"/>
        <v>0</v>
      </c>
      <c r="D480" s="304">
        <f ca="1">IF(ROUND(E479,0)&lt;&gt;0, IF(ROUND(D479,0)&lt;&gt;0, 'Career Comparison'!$F$28-C480, 0), 0)</f>
        <v>0</v>
      </c>
      <c r="E480" s="304">
        <f ca="1">IF(G$7&gt;=B480, E479*(1+'Government Figures'!$D$8/12)-'Career Comparison'!$F$28, 0)</f>
        <v>0</v>
      </c>
      <c r="F480" s="312">
        <f>'College Schedule'!$L$8*(1+'Government Figures'!$B$8/12)^B480</f>
        <v>4422.2503934817332</v>
      </c>
      <c r="G480" s="278">
        <v>1</v>
      </c>
      <c r="H480" s="279">
        <f t="shared" ca="1" si="62"/>
        <v>0.17320110972991043</v>
      </c>
      <c r="I480" s="304">
        <f>G480*('College Schedule'!$L$9)*(1+'Government Figures'!$B$8/12)^B480</f>
        <v>9848.1401879829118</v>
      </c>
      <c r="J480" s="304">
        <f t="shared" ca="1" si="60"/>
        <v>3720.1809851668095</v>
      </c>
      <c r="K480" s="304">
        <f t="shared" ca="1" si="57"/>
        <v>791.63878237450035</v>
      </c>
      <c r="L480" s="278">
        <v>1</v>
      </c>
      <c r="M480" s="279">
        <f t="shared" si="63"/>
        <v>0.13735784313725496</v>
      </c>
      <c r="N480" s="304">
        <f>L480*('College Schedule'!$L$10)*(1+'Government Figures'!$B$8/12)^B480</f>
        <v>5908.8841127897476</v>
      </c>
      <c r="O480" s="304">
        <f t="shared" si="61"/>
        <v>675.00214222722207</v>
      </c>
      <c r="P480" s="304">
        <f t="shared" si="58"/>
        <v>143.63760153163014</v>
      </c>
      <c r="Q480" s="274"/>
      <c r="R480" s="281"/>
      <c r="S480" s="281"/>
      <c r="T480" s="281"/>
      <c r="U480" s="281"/>
      <c r="V480" s="281"/>
      <c r="W480" s="281"/>
      <c r="X480" s="281"/>
      <c r="Y480" s="281"/>
      <c r="Z480" s="281"/>
      <c r="AA480" s="281"/>
      <c r="AB480" s="281"/>
      <c r="AC480" s="281"/>
      <c r="AD480" s="281"/>
    </row>
    <row r="481" spans="1:30" s="288" customFormat="1" x14ac:dyDescent="0.25">
      <c r="A481" s="287"/>
      <c r="B481" s="274">
        <f t="shared" si="59"/>
        <v>466</v>
      </c>
      <c r="C481" s="304">
        <f t="shared" ca="1" si="56"/>
        <v>0</v>
      </c>
      <c r="D481" s="304">
        <f ca="1">IF(ROUND(E480,0)&lt;&gt;0, IF(ROUND(D480,0)&lt;&gt;0, 'Career Comparison'!$F$28-C481, 0), 0)</f>
        <v>0</v>
      </c>
      <c r="E481" s="304">
        <f ca="1">IF(G$7&gt;=B481, E480*(1+'Government Figures'!$D$8/12)-'Career Comparison'!$F$28, 0)</f>
        <v>0</v>
      </c>
      <c r="F481" s="312">
        <f>'College Schedule'!$L$8*(1+'Government Figures'!$B$8/12)^B481</f>
        <v>4429.6208108042019</v>
      </c>
      <c r="G481" s="278">
        <v>1</v>
      </c>
      <c r="H481" s="279">
        <f t="shared" ca="1" si="62"/>
        <v>0.17320110972991043</v>
      </c>
      <c r="I481" s="304">
        <f>G481*('College Schedule'!$L$9)*(1+'Government Figures'!$B$8/12)^B481</f>
        <v>9864.5537549628825</v>
      </c>
      <c r="J481" s="304">
        <f t="shared" ca="1" si="60"/>
        <v>3726.3812868087543</v>
      </c>
      <c r="K481" s="304">
        <f t="shared" ca="1" si="57"/>
        <v>790.3237677858383</v>
      </c>
      <c r="L481" s="278">
        <v>1</v>
      </c>
      <c r="M481" s="279">
        <f t="shared" si="63"/>
        <v>0.13735784313725496</v>
      </c>
      <c r="N481" s="304">
        <f>L481*('College Schedule'!$L$10)*(1+'Government Figures'!$B$8/12)^B481</f>
        <v>5918.7322529777312</v>
      </c>
      <c r="O481" s="304">
        <f t="shared" si="61"/>
        <v>676.12714579760268</v>
      </c>
      <c r="P481" s="304">
        <f t="shared" si="58"/>
        <v>143.39900086463444</v>
      </c>
      <c r="Q481" s="274"/>
      <c r="R481" s="281"/>
      <c r="S481" s="281"/>
      <c r="T481" s="281"/>
      <c r="U481" s="281"/>
      <c r="V481" s="281"/>
      <c r="W481" s="281"/>
      <c r="X481" s="281"/>
      <c r="Y481" s="281"/>
      <c r="Z481" s="281"/>
      <c r="AA481" s="281"/>
      <c r="AB481" s="281"/>
      <c r="AC481" s="281"/>
      <c r="AD481" s="281"/>
    </row>
    <row r="482" spans="1:30" s="288" customFormat="1" x14ac:dyDescent="0.25">
      <c r="A482" s="287"/>
      <c r="B482" s="274">
        <f t="shared" si="59"/>
        <v>467</v>
      </c>
      <c r="C482" s="304">
        <f t="shared" ca="1" si="56"/>
        <v>0</v>
      </c>
      <c r="D482" s="304">
        <f ca="1">IF(ROUND(E481,0)&lt;&gt;0, IF(ROUND(D481,0)&lt;&gt;0, 'Career Comparison'!$F$28-C482, 0), 0)</f>
        <v>0</v>
      </c>
      <c r="E482" s="304">
        <f ca="1">IF(G$7&gt;=B482, E481*(1+'Government Figures'!$D$8/12)-'Career Comparison'!$F$28, 0)</f>
        <v>0</v>
      </c>
      <c r="F482" s="312">
        <f>'College Schedule'!$L$8*(1+'Government Figures'!$B$8/12)^B482</f>
        <v>4437.0035121555429</v>
      </c>
      <c r="G482" s="278">
        <v>1</v>
      </c>
      <c r="H482" s="279">
        <f t="shared" ca="1" si="62"/>
        <v>0.17320110972991043</v>
      </c>
      <c r="I482" s="304">
        <f>G482*('College Schedule'!$L$9)*(1+'Government Figures'!$B$8/12)^B482</f>
        <v>9880.994677887822</v>
      </c>
      <c r="J482" s="304">
        <f t="shared" ca="1" si="60"/>
        <v>3732.5919222867697</v>
      </c>
      <c r="K482" s="304">
        <f t="shared" ca="1" si="57"/>
        <v>789.01093760679214</v>
      </c>
      <c r="L482" s="278">
        <v>1</v>
      </c>
      <c r="M482" s="279">
        <f t="shared" si="63"/>
        <v>0.13735784313725496</v>
      </c>
      <c r="N482" s="304">
        <f>L482*('College Schedule'!$L$10)*(1+'Government Figures'!$B$8/12)^B482</f>
        <v>5928.5968067326949</v>
      </c>
      <c r="O482" s="304">
        <f t="shared" si="61"/>
        <v>677.25402437393132</v>
      </c>
      <c r="P482" s="304">
        <f t="shared" si="58"/>
        <v>143.16079654426113</v>
      </c>
      <c r="Q482" s="274"/>
      <c r="R482" s="281"/>
      <c r="S482" s="281"/>
      <c r="T482" s="281"/>
      <c r="U482" s="281"/>
      <c r="V482" s="281"/>
      <c r="W482" s="281"/>
      <c r="X482" s="281"/>
      <c r="Y482" s="281"/>
      <c r="Z482" s="281"/>
      <c r="AA482" s="281"/>
      <c r="AB482" s="281"/>
      <c r="AC482" s="281"/>
      <c r="AD482" s="281"/>
    </row>
    <row r="483" spans="1:30" s="288" customFormat="1" x14ac:dyDescent="0.25">
      <c r="A483" s="287"/>
      <c r="B483" s="274">
        <f t="shared" si="59"/>
        <v>468</v>
      </c>
      <c r="C483" s="304">
        <f t="shared" ca="1" si="56"/>
        <v>0</v>
      </c>
      <c r="D483" s="304">
        <f ca="1">IF(ROUND(E482,0)&lt;&gt;0, IF(ROUND(D482,0)&lt;&gt;0, 'Career Comparison'!$F$28-C483, 0), 0)</f>
        <v>0</v>
      </c>
      <c r="E483" s="304">
        <f ca="1">IF(G$7&gt;=B483, E482*(1+'Government Figures'!$D$8/12)-'Career Comparison'!$F$28, 0)</f>
        <v>0</v>
      </c>
      <c r="F483" s="312">
        <f>'College Schedule'!$L$8*(1+'Government Figures'!$B$8/12)^B483</f>
        <v>4444.3985180091368</v>
      </c>
      <c r="G483" s="278">
        <v>1</v>
      </c>
      <c r="H483" s="279">
        <f t="shared" ca="1" si="62"/>
        <v>0.17320110972991043</v>
      </c>
      <c r="I483" s="304">
        <f>G483*('College Schedule'!$L$9)*(1+'Government Figures'!$B$8/12)^B483</f>
        <v>9897.4630023509708</v>
      </c>
      <c r="J483" s="304">
        <f t="shared" ca="1" si="60"/>
        <v>3738.8129088239148</v>
      </c>
      <c r="K483" s="304">
        <f t="shared" ca="1" si="57"/>
        <v>787.70028820877428</v>
      </c>
      <c r="L483" s="278">
        <v>1</v>
      </c>
      <c r="M483" s="279">
        <f t="shared" si="63"/>
        <v>0.13735784313725496</v>
      </c>
      <c r="N483" s="304">
        <f>L483*('College Schedule'!$L$10)*(1+'Government Figures'!$B$8/12)^B483</f>
        <v>5938.4778014105832</v>
      </c>
      <c r="O483" s="304">
        <f t="shared" si="61"/>
        <v>678.38278108122086</v>
      </c>
      <c r="P483" s="304">
        <f t="shared" si="58"/>
        <v>142.92298791212772</v>
      </c>
      <c r="Q483" s="274"/>
      <c r="R483" s="281"/>
      <c r="S483" s="281"/>
      <c r="T483" s="281"/>
      <c r="U483" s="281"/>
      <c r="V483" s="281"/>
      <c r="W483" s="281"/>
      <c r="X483" s="281"/>
      <c r="Y483" s="281"/>
      <c r="Z483" s="281"/>
      <c r="AA483" s="281"/>
      <c r="AB483" s="281"/>
      <c r="AC483" s="281"/>
      <c r="AD483" s="281"/>
    </row>
    <row r="484" spans="1:30" s="288" customFormat="1" x14ac:dyDescent="0.25">
      <c r="A484" s="287"/>
      <c r="B484" s="274">
        <f t="shared" si="59"/>
        <v>469</v>
      </c>
      <c r="C484" s="304">
        <f t="shared" ca="1" si="56"/>
        <v>0</v>
      </c>
      <c r="D484" s="304">
        <f ca="1">IF(ROUND(E483,0)&lt;&gt;0, IF(ROUND(D483,0)&lt;&gt;0, 'Career Comparison'!$F$28-C484, 0), 0)</f>
        <v>0</v>
      </c>
      <c r="E484" s="304">
        <f ca="1">IF(G$7&gt;=B484, E483*(1+'Government Figures'!$D$8/12)-'Career Comparison'!$F$28, 0)</f>
        <v>0</v>
      </c>
      <c r="F484" s="312">
        <f>'College Schedule'!$L$8*(1+'Government Figures'!$B$8/12)^B484</f>
        <v>4451.8058488724864</v>
      </c>
      <c r="G484" s="278">
        <v>1</v>
      </c>
      <c r="H484" s="279">
        <f t="shared" ca="1" si="62"/>
        <v>0.17320110972991043</v>
      </c>
      <c r="I484" s="304">
        <f>G484*('College Schedule'!$L$9)*(1+'Government Figures'!$B$8/12)^B484</f>
        <v>9913.9587740215575</v>
      </c>
      <c r="J484" s="304">
        <f t="shared" ca="1" si="60"/>
        <v>3745.0442636719554</v>
      </c>
      <c r="K484" s="304">
        <f t="shared" ca="1" si="57"/>
        <v>786.39181596922504</v>
      </c>
      <c r="L484" s="278">
        <v>1</v>
      </c>
      <c r="M484" s="279">
        <f t="shared" si="63"/>
        <v>0.13735784313725496</v>
      </c>
      <c r="N484" s="304">
        <f>L484*('College Schedule'!$L$10)*(1+'Government Figures'!$B$8/12)^B484</f>
        <v>5948.3752644129354</v>
      </c>
      <c r="O484" s="304">
        <f t="shared" si="61"/>
        <v>679.51341904968922</v>
      </c>
      <c r="P484" s="304">
        <f t="shared" si="58"/>
        <v>142.68557431094473</v>
      </c>
      <c r="Q484" s="274"/>
      <c r="R484" s="281"/>
      <c r="S484" s="281"/>
      <c r="T484" s="281"/>
      <c r="U484" s="281"/>
      <c r="V484" s="281"/>
      <c r="W484" s="281"/>
      <c r="X484" s="281"/>
      <c r="Y484" s="281"/>
      <c r="Z484" s="281"/>
      <c r="AA484" s="281"/>
      <c r="AB484" s="281"/>
      <c r="AC484" s="281"/>
      <c r="AD484" s="281"/>
    </row>
    <row r="485" spans="1:30" s="288" customFormat="1" x14ac:dyDescent="0.25">
      <c r="A485" s="287"/>
      <c r="B485" s="274">
        <f t="shared" si="59"/>
        <v>470</v>
      </c>
      <c r="C485" s="304">
        <f t="shared" ca="1" si="56"/>
        <v>0</v>
      </c>
      <c r="D485" s="304">
        <f ca="1">IF(ROUND(E484,0)&lt;&gt;0, IF(ROUND(D484,0)&lt;&gt;0, 'Career Comparison'!$F$28-C485, 0), 0)</f>
        <v>0</v>
      </c>
      <c r="E485" s="304">
        <f ca="1">IF(G$7&gt;=B485, E484*(1+'Government Figures'!$D$8/12)-'Career Comparison'!$F$28, 0)</f>
        <v>0</v>
      </c>
      <c r="F485" s="312">
        <f>'College Schedule'!$L$8*(1+'Government Figures'!$B$8/12)^B485</f>
        <v>4459.2255252872719</v>
      </c>
      <c r="G485" s="278">
        <v>1</v>
      </c>
      <c r="H485" s="279">
        <f t="shared" ca="1" si="62"/>
        <v>0.17320110972991043</v>
      </c>
      <c r="I485" s="304">
        <f>G485*('College Schedule'!$L$9)*(1+'Government Figures'!$B$8/12)^B485</f>
        <v>9930.4820386449246</v>
      </c>
      <c r="J485" s="304">
        <f t="shared" ca="1" si="60"/>
        <v>3751.2860041114081</v>
      </c>
      <c r="K485" s="304">
        <f t="shared" ca="1" si="57"/>
        <v>785.08551727160159</v>
      </c>
      <c r="L485" s="278">
        <v>1</v>
      </c>
      <c r="M485" s="279">
        <f t="shared" si="63"/>
        <v>0.13735784313725496</v>
      </c>
      <c r="N485" s="304">
        <f>L485*('College Schedule'!$L$10)*(1+'Government Figures'!$B$8/12)^B485</f>
        <v>5958.2892231869555</v>
      </c>
      <c r="O485" s="304">
        <f t="shared" si="61"/>
        <v>680.64594141477301</v>
      </c>
      <c r="P485" s="304">
        <f t="shared" si="58"/>
        <v>142.44855508451479</v>
      </c>
      <c r="Q485" s="274"/>
      <c r="R485" s="281"/>
      <c r="S485" s="281"/>
      <c r="T485" s="281"/>
      <c r="U485" s="281"/>
      <c r="V485" s="281"/>
      <c r="W485" s="281"/>
      <c r="X485" s="281"/>
      <c r="Y485" s="281"/>
      <c r="Z485" s="281"/>
      <c r="AA485" s="281"/>
      <c r="AB485" s="281"/>
      <c r="AC485" s="281"/>
      <c r="AD485" s="281"/>
    </row>
    <row r="486" spans="1:30" s="288" customFormat="1" x14ac:dyDescent="0.25">
      <c r="A486" s="287"/>
      <c r="B486" s="274">
        <f t="shared" si="59"/>
        <v>471</v>
      </c>
      <c r="C486" s="304">
        <f t="shared" ca="1" si="56"/>
        <v>0</v>
      </c>
      <c r="D486" s="304">
        <f ca="1">IF(ROUND(E485,0)&lt;&gt;0, IF(ROUND(D485,0)&lt;&gt;0, 'Career Comparison'!$F$28-C486, 0), 0)</f>
        <v>0</v>
      </c>
      <c r="E486" s="304">
        <f ca="1">IF(G$7&gt;=B486, E485*(1+'Government Figures'!$D$8/12)-'Career Comparison'!$F$28, 0)</f>
        <v>0</v>
      </c>
      <c r="F486" s="312">
        <f>'College Schedule'!$L$8*(1+'Government Figures'!$B$8/12)^B486</f>
        <v>4466.6575678294193</v>
      </c>
      <c r="G486" s="278">
        <v>1</v>
      </c>
      <c r="H486" s="279">
        <f t="shared" ca="1" si="62"/>
        <v>0.17320110972991043</v>
      </c>
      <c r="I486" s="304">
        <f>G486*('College Schedule'!$L$9)*(1+'Government Figures'!$B$8/12)^B486</f>
        <v>9947.0328420426686</v>
      </c>
      <c r="J486" s="304">
        <f t="shared" ca="1" si="60"/>
        <v>3757.5381474515943</v>
      </c>
      <c r="K486" s="304">
        <f t="shared" ca="1" si="57"/>
        <v>783.7813885053697</v>
      </c>
      <c r="L486" s="278">
        <v>1</v>
      </c>
      <c r="M486" s="279">
        <f t="shared" si="63"/>
        <v>0.13735784313725496</v>
      </c>
      <c r="N486" s="304">
        <f>L486*('College Schedule'!$L$10)*(1+'Government Figures'!$B$8/12)^B486</f>
        <v>5968.2197052256024</v>
      </c>
      <c r="O486" s="304">
        <f t="shared" si="61"/>
        <v>681.78035131713114</v>
      </c>
      <c r="P486" s="304">
        <f t="shared" si="58"/>
        <v>142.2119295777299</v>
      </c>
      <c r="Q486" s="274"/>
      <c r="R486" s="281"/>
      <c r="S486" s="281"/>
      <c r="T486" s="281"/>
      <c r="U486" s="281"/>
      <c r="V486" s="281"/>
      <c r="W486" s="281"/>
      <c r="X486" s="281"/>
      <c r="Y486" s="281"/>
      <c r="Z486" s="281"/>
      <c r="AA486" s="281"/>
      <c r="AB486" s="281"/>
      <c r="AC486" s="281"/>
      <c r="AD486" s="281"/>
    </row>
    <row r="487" spans="1:30" s="288" customFormat="1" x14ac:dyDescent="0.25">
      <c r="A487" s="287"/>
      <c r="B487" s="274">
        <f t="shared" si="59"/>
        <v>472</v>
      </c>
      <c r="C487" s="304">
        <f t="shared" ca="1" si="56"/>
        <v>0</v>
      </c>
      <c r="D487" s="304">
        <f ca="1">IF(ROUND(E486,0)&lt;&gt;0, IF(ROUND(D486,0)&lt;&gt;0, 'Career Comparison'!$F$28-C487, 0), 0)</f>
        <v>0</v>
      </c>
      <c r="E487" s="304">
        <f ca="1">IF(G$7&gt;=B487, E486*(1+'Government Figures'!$D$8/12)-'Career Comparison'!$F$28, 0)</f>
        <v>0</v>
      </c>
      <c r="F487" s="312">
        <f>'College Schedule'!$L$8*(1+'Government Figures'!$B$8/12)^B487</f>
        <v>4474.1019971091355</v>
      </c>
      <c r="G487" s="278">
        <v>1</v>
      </c>
      <c r="H487" s="279">
        <f t="shared" ca="1" si="62"/>
        <v>0.17320110972991043</v>
      </c>
      <c r="I487" s="304">
        <f>G487*('College Schedule'!$L$9)*(1+'Government Figures'!$B$8/12)^B487</f>
        <v>9963.6112301127414</v>
      </c>
      <c r="J487" s="304">
        <f t="shared" ca="1" si="60"/>
        <v>3763.8007110306808</v>
      </c>
      <c r="K487" s="304">
        <f t="shared" ca="1" si="57"/>
        <v>782.47942606599202</v>
      </c>
      <c r="L487" s="278">
        <v>1</v>
      </c>
      <c r="M487" s="279">
        <f t="shared" si="63"/>
        <v>0.13735784313725496</v>
      </c>
      <c r="N487" s="304">
        <f>L487*('College Schedule'!$L$10)*(1+'Government Figures'!$B$8/12)^B487</f>
        <v>5978.1667380676454</v>
      </c>
      <c r="O487" s="304">
        <f t="shared" si="61"/>
        <v>682.9166519026594</v>
      </c>
      <c r="P487" s="304">
        <f t="shared" si="58"/>
        <v>141.9756971365708</v>
      </c>
      <c r="Q487" s="274"/>
      <c r="R487" s="281"/>
      <c r="S487" s="281"/>
      <c r="T487" s="281"/>
      <c r="U487" s="281"/>
      <c r="V487" s="281"/>
      <c r="W487" s="281"/>
      <c r="X487" s="281"/>
      <c r="Y487" s="281"/>
      <c r="Z487" s="281"/>
      <c r="AA487" s="281"/>
      <c r="AB487" s="281"/>
      <c r="AC487" s="281"/>
      <c r="AD487" s="281"/>
    </row>
    <row r="488" spans="1:30" s="288" customFormat="1" x14ac:dyDescent="0.25">
      <c r="A488" s="287"/>
      <c r="B488" s="274">
        <f t="shared" si="59"/>
        <v>473</v>
      </c>
      <c r="C488" s="304">
        <f t="shared" ca="1" si="56"/>
        <v>0</v>
      </c>
      <c r="D488" s="304">
        <f ca="1">IF(ROUND(E487,0)&lt;&gt;0, IF(ROUND(D487,0)&lt;&gt;0, 'Career Comparison'!$F$28-C488, 0), 0)</f>
        <v>0</v>
      </c>
      <c r="E488" s="304">
        <f ca="1">IF(G$7&gt;=B488, E487*(1+'Government Figures'!$D$8/12)-'Career Comparison'!$F$28, 0)</f>
        <v>0</v>
      </c>
      <c r="F488" s="312">
        <f>'College Schedule'!$L$8*(1+'Government Figures'!$B$8/12)^B488</f>
        <v>4481.5588337709833</v>
      </c>
      <c r="G488" s="278">
        <v>1</v>
      </c>
      <c r="H488" s="279">
        <f t="shared" ca="1" si="62"/>
        <v>0.17320110972991043</v>
      </c>
      <c r="I488" s="304">
        <f>G488*('College Schedule'!$L$9)*(1+'Government Figures'!$B$8/12)^B488</f>
        <v>9980.2172488295946</v>
      </c>
      <c r="J488" s="304">
        <f t="shared" ca="1" si="60"/>
        <v>3770.0737122157316</v>
      </c>
      <c r="K488" s="304">
        <f t="shared" ca="1" si="57"/>
        <v>781.1796263549187</v>
      </c>
      <c r="L488" s="278">
        <v>1</v>
      </c>
      <c r="M488" s="279">
        <f t="shared" si="63"/>
        <v>0.13735784313725496</v>
      </c>
      <c r="N488" s="304">
        <f>L488*('College Schedule'!$L$10)*(1+'Government Figures'!$B$8/12)^B488</f>
        <v>5988.1303492977577</v>
      </c>
      <c r="O488" s="304">
        <f t="shared" si="61"/>
        <v>684.05484632249681</v>
      </c>
      <c r="P488" s="304">
        <f t="shared" si="58"/>
        <v>141.73985710810464</v>
      </c>
      <c r="Q488" s="274"/>
      <c r="R488" s="281"/>
      <c r="S488" s="281"/>
      <c r="T488" s="281"/>
      <c r="U488" s="281"/>
      <c r="V488" s="281"/>
      <c r="W488" s="281"/>
      <c r="X488" s="281"/>
      <c r="Y488" s="281"/>
      <c r="Z488" s="281"/>
      <c r="AA488" s="281"/>
      <c r="AB488" s="281"/>
      <c r="AC488" s="281"/>
      <c r="AD488" s="281"/>
    </row>
    <row r="489" spans="1:30" s="288" customFormat="1" x14ac:dyDescent="0.25">
      <c r="A489" s="287"/>
      <c r="B489" s="274">
        <f t="shared" si="59"/>
        <v>474</v>
      </c>
      <c r="C489" s="304">
        <f t="shared" ca="1" si="56"/>
        <v>0</v>
      </c>
      <c r="D489" s="304">
        <f ca="1">IF(ROUND(E488,0)&lt;&gt;0, IF(ROUND(D488,0)&lt;&gt;0, 'Career Comparison'!$F$28-C489, 0), 0)</f>
        <v>0</v>
      </c>
      <c r="E489" s="304">
        <f ca="1">IF(G$7&gt;=B489, E488*(1+'Government Figures'!$D$8/12)-'Career Comparison'!$F$28, 0)</f>
        <v>0</v>
      </c>
      <c r="F489" s="312">
        <f>'College Schedule'!$L$8*(1+'Government Figures'!$B$8/12)^B489</f>
        <v>4489.0280984939354</v>
      </c>
      <c r="G489" s="278">
        <v>1</v>
      </c>
      <c r="H489" s="279">
        <f t="shared" ca="1" si="62"/>
        <v>0.17320110972991043</v>
      </c>
      <c r="I489" s="304">
        <f>G489*('College Schedule'!$L$9)*(1+'Government Figures'!$B$8/12)^B489</f>
        <v>9996.8509442443119</v>
      </c>
      <c r="J489" s="304">
        <f t="shared" ca="1" si="60"/>
        <v>3776.3571684027584</v>
      </c>
      <c r="K489" s="304">
        <f t="shared" ca="1" si="57"/>
        <v>779.8819857795786</v>
      </c>
      <c r="L489" s="278">
        <v>1</v>
      </c>
      <c r="M489" s="279">
        <f t="shared" si="63"/>
        <v>0.13735784313725496</v>
      </c>
      <c r="N489" s="304">
        <f>L489*('College Schedule'!$L$10)*(1+'Government Figures'!$B$8/12)^B489</f>
        <v>5998.1105665465875</v>
      </c>
      <c r="O489" s="304">
        <f t="shared" si="61"/>
        <v>685.19493773303475</v>
      </c>
      <c r="P489" s="304">
        <f t="shared" si="58"/>
        <v>141.50440884048334</v>
      </c>
      <c r="Q489" s="274"/>
      <c r="R489" s="281"/>
      <c r="S489" s="281"/>
      <c r="T489" s="281"/>
      <c r="U489" s="281"/>
      <c r="V489" s="281"/>
      <c r="W489" s="281"/>
      <c r="X489" s="281"/>
      <c r="Y489" s="281"/>
      <c r="Z489" s="281"/>
      <c r="AA489" s="281"/>
      <c r="AB489" s="281"/>
      <c r="AC489" s="281"/>
      <c r="AD489" s="281"/>
    </row>
    <row r="490" spans="1:30" s="288" customFormat="1" x14ac:dyDescent="0.25">
      <c r="A490" s="287"/>
      <c r="B490" s="274">
        <f t="shared" si="59"/>
        <v>475</v>
      </c>
      <c r="C490" s="304">
        <f t="shared" ca="1" si="56"/>
        <v>0</v>
      </c>
      <c r="D490" s="304">
        <f ca="1">IF(ROUND(E489,0)&lt;&gt;0, IF(ROUND(D489,0)&lt;&gt;0, 'Career Comparison'!$F$28-C490, 0), 0)</f>
        <v>0</v>
      </c>
      <c r="E490" s="304">
        <f ca="1">IF(G$7&gt;=B490, E489*(1+'Government Figures'!$D$8/12)-'Career Comparison'!$F$28, 0)</f>
        <v>0</v>
      </c>
      <c r="F490" s="312">
        <f>'College Schedule'!$L$8*(1+'Government Figures'!$B$8/12)^B490</f>
        <v>4496.5098119914255</v>
      </c>
      <c r="G490" s="278">
        <v>1</v>
      </c>
      <c r="H490" s="279">
        <f t="shared" ca="1" si="62"/>
        <v>0.17320110972991043</v>
      </c>
      <c r="I490" s="304">
        <f>G490*('College Schedule'!$L$9)*(1+'Government Figures'!$B$8/12)^B490</f>
        <v>10013.512362484718</v>
      </c>
      <c r="J490" s="304">
        <f t="shared" ca="1" si="60"/>
        <v>3782.6510970167619</v>
      </c>
      <c r="K490" s="304">
        <f t="shared" ca="1" si="57"/>
        <v>778.58650075336607</v>
      </c>
      <c r="L490" s="278">
        <v>1</v>
      </c>
      <c r="M490" s="279">
        <f t="shared" si="63"/>
        <v>0.13735784313725496</v>
      </c>
      <c r="N490" s="304">
        <f>L490*('College Schedule'!$L$10)*(1+'Government Figures'!$B$8/12)^B490</f>
        <v>6008.1074174908326</v>
      </c>
      <c r="O490" s="304">
        <f t="shared" si="61"/>
        <v>686.33692929592326</v>
      </c>
      <c r="P490" s="304">
        <f t="shared" si="58"/>
        <v>141.26935168294096</v>
      </c>
      <c r="Q490" s="274"/>
      <c r="R490" s="281"/>
      <c r="S490" s="281"/>
      <c r="T490" s="281"/>
      <c r="U490" s="281"/>
      <c r="V490" s="281"/>
      <c r="W490" s="281"/>
      <c r="X490" s="281"/>
      <c r="Y490" s="281"/>
      <c r="Z490" s="281"/>
      <c r="AA490" s="281"/>
      <c r="AB490" s="281"/>
      <c r="AC490" s="281"/>
      <c r="AD490" s="281"/>
    </row>
    <row r="491" spans="1:30" s="288" customFormat="1" x14ac:dyDescent="0.25">
      <c r="A491" s="287"/>
      <c r="B491" s="274">
        <f t="shared" si="59"/>
        <v>476</v>
      </c>
      <c r="C491" s="304">
        <f t="shared" ca="1" si="56"/>
        <v>0</v>
      </c>
      <c r="D491" s="304">
        <f ca="1">IF(ROUND(E490,0)&lt;&gt;0, IF(ROUND(D490,0)&lt;&gt;0, 'Career Comparison'!$F$28-C491, 0), 0)</f>
        <v>0</v>
      </c>
      <c r="E491" s="304">
        <f ca="1">IF(G$7&gt;=B491, E490*(1+'Government Figures'!$D$8/12)-'Career Comparison'!$F$28, 0)</f>
        <v>0</v>
      </c>
      <c r="F491" s="312">
        <f>'College Schedule'!$L$8*(1+'Government Figures'!$B$8/12)^B491</f>
        <v>4504.0039950114115</v>
      </c>
      <c r="G491" s="278">
        <v>1</v>
      </c>
      <c r="H491" s="279">
        <f t="shared" ca="1" si="62"/>
        <v>0.17320110972991043</v>
      </c>
      <c r="I491" s="304">
        <f>G491*('College Schedule'!$L$9)*(1+'Government Figures'!$B$8/12)^B491</f>
        <v>10030.201549755528</v>
      </c>
      <c r="J491" s="304">
        <f t="shared" ca="1" si="60"/>
        <v>3788.9555155117905</v>
      </c>
      <c r="K491" s="304">
        <f t="shared" ca="1" si="57"/>
        <v>777.29316769563661</v>
      </c>
      <c r="L491" s="278">
        <v>1</v>
      </c>
      <c r="M491" s="279">
        <f t="shared" si="63"/>
        <v>0.13735784313725496</v>
      </c>
      <c r="N491" s="304">
        <f>L491*('College Schedule'!$L$10)*(1+'Government Figures'!$B$8/12)^B491</f>
        <v>6018.1209298533176</v>
      </c>
      <c r="O491" s="304">
        <f t="shared" si="61"/>
        <v>687.48082417808291</v>
      </c>
      <c r="P491" s="304">
        <f t="shared" si="58"/>
        <v>141.03468498579321</v>
      </c>
      <c r="Q491" s="274"/>
      <c r="R491" s="281"/>
      <c r="S491" s="281"/>
      <c r="T491" s="281"/>
      <c r="U491" s="281"/>
      <c r="V491" s="281"/>
      <c r="W491" s="281"/>
      <c r="X491" s="281"/>
      <c r="Y491" s="281"/>
      <c r="Z491" s="281"/>
      <c r="AA491" s="281"/>
      <c r="AB491" s="281"/>
      <c r="AC491" s="281"/>
      <c r="AD491" s="281"/>
    </row>
    <row r="492" spans="1:30" s="288" customFormat="1" x14ac:dyDescent="0.25">
      <c r="A492" s="287"/>
      <c r="B492" s="274">
        <f t="shared" si="59"/>
        <v>477</v>
      </c>
      <c r="C492" s="304">
        <f t="shared" ca="1" si="56"/>
        <v>0</v>
      </c>
      <c r="D492" s="304">
        <f ca="1">IF(ROUND(E491,0)&lt;&gt;0, IF(ROUND(D491,0)&lt;&gt;0, 'Career Comparison'!$F$28-C492, 0), 0)</f>
        <v>0</v>
      </c>
      <c r="E492" s="304">
        <f ca="1">IF(G$7&gt;=B492, E491*(1+'Government Figures'!$D$8/12)-'Career Comparison'!$F$28, 0)</f>
        <v>0</v>
      </c>
      <c r="F492" s="312">
        <f>'College Schedule'!$L$8*(1+'Government Figures'!$B$8/12)^B492</f>
        <v>4511.510668336432</v>
      </c>
      <c r="G492" s="278">
        <v>1</v>
      </c>
      <c r="H492" s="279">
        <f t="shared" ca="1" si="62"/>
        <v>0.17320110972991043</v>
      </c>
      <c r="I492" s="304">
        <f>G492*('College Schedule'!$L$9)*(1+'Government Figures'!$B$8/12)^B492</f>
        <v>10046.918552338457</v>
      </c>
      <c r="J492" s="304">
        <f t="shared" ca="1" si="60"/>
        <v>3795.270441370978</v>
      </c>
      <c r="K492" s="304">
        <f t="shared" ca="1" si="57"/>
        <v>776.00198303169054</v>
      </c>
      <c r="L492" s="278">
        <v>1</v>
      </c>
      <c r="M492" s="279">
        <f t="shared" si="63"/>
        <v>0.13735784313725496</v>
      </c>
      <c r="N492" s="304">
        <f>L492*('College Schedule'!$L$10)*(1+'Government Figures'!$B$8/12)^B492</f>
        <v>6028.1511314030749</v>
      </c>
      <c r="O492" s="304">
        <f t="shared" si="61"/>
        <v>688.626625551713</v>
      </c>
      <c r="P492" s="304">
        <f t="shared" si="58"/>
        <v>140.80040810043471</v>
      </c>
      <c r="Q492" s="274"/>
      <c r="R492" s="281"/>
      <c r="S492" s="281"/>
      <c r="T492" s="281"/>
      <c r="U492" s="281"/>
      <c r="V492" s="281"/>
      <c r="W492" s="281"/>
      <c r="X492" s="281"/>
      <c r="Y492" s="281"/>
      <c r="Z492" s="281"/>
      <c r="AA492" s="281"/>
      <c r="AB492" s="281"/>
      <c r="AC492" s="281"/>
      <c r="AD492" s="281"/>
    </row>
    <row r="493" spans="1:30" s="288" customFormat="1" x14ac:dyDescent="0.25">
      <c r="A493" s="287"/>
      <c r="B493" s="274">
        <f t="shared" si="59"/>
        <v>478</v>
      </c>
      <c r="C493" s="304">
        <f t="shared" ca="1" si="56"/>
        <v>0</v>
      </c>
      <c r="D493" s="304">
        <f ca="1">IF(ROUND(E492,0)&lt;&gt;0, IF(ROUND(D492,0)&lt;&gt;0, 'Career Comparison'!$F$28-C493, 0), 0)</f>
        <v>0</v>
      </c>
      <c r="E493" s="304">
        <f ca="1">IF(G$7&gt;=B493, E492*(1+'Government Figures'!$D$8/12)-'Career Comparison'!$F$28, 0)</f>
        <v>0</v>
      </c>
      <c r="F493" s="312">
        <f>'College Schedule'!$L$8*(1+'Government Figures'!$B$8/12)^B493</f>
        <v>4519.0298527836585</v>
      </c>
      <c r="G493" s="278">
        <v>1</v>
      </c>
      <c r="H493" s="279">
        <f t="shared" ca="1" si="62"/>
        <v>0.17320110972991043</v>
      </c>
      <c r="I493" s="304">
        <f>G493*('College Schedule'!$L$9)*(1+'Government Figures'!$B$8/12)^B493</f>
        <v>10063.663416592351</v>
      </c>
      <c r="J493" s="304">
        <f t="shared" ca="1" si="60"/>
        <v>3801.5958921065958</v>
      </c>
      <c r="K493" s="304">
        <f t="shared" ca="1" si="57"/>
        <v>774.71294319276728</v>
      </c>
      <c r="L493" s="278">
        <v>1</v>
      </c>
      <c r="M493" s="279">
        <f t="shared" si="63"/>
        <v>0.13735784313725496</v>
      </c>
      <c r="N493" s="304">
        <f>L493*('College Schedule'!$L$10)*(1+'Government Figures'!$B$8/12)^B493</f>
        <v>6038.198049955412</v>
      </c>
      <c r="O493" s="304">
        <f t="shared" si="61"/>
        <v>689.7743365942988</v>
      </c>
      <c r="P493" s="304">
        <f t="shared" si="58"/>
        <v>140.56652037933756</v>
      </c>
      <c r="Q493" s="274"/>
      <c r="R493" s="281"/>
      <c r="S493" s="281"/>
      <c r="T493" s="281"/>
      <c r="U493" s="281"/>
      <c r="V493" s="281"/>
      <c r="W493" s="281"/>
      <c r="X493" s="281"/>
      <c r="Y493" s="281"/>
      <c r="Z493" s="281"/>
      <c r="AA493" s="281"/>
      <c r="AB493" s="281"/>
      <c r="AC493" s="281"/>
      <c r="AD493" s="281"/>
    </row>
    <row r="494" spans="1:30" s="288" customFormat="1" x14ac:dyDescent="0.25">
      <c r="A494" s="287"/>
      <c r="B494" s="274">
        <f t="shared" si="59"/>
        <v>479</v>
      </c>
      <c r="C494" s="304">
        <f t="shared" ca="1" si="56"/>
        <v>0</v>
      </c>
      <c r="D494" s="304">
        <f ca="1">IF(ROUND(E493,0)&lt;&gt;0, IF(ROUND(D493,0)&lt;&gt;0, 'Career Comparison'!$F$28-C494, 0), 0)</f>
        <v>0</v>
      </c>
      <c r="E494" s="304">
        <f ca="1">IF(G$7&gt;=B494, E493*(1+'Government Figures'!$D$8/12)-'Career Comparison'!$F$28, 0)</f>
        <v>0</v>
      </c>
      <c r="F494" s="312">
        <f>'College Schedule'!$L$8*(1+'Government Figures'!$B$8/12)^B494</f>
        <v>4526.5615692049651</v>
      </c>
      <c r="G494" s="278">
        <v>1</v>
      </c>
      <c r="H494" s="279">
        <f t="shared" ca="1" si="62"/>
        <v>0.17320110972991043</v>
      </c>
      <c r="I494" s="304">
        <f>G494*('College Schedule'!$L$9)*(1+'Government Figures'!$B$8/12)^B494</f>
        <v>10080.436188953339</v>
      </c>
      <c r="J494" s="304">
        <f t="shared" ca="1" si="60"/>
        <v>3807.9318852601064</v>
      </c>
      <c r="K494" s="304">
        <f t="shared" ca="1" si="57"/>
        <v>773.42604461603491</v>
      </c>
      <c r="L494" s="278">
        <v>1</v>
      </c>
      <c r="M494" s="279">
        <f t="shared" si="63"/>
        <v>0.13735784313725496</v>
      </c>
      <c r="N494" s="304">
        <f>L494*('College Schedule'!$L$10)*(1+'Government Figures'!$B$8/12)^B494</f>
        <v>6048.261713372005</v>
      </c>
      <c r="O494" s="304">
        <f t="shared" si="61"/>
        <v>690.92396048862338</v>
      </c>
      <c r="P494" s="304">
        <f t="shared" si="58"/>
        <v>140.33302117604975</v>
      </c>
      <c r="Q494" s="274"/>
      <c r="R494" s="281"/>
      <c r="S494" s="281"/>
      <c r="T494" s="281"/>
      <c r="U494" s="281"/>
      <c r="V494" s="281"/>
      <c r="W494" s="281"/>
      <c r="X494" s="281"/>
      <c r="Y494" s="281"/>
      <c r="Z494" s="281"/>
      <c r="AA494" s="281"/>
      <c r="AB494" s="281"/>
      <c r="AC494" s="281"/>
      <c r="AD494" s="281"/>
    </row>
    <row r="495" spans="1:30" s="288" customFormat="1" x14ac:dyDescent="0.25">
      <c r="A495" s="287"/>
      <c r="B495" s="274">
        <f t="shared" si="59"/>
        <v>480</v>
      </c>
      <c r="C495" s="304">
        <f t="shared" ca="1" si="56"/>
        <v>0</v>
      </c>
      <c r="D495" s="304">
        <f ca="1">IF(ROUND(E494,0)&lt;&gt;0, IF(ROUND(D494,0)&lt;&gt;0, 'Career Comparison'!$F$28-C495, 0), 0)</f>
        <v>0</v>
      </c>
      <c r="E495" s="304">
        <f ca="1">IF(G$7&gt;=B495, E494*(1+'Government Figures'!$D$8/12)-'Career Comparison'!$F$28, 0)</f>
        <v>0</v>
      </c>
      <c r="F495" s="312">
        <f>'College Schedule'!$L$8*(1+'Government Figures'!$B$8/12)^B495</f>
        <v>4534.1058384869748</v>
      </c>
      <c r="G495" s="278">
        <v>1</v>
      </c>
      <c r="H495" s="279">
        <f t="shared" ca="1" si="62"/>
        <v>0.17320110972991043</v>
      </c>
      <c r="I495" s="304">
        <f>G495*('College Schedule'!$L$9)*(1+'Government Figures'!$B$8/12)^B495</f>
        <v>10097.236915934933</v>
      </c>
      <c r="J495" s="304">
        <f t="shared" ca="1" si="60"/>
        <v>3814.2784384022098</v>
      </c>
      <c r="K495" s="304">
        <f t="shared" ca="1" si="57"/>
        <v>772.14128374458016</v>
      </c>
      <c r="L495" s="278">
        <v>1</v>
      </c>
      <c r="M495" s="279">
        <f t="shared" si="63"/>
        <v>0.13735784313725496</v>
      </c>
      <c r="N495" s="304">
        <f>L495*('College Schedule'!$L$10)*(1+'Government Figures'!$B$8/12)^B495</f>
        <v>6058.3421495609609</v>
      </c>
      <c r="O495" s="304">
        <f t="shared" si="61"/>
        <v>692.07550042277126</v>
      </c>
      <c r="P495" s="304">
        <f t="shared" si="58"/>
        <v>140.09990984519254</v>
      </c>
      <c r="Q495" s="274"/>
      <c r="R495" s="281"/>
      <c r="S495" s="281"/>
      <c r="T495" s="281"/>
      <c r="U495" s="281"/>
      <c r="V495" s="281"/>
      <c r="W495" s="281"/>
      <c r="X495" s="281"/>
      <c r="Y495" s="281"/>
      <c r="Z495" s="281"/>
      <c r="AA495" s="281"/>
      <c r="AB495" s="281"/>
      <c r="AC495" s="281"/>
      <c r="AD495" s="281"/>
    </row>
    <row r="496" spans="1:30" s="288" customFormat="1" x14ac:dyDescent="0.25">
      <c r="A496" s="287"/>
      <c r="B496" s="274">
        <f t="shared" si="59"/>
        <v>481</v>
      </c>
      <c r="C496" s="304">
        <f t="shared" ref="C496:C559" ca="1" si="64">E495-E496</f>
        <v>0</v>
      </c>
      <c r="D496" s="304">
        <f ca="1">IF(ROUND(E495,0)&lt;&gt;0, IF(ROUND(D495,0)&lt;&gt;0, 'Career Comparison'!$F$28-C496, 0), 0)</f>
        <v>0</v>
      </c>
      <c r="E496" s="304">
        <f ca="1">IF(G$7&gt;=B496, E495*(1+'Government Figures'!$D$8/12)-'Career Comparison'!$F$28, 0)</f>
        <v>0</v>
      </c>
      <c r="F496" s="312">
        <f>'College Schedule'!$L$8*(1+'Government Figures'!$B$8/12)^B496</f>
        <v>4541.662681551119</v>
      </c>
      <c r="G496" s="278">
        <v>1</v>
      </c>
      <c r="H496" s="279">
        <f t="shared" ca="1" si="62"/>
        <v>0.17320110972991043</v>
      </c>
      <c r="I496" s="304">
        <f>G496*('College Schedule'!$L$9)*(1+'Government Figures'!$B$8/12)^B496</f>
        <v>10114.065644128157</v>
      </c>
      <c r="J496" s="304">
        <f t="shared" ref="J496:J559" ca="1" si="65">I496*(1-H496)-F496-C496-D496</f>
        <v>3820.6355691328808</v>
      </c>
      <c r="K496" s="304">
        <f t="shared" ref="K496:K559" ca="1" si="66">J496/(1+($G$9/12))^B496</f>
        <v>770.85865702739659</v>
      </c>
      <c r="L496" s="278">
        <v>1</v>
      </c>
      <c r="M496" s="279">
        <f t="shared" si="63"/>
        <v>0.13735784313725496</v>
      </c>
      <c r="N496" s="304">
        <f>L496*('College Schedule'!$L$10)*(1+'Government Figures'!$B$8/12)^B496</f>
        <v>6068.4393864768954</v>
      </c>
      <c r="O496" s="304">
        <f t="shared" ref="O496:O559" si="67">N496*(1-M496)-F496</f>
        <v>693.22895959014295</v>
      </c>
      <c r="P496" s="304">
        <f t="shared" ref="P496:P559" si="68">O496/(1+($G$9/12))^B496</f>
        <v>139.86718574245972</v>
      </c>
      <c r="Q496" s="274"/>
      <c r="R496" s="281"/>
      <c r="S496" s="281"/>
      <c r="T496" s="281"/>
      <c r="U496" s="281"/>
      <c r="V496" s="281"/>
      <c r="W496" s="281"/>
      <c r="X496" s="281"/>
      <c r="Y496" s="281"/>
      <c r="Z496" s="281"/>
      <c r="AA496" s="281"/>
      <c r="AB496" s="281"/>
      <c r="AC496" s="281"/>
      <c r="AD496" s="281"/>
    </row>
    <row r="497" spans="1:30" s="288" customFormat="1" x14ac:dyDescent="0.25">
      <c r="A497" s="287"/>
      <c r="B497" s="274">
        <f t="shared" si="59"/>
        <v>482</v>
      </c>
      <c r="C497" s="304">
        <f t="shared" ca="1" si="64"/>
        <v>0</v>
      </c>
      <c r="D497" s="304">
        <f ca="1">IF(ROUND(E496,0)&lt;&gt;0, IF(ROUND(D496,0)&lt;&gt;0, 'Career Comparison'!$F$28-C497, 0), 0)</f>
        <v>0</v>
      </c>
      <c r="E497" s="304">
        <f ca="1">IF(G$7&gt;=B497, E496*(1+'Government Figures'!$D$8/12)-'Career Comparison'!$F$28, 0)</f>
        <v>0</v>
      </c>
      <c r="F497" s="312">
        <f>'College Schedule'!$L$8*(1+'Government Figures'!$B$8/12)^B497</f>
        <v>4549.2321193537045</v>
      </c>
      <c r="G497" s="278">
        <v>1</v>
      </c>
      <c r="H497" s="279">
        <f t="shared" ca="1" si="62"/>
        <v>0.17320110972991043</v>
      </c>
      <c r="I497" s="304">
        <f>G497*('College Schedule'!$L$9)*(1+'Government Figures'!$B$8/12)^B497</f>
        <v>10130.922420201703</v>
      </c>
      <c r="J497" s="304">
        <f t="shared" ca="1" si="65"/>
        <v>3827.003295081433</v>
      </c>
      <c r="K497" s="304">
        <f t="shared" ca="1" si="66"/>
        <v>769.57816091937707</v>
      </c>
      <c r="L497" s="278">
        <v>1</v>
      </c>
      <c r="M497" s="279">
        <f t="shared" si="63"/>
        <v>0.13735784313725496</v>
      </c>
      <c r="N497" s="304">
        <f>L497*('College Schedule'!$L$10)*(1+'Government Figures'!$B$8/12)^B497</f>
        <v>6078.5534521210229</v>
      </c>
      <c r="O497" s="304">
        <f t="shared" si="67"/>
        <v>694.38434118945952</v>
      </c>
      <c r="P497" s="304">
        <f t="shared" si="68"/>
        <v>139.63484822461501</v>
      </c>
      <c r="Q497" s="274"/>
      <c r="R497" s="281"/>
      <c r="S497" s="281"/>
      <c r="T497" s="281"/>
      <c r="U497" s="281"/>
      <c r="V497" s="281"/>
      <c r="W497" s="281"/>
      <c r="X497" s="281"/>
      <c r="Y497" s="281"/>
      <c r="Z497" s="281"/>
      <c r="AA497" s="281"/>
      <c r="AB497" s="281"/>
      <c r="AC497" s="281"/>
      <c r="AD497" s="281"/>
    </row>
    <row r="498" spans="1:30" s="288" customFormat="1" x14ac:dyDescent="0.25">
      <c r="A498" s="287"/>
      <c r="B498" s="274">
        <f t="shared" si="59"/>
        <v>483</v>
      </c>
      <c r="C498" s="304">
        <f t="shared" ca="1" si="64"/>
        <v>0</v>
      </c>
      <c r="D498" s="304">
        <f ca="1">IF(ROUND(E497,0)&lt;&gt;0, IF(ROUND(D497,0)&lt;&gt;0, 'Career Comparison'!$F$28-C498, 0), 0)</f>
        <v>0</v>
      </c>
      <c r="E498" s="304">
        <f ca="1">IF(G$7&gt;=B498, E497*(1+'Government Figures'!$D$8/12)-'Career Comparison'!$F$28, 0)</f>
        <v>0</v>
      </c>
      <c r="F498" s="312">
        <f>'College Schedule'!$L$8*(1+'Government Figures'!$B$8/12)^B498</f>
        <v>4556.8141728859619</v>
      </c>
      <c r="G498" s="278">
        <v>1</v>
      </c>
      <c r="H498" s="279">
        <f t="shared" ca="1" si="62"/>
        <v>0.17320110972991043</v>
      </c>
      <c r="I498" s="304">
        <f>G498*('College Schedule'!$L$9)*(1+'Government Figures'!$B$8/12)^B498</f>
        <v>10147.807290902041</v>
      </c>
      <c r="J498" s="304">
        <f t="shared" ca="1" si="65"/>
        <v>3833.3816339065697</v>
      </c>
      <c r="K498" s="304">
        <f t="shared" ca="1" si="66"/>
        <v>768.29979188130494</v>
      </c>
      <c r="L498" s="278">
        <v>1</v>
      </c>
      <c r="M498" s="279">
        <f t="shared" si="63"/>
        <v>0.13735784313725496</v>
      </c>
      <c r="N498" s="304">
        <f>L498*('College Schedule'!$L$10)*(1+'Government Figures'!$B$8/12)^B498</f>
        <v>6088.6843745412261</v>
      </c>
      <c r="O498" s="304">
        <f t="shared" si="67"/>
        <v>695.5416484247753</v>
      </c>
      <c r="P498" s="304">
        <f t="shared" si="68"/>
        <v>139.40289664949103</v>
      </c>
      <c r="Q498" s="274"/>
      <c r="R498" s="281"/>
      <c r="S498" s="281"/>
      <c r="T498" s="281"/>
      <c r="U498" s="281"/>
      <c r="V498" s="281"/>
      <c r="W498" s="281"/>
      <c r="X498" s="281"/>
      <c r="Y498" s="281"/>
      <c r="Z498" s="281"/>
      <c r="AA498" s="281"/>
      <c r="AB498" s="281"/>
      <c r="AC498" s="281"/>
      <c r="AD498" s="281"/>
    </row>
    <row r="499" spans="1:30" s="288" customFormat="1" x14ac:dyDescent="0.25">
      <c r="A499" s="287"/>
      <c r="B499" s="274">
        <f t="shared" si="59"/>
        <v>484</v>
      </c>
      <c r="C499" s="304">
        <f t="shared" ca="1" si="64"/>
        <v>0</v>
      </c>
      <c r="D499" s="304">
        <f ca="1">IF(ROUND(E498,0)&lt;&gt;0, IF(ROUND(D498,0)&lt;&gt;0, 'Career Comparison'!$F$28-C499, 0), 0)</f>
        <v>0</v>
      </c>
      <c r="E499" s="304">
        <f ca="1">IF(G$7&gt;=B499, E498*(1+'Government Figures'!$D$8/12)-'Career Comparison'!$F$28, 0)</f>
        <v>0</v>
      </c>
      <c r="F499" s="312">
        <f>'College Schedule'!$L$8*(1+'Government Figures'!$B$8/12)^B499</f>
        <v>4564.4088631741051</v>
      </c>
      <c r="G499" s="278">
        <v>1</v>
      </c>
      <c r="H499" s="279">
        <f t="shared" ca="1" si="62"/>
        <v>0.17320110972991043</v>
      </c>
      <c r="I499" s="304">
        <f>G499*('College Schedule'!$L$9)*(1+'Government Figures'!$B$8/12)^B499</f>
        <v>10164.720303053544</v>
      </c>
      <c r="J499" s="304">
        <f t="shared" ca="1" si="65"/>
        <v>3839.7706032964143</v>
      </c>
      <c r="K499" s="304">
        <f t="shared" ca="1" si="66"/>
        <v>767.02354637984126</v>
      </c>
      <c r="L499" s="278">
        <v>1</v>
      </c>
      <c r="M499" s="279">
        <f t="shared" si="63"/>
        <v>0.13735784313725496</v>
      </c>
      <c r="N499" s="304">
        <f>L499*('College Schedule'!$L$10)*(1+'Government Figures'!$B$8/12)^B499</f>
        <v>6098.8321818321274</v>
      </c>
      <c r="O499" s="304">
        <f t="shared" si="67"/>
        <v>696.70088450548246</v>
      </c>
      <c r="P499" s="304">
        <f t="shared" si="68"/>
        <v>139.17133037598677</v>
      </c>
      <c r="Q499" s="274"/>
      <c r="R499" s="281"/>
      <c r="S499" s="281"/>
      <c r="T499" s="281"/>
      <c r="U499" s="281"/>
      <c r="V499" s="281"/>
      <c r="W499" s="281"/>
      <c r="X499" s="281"/>
      <c r="Y499" s="281"/>
      <c r="Z499" s="281"/>
      <c r="AA499" s="281"/>
      <c r="AB499" s="281"/>
      <c r="AC499" s="281"/>
      <c r="AD499" s="281"/>
    </row>
    <row r="500" spans="1:30" s="288" customFormat="1" x14ac:dyDescent="0.25">
      <c r="A500" s="287"/>
      <c r="B500" s="274">
        <f t="shared" si="59"/>
        <v>485</v>
      </c>
      <c r="C500" s="304">
        <f t="shared" ca="1" si="64"/>
        <v>0</v>
      </c>
      <c r="D500" s="304">
        <f ca="1">IF(ROUND(E499,0)&lt;&gt;0, IF(ROUND(D499,0)&lt;&gt;0, 'Career Comparison'!$F$28-C500, 0), 0)</f>
        <v>0</v>
      </c>
      <c r="E500" s="304">
        <f ca="1">IF(G$7&gt;=B500, E499*(1+'Government Figures'!$D$8/12)-'Career Comparison'!$F$28, 0)</f>
        <v>0</v>
      </c>
      <c r="F500" s="312">
        <f>'College Schedule'!$L$8*(1+'Government Figures'!$B$8/12)^B500</f>
        <v>4572.0162112793951</v>
      </c>
      <c r="G500" s="278">
        <v>1</v>
      </c>
      <c r="H500" s="279">
        <f t="shared" ca="1" si="62"/>
        <v>0.17320110972991043</v>
      </c>
      <c r="I500" s="304">
        <f>G500*('College Schedule'!$L$9)*(1+'Government Figures'!$B$8/12)^B500</f>
        <v>10181.661503558635</v>
      </c>
      <c r="J500" s="304">
        <f t="shared" ca="1" si="65"/>
        <v>3846.1702209685754</v>
      </c>
      <c r="K500" s="304">
        <f t="shared" ca="1" si="66"/>
        <v>765.74942088751595</v>
      </c>
      <c r="L500" s="278">
        <v>1</v>
      </c>
      <c r="M500" s="279">
        <f t="shared" si="63"/>
        <v>0.13735784313725496</v>
      </c>
      <c r="N500" s="304">
        <f>L500*('College Schedule'!$L$10)*(1+'Government Figures'!$B$8/12)^B500</f>
        <v>6108.9969021351817</v>
      </c>
      <c r="O500" s="304">
        <f t="shared" si="67"/>
        <v>697.86205264632554</v>
      </c>
      <c r="P500" s="304">
        <f t="shared" si="68"/>
        <v>138.94014876406666</v>
      </c>
      <c r="Q500" s="274"/>
      <c r="R500" s="281"/>
      <c r="S500" s="281"/>
      <c r="T500" s="281"/>
      <c r="U500" s="281"/>
      <c r="V500" s="281"/>
      <c r="W500" s="281"/>
      <c r="X500" s="281"/>
      <c r="Y500" s="281"/>
      <c r="Z500" s="281"/>
      <c r="AA500" s="281"/>
      <c r="AB500" s="281"/>
      <c r="AC500" s="281"/>
      <c r="AD500" s="281"/>
    </row>
    <row r="501" spans="1:30" s="288" customFormat="1" x14ac:dyDescent="0.25">
      <c r="A501" s="287"/>
      <c r="B501" s="274">
        <f t="shared" si="59"/>
        <v>486</v>
      </c>
      <c r="C501" s="304">
        <f t="shared" ca="1" si="64"/>
        <v>0</v>
      </c>
      <c r="D501" s="304">
        <f ca="1">IF(ROUND(E500,0)&lt;&gt;0, IF(ROUND(D500,0)&lt;&gt;0, 'Career Comparison'!$F$28-C501, 0), 0)</f>
        <v>0</v>
      </c>
      <c r="E501" s="304">
        <f ca="1">IF(G$7&gt;=B501, E500*(1+'Government Figures'!$D$8/12)-'Career Comparison'!$F$28, 0)</f>
        <v>0</v>
      </c>
      <c r="F501" s="312">
        <f>'College Schedule'!$L$8*(1+'Government Figures'!$B$8/12)^B501</f>
        <v>4579.6362382981933</v>
      </c>
      <c r="G501" s="278">
        <v>1</v>
      </c>
      <c r="H501" s="279">
        <f t="shared" ca="1" si="62"/>
        <v>0.17320110972991043</v>
      </c>
      <c r="I501" s="304">
        <f>G501*('College Schedule'!$L$9)*(1+'Government Figures'!$B$8/12)^B501</f>
        <v>10198.630939397897</v>
      </c>
      <c r="J501" s="304">
        <f t="shared" ca="1" si="65"/>
        <v>3852.5805046701898</v>
      </c>
      <c r="K501" s="304">
        <f t="shared" ca="1" si="66"/>
        <v>764.47741188271914</v>
      </c>
      <c r="L501" s="278">
        <v>1</v>
      </c>
      <c r="M501" s="279">
        <f t="shared" si="63"/>
        <v>0.13735784313725496</v>
      </c>
      <c r="N501" s="304">
        <f>L501*('College Schedule'!$L$10)*(1+'Government Figures'!$B$8/12)^B501</f>
        <v>6119.1785636387394</v>
      </c>
      <c r="O501" s="304">
        <f t="shared" si="67"/>
        <v>699.02515606740326</v>
      </c>
      <c r="P501" s="304">
        <f t="shared" si="68"/>
        <v>138.70935117475761</v>
      </c>
      <c r="Q501" s="274"/>
      <c r="R501" s="281"/>
      <c r="S501" s="281"/>
      <c r="T501" s="281"/>
      <c r="U501" s="281"/>
      <c r="V501" s="281"/>
      <c r="W501" s="281"/>
      <c r="X501" s="281"/>
      <c r="Y501" s="281"/>
      <c r="Z501" s="281"/>
      <c r="AA501" s="281"/>
      <c r="AB501" s="281"/>
      <c r="AC501" s="281"/>
      <c r="AD501" s="281"/>
    </row>
    <row r="502" spans="1:30" s="288" customFormat="1" x14ac:dyDescent="0.25">
      <c r="A502" s="287"/>
      <c r="B502" s="274">
        <f t="shared" si="59"/>
        <v>487</v>
      </c>
      <c r="C502" s="304">
        <f t="shared" ca="1" si="64"/>
        <v>0</v>
      </c>
      <c r="D502" s="304">
        <f ca="1">IF(ROUND(E501,0)&lt;&gt;0, IF(ROUND(D501,0)&lt;&gt;0, 'Career Comparison'!$F$28-C502, 0), 0)</f>
        <v>0</v>
      </c>
      <c r="E502" s="304">
        <f ca="1">IF(G$7&gt;=B502, E501*(1+'Government Figures'!$D$8/12)-'Career Comparison'!$F$28, 0)</f>
        <v>0</v>
      </c>
      <c r="F502" s="312">
        <f>'College Schedule'!$L$8*(1+'Government Figures'!$B$8/12)^B502</f>
        <v>4587.2689653620255</v>
      </c>
      <c r="G502" s="278">
        <v>1</v>
      </c>
      <c r="H502" s="279">
        <f t="shared" ca="1" si="62"/>
        <v>0.17320110972991043</v>
      </c>
      <c r="I502" s="304">
        <f>G502*('College Schedule'!$L$9)*(1+'Government Figures'!$B$8/12)^B502</f>
        <v>10215.62865763023</v>
      </c>
      <c r="J502" s="304">
        <f t="shared" ca="1" si="65"/>
        <v>3859.0014721779735</v>
      </c>
      <c r="K502" s="304">
        <f t="shared" ca="1" si="66"/>
        <v>763.20751584969139</v>
      </c>
      <c r="L502" s="278">
        <v>1</v>
      </c>
      <c r="M502" s="279">
        <f t="shared" si="63"/>
        <v>0.13735784313725496</v>
      </c>
      <c r="N502" s="304">
        <f>L502*('College Schedule'!$L$10)*(1+'Government Figures'!$B$8/12)^B502</f>
        <v>6129.3771945781391</v>
      </c>
      <c r="O502" s="304">
        <f t="shared" si="67"/>
        <v>700.19019799418129</v>
      </c>
      <c r="P502" s="304">
        <f t="shared" si="68"/>
        <v>138.4789369701482</v>
      </c>
      <c r="Q502" s="274"/>
      <c r="R502" s="281"/>
      <c r="S502" s="281"/>
      <c r="T502" s="281"/>
      <c r="U502" s="281"/>
      <c r="V502" s="281"/>
      <c r="W502" s="281"/>
      <c r="X502" s="281"/>
      <c r="Y502" s="281"/>
      <c r="Z502" s="281"/>
      <c r="AA502" s="281"/>
      <c r="AB502" s="281"/>
      <c r="AC502" s="281"/>
      <c r="AD502" s="281"/>
    </row>
    <row r="503" spans="1:30" s="288" customFormat="1" x14ac:dyDescent="0.25">
      <c r="A503" s="287"/>
      <c r="B503" s="274">
        <f t="shared" si="59"/>
        <v>488</v>
      </c>
      <c r="C503" s="304">
        <f t="shared" ca="1" si="64"/>
        <v>0</v>
      </c>
      <c r="D503" s="304">
        <f ca="1">IF(ROUND(E502,0)&lt;&gt;0, IF(ROUND(D502,0)&lt;&gt;0, 'Career Comparison'!$F$28-C503, 0), 0)</f>
        <v>0</v>
      </c>
      <c r="E503" s="304">
        <f ca="1">IF(G$7&gt;=B503, E502*(1+'Government Figures'!$D$8/12)-'Career Comparison'!$F$28, 0)</f>
        <v>0</v>
      </c>
      <c r="F503" s="312">
        <f>'College Schedule'!$L$8*(1+'Government Figures'!$B$8/12)^B503</f>
        <v>4594.9144136376299</v>
      </c>
      <c r="G503" s="278">
        <v>1</v>
      </c>
      <c r="H503" s="279">
        <f t="shared" ca="1" si="62"/>
        <v>0.17320110972991043</v>
      </c>
      <c r="I503" s="304">
        <f>G503*('College Schedule'!$L$9)*(1+'Government Figures'!$B$8/12)^B503</f>
        <v>10232.65470539295</v>
      </c>
      <c r="J503" s="304">
        <f t="shared" ca="1" si="65"/>
        <v>3865.433141298271</v>
      </c>
      <c r="K503" s="304">
        <f t="shared" ca="1" si="66"/>
        <v>761.93972927851269</v>
      </c>
      <c r="L503" s="278">
        <v>1</v>
      </c>
      <c r="M503" s="279">
        <f t="shared" si="63"/>
        <v>0.13735784313725496</v>
      </c>
      <c r="N503" s="304">
        <f>L503*('College Schedule'!$L$10)*(1+'Government Figures'!$B$8/12)^B503</f>
        <v>6139.592823235771</v>
      </c>
      <c r="O503" s="304">
        <f t="shared" si="67"/>
        <v>701.35718165750586</v>
      </c>
      <c r="P503" s="304">
        <f t="shared" si="68"/>
        <v>138.24890551338734</v>
      </c>
      <c r="Q503" s="274"/>
      <c r="R503" s="281"/>
      <c r="S503" s="281"/>
      <c r="T503" s="281"/>
      <c r="U503" s="281"/>
      <c r="V503" s="281"/>
      <c r="W503" s="281"/>
      <c r="X503" s="281"/>
      <c r="Y503" s="281"/>
      <c r="Z503" s="281"/>
      <c r="AA503" s="281"/>
      <c r="AB503" s="281"/>
      <c r="AC503" s="281"/>
      <c r="AD503" s="281"/>
    </row>
    <row r="504" spans="1:30" s="288" customFormat="1" x14ac:dyDescent="0.25">
      <c r="A504" s="287"/>
      <c r="B504" s="274">
        <f t="shared" si="59"/>
        <v>489</v>
      </c>
      <c r="C504" s="304">
        <f t="shared" ca="1" si="64"/>
        <v>0</v>
      </c>
      <c r="D504" s="304">
        <f ca="1">IF(ROUND(E503,0)&lt;&gt;0, IF(ROUND(D503,0)&lt;&gt;0, 'Career Comparison'!$F$28-C504, 0), 0)</f>
        <v>0</v>
      </c>
      <c r="E504" s="304">
        <f ca="1">IF(G$7&gt;=B504, E503*(1+'Government Figures'!$D$8/12)-'Career Comparison'!$F$28, 0)</f>
        <v>0</v>
      </c>
      <c r="F504" s="312">
        <f>'College Schedule'!$L$8*(1+'Government Figures'!$B$8/12)^B504</f>
        <v>4602.5726043270251</v>
      </c>
      <c r="G504" s="278">
        <v>1</v>
      </c>
      <c r="H504" s="279">
        <f t="shared" ca="1" si="62"/>
        <v>0.17320110972991043</v>
      </c>
      <c r="I504" s="304">
        <f>G504*('College Schedule'!$L$9)*(1+'Government Figures'!$B$8/12)^B504</f>
        <v>10249.709129901936</v>
      </c>
      <c r="J504" s="304">
        <f t="shared" ca="1" si="65"/>
        <v>3871.8755298671012</v>
      </c>
      <c r="K504" s="304">
        <f t="shared" ca="1" si="66"/>
        <v>760.6740486650931</v>
      </c>
      <c r="L504" s="278">
        <v>1</v>
      </c>
      <c r="M504" s="279">
        <f t="shared" si="63"/>
        <v>0.13735784313725496</v>
      </c>
      <c r="N504" s="304">
        <f>L504*('College Schedule'!$L$10)*(1+'Government Figures'!$B$8/12)^B504</f>
        <v>6149.8254779411627</v>
      </c>
      <c r="O504" s="304">
        <f t="shared" si="67"/>
        <v>702.52611029360105</v>
      </c>
      <c r="P504" s="304">
        <f t="shared" si="68"/>
        <v>138.01925616868058</v>
      </c>
      <c r="Q504" s="274"/>
      <c r="R504" s="281"/>
      <c r="S504" s="281"/>
      <c r="T504" s="281"/>
      <c r="U504" s="281"/>
      <c r="V504" s="281"/>
      <c r="W504" s="281"/>
      <c r="X504" s="281"/>
      <c r="Y504" s="281"/>
      <c r="Z504" s="281"/>
      <c r="AA504" s="281"/>
      <c r="AB504" s="281"/>
      <c r="AC504" s="281"/>
      <c r="AD504" s="281"/>
    </row>
    <row r="505" spans="1:30" s="288" customFormat="1" x14ac:dyDescent="0.25">
      <c r="A505" s="287"/>
      <c r="B505" s="274">
        <f t="shared" si="59"/>
        <v>490</v>
      </c>
      <c r="C505" s="304">
        <f t="shared" ca="1" si="64"/>
        <v>0</v>
      </c>
      <c r="D505" s="304">
        <f ca="1">IF(ROUND(E504,0)&lt;&gt;0, IF(ROUND(D504,0)&lt;&gt;0, 'Career Comparison'!$F$28-C505, 0), 0)</f>
        <v>0</v>
      </c>
      <c r="E505" s="304">
        <f ca="1">IF(G$7&gt;=B505, E504*(1+'Government Figures'!$D$8/12)-'Career Comparison'!$F$28, 0)</f>
        <v>0</v>
      </c>
      <c r="F505" s="312">
        <f>'College Schedule'!$L$8*(1+'Government Figures'!$B$8/12)^B505</f>
        <v>4610.2435586675692</v>
      </c>
      <c r="G505" s="278">
        <v>1</v>
      </c>
      <c r="H505" s="279">
        <f t="shared" ca="1" si="62"/>
        <v>0.17320110972991043</v>
      </c>
      <c r="I505" s="304">
        <f>G505*('College Schedule'!$L$9)*(1+'Government Figures'!$B$8/12)^B505</f>
        <v>10266.791978451771</v>
      </c>
      <c r="J505" s="304">
        <f t="shared" ca="1" si="65"/>
        <v>3878.3286557502124</v>
      </c>
      <c r="K505" s="304">
        <f t="shared" ca="1" si="66"/>
        <v>759.41047051116414</v>
      </c>
      <c r="L505" s="278">
        <v>1</v>
      </c>
      <c r="M505" s="279">
        <f t="shared" si="63"/>
        <v>0.13735784313725496</v>
      </c>
      <c r="N505" s="304">
        <f>L505*('College Schedule'!$L$10)*(1+'Government Figures'!$B$8/12)^B505</f>
        <v>6160.0751870710637</v>
      </c>
      <c r="O505" s="304">
        <f t="shared" si="67"/>
        <v>703.6969871440906</v>
      </c>
      <c r="P505" s="304">
        <f t="shared" si="68"/>
        <v>137.78998830129075</v>
      </c>
      <c r="Q505" s="274"/>
      <c r="R505" s="281"/>
      <c r="S505" s="281"/>
      <c r="T505" s="281"/>
      <c r="U505" s="281"/>
      <c r="V505" s="281"/>
      <c r="W505" s="281"/>
      <c r="X505" s="281"/>
      <c r="Y505" s="281"/>
      <c r="Z505" s="281"/>
      <c r="AA505" s="281"/>
      <c r="AB505" s="281"/>
      <c r="AC505" s="281"/>
      <c r="AD505" s="281"/>
    </row>
    <row r="506" spans="1:30" s="288" customFormat="1" x14ac:dyDescent="0.25">
      <c r="A506" s="287"/>
      <c r="B506" s="274">
        <f t="shared" si="59"/>
        <v>491</v>
      </c>
      <c r="C506" s="304">
        <f t="shared" ca="1" si="64"/>
        <v>0</v>
      </c>
      <c r="D506" s="304">
        <f ca="1">IF(ROUND(E505,0)&lt;&gt;0, IF(ROUND(D505,0)&lt;&gt;0, 'Career Comparison'!$F$28-C506, 0), 0)</f>
        <v>0</v>
      </c>
      <c r="E506" s="304">
        <f ca="1">IF(G$7&gt;=B506, E505*(1+'Government Figures'!$D$8/12)-'Career Comparison'!$F$28, 0)</f>
        <v>0</v>
      </c>
      <c r="F506" s="312">
        <f>'College Schedule'!$L$8*(1+'Government Figures'!$B$8/12)^B506</f>
        <v>4617.9272979320167</v>
      </c>
      <c r="G506" s="278">
        <v>1</v>
      </c>
      <c r="H506" s="279">
        <f t="shared" ca="1" si="62"/>
        <v>0.17320110972991043</v>
      </c>
      <c r="I506" s="304">
        <f>G506*('College Schedule'!$L$9)*(1+'Government Figures'!$B$8/12)^B506</f>
        <v>10283.90329841586</v>
      </c>
      <c r="J506" s="304">
        <f t="shared" ca="1" si="65"/>
        <v>3884.7925368431306</v>
      </c>
      <c r="K506" s="304">
        <f t="shared" ca="1" si="66"/>
        <v>758.14899132426876</v>
      </c>
      <c r="L506" s="278">
        <v>1</v>
      </c>
      <c r="M506" s="279">
        <f t="shared" si="63"/>
        <v>0.13735784313725496</v>
      </c>
      <c r="N506" s="304">
        <f>L506*('College Schedule'!$L$10)*(1+'Government Figures'!$B$8/12)^B506</f>
        <v>6170.3419790495172</v>
      </c>
      <c r="O506" s="304">
        <f t="shared" si="67"/>
        <v>704.86981545599792</v>
      </c>
      <c r="P506" s="304">
        <f t="shared" si="68"/>
        <v>137.56110127753456</v>
      </c>
      <c r="Q506" s="274"/>
      <c r="R506" s="281"/>
      <c r="S506" s="281"/>
      <c r="T506" s="281"/>
      <c r="U506" s="281"/>
      <c r="V506" s="281"/>
      <c r="W506" s="281"/>
      <c r="X506" s="281"/>
      <c r="Y506" s="281"/>
      <c r="Z506" s="281"/>
      <c r="AA506" s="281"/>
      <c r="AB506" s="281"/>
      <c r="AC506" s="281"/>
      <c r="AD506" s="281"/>
    </row>
    <row r="507" spans="1:30" s="288" customFormat="1" x14ac:dyDescent="0.25">
      <c r="A507" s="287"/>
      <c r="B507" s="274">
        <f t="shared" si="59"/>
        <v>492</v>
      </c>
      <c r="C507" s="304">
        <f t="shared" ca="1" si="64"/>
        <v>0</v>
      </c>
      <c r="D507" s="304">
        <f ca="1">IF(ROUND(E506,0)&lt;&gt;0, IF(ROUND(D506,0)&lt;&gt;0, 'Career Comparison'!$F$28-C507, 0), 0)</f>
        <v>0</v>
      </c>
      <c r="E507" s="304">
        <f ca="1">IF(G$7&gt;=B507, E506*(1+'Government Figures'!$D$8/12)-'Career Comparison'!$F$28, 0)</f>
        <v>0</v>
      </c>
      <c r="F507" s="312">
        <f>'College Schedule'!$L$8*(1+'Government Figures'!$B$8/12)^B507</f>
        <v>4625.6238434285697</v>
      </c>
      <c r="G507" s="278">
        <v>1</v>
      </c>
      <c r="H507" s="279">
        <f t="shared" ca="1" si="62"/>
        <v>0.17320110972991043</v>
      </c>
      <c r="I507" s="304">
        <f>G507*('College Schedule'!$L$9)*(1+'Government Figures'!$B$8/12)^B507</f>
        <v>10301.043137246554</v>
      </c>
      <c r="J507" s="304">
        <f t="shared" ca="1" si="65"/>
        <v>3891.2671910712033</v>
      </c>
      <c r="K507" s="304">
        <f t="shared" ca="1" si="66"/>
        <v>756.88960761775013</v>
      </c>
      <c r="L507" s="278">
        <v>1</v>
      </c>
      <c r="M507" s="279">
        <f t="shared" si="63"/>
        <v>0.13735784313725496</v>
      </c>
      <c r="N507" s="304">
        <f>L507*('College Schedule'!$L$10)*(1+'Government Figures'!$B$8/12)^B507</f>
        <v>6180.6258823479329</v>
      </c>
      <c r="O507" s="304">
        <f t="shared" si="67"/>
        <v>706.04459848175793</v>
      </c>
      <c r="P507" s="304">
        <f t="shared" si="68"/>
        <v>137.33259446478115</v>
      </c>
      <c r="Q507" s="274"/>
      <c r="R507" s="281"/>
      <c r="S507" s="281"/>
      <c r="T507" s="281"/>
      <c r="U507" s="281"/>
      <c r="V507" s="281"/>
      <c r="W507" s="281"/>
      <c r="X507" s="281"/>
      <c r="Y507" s="281"/>
      <c r="Z507" s="281"/>
      <c r="AA507" s="281"/>
      <c r="AB507" s="281"/>
      <c r="AC507" s="281"/>
      <c r="AD507" s="281"/>
    </row>
    <row r="508" spans="1:30" s="288" customFormat="1" x14ac:dyDescent="0.25">
      <c r="A508" s="287"/>
      <c r="B508" s="274">
        <f t="shared" si="59"/>
        <v>493</v>
      </c>
      <c r="C508" s="304">
        <f t="shared" ca="1" si="64"/>
        <v>0</v>
      </c>
      <c r="D508" s="304">
        <f ca="1">IF(ROUND(E507,0)&lt;&gt;0, IF(ROUND(D507,0)&lt;&gt;0, 'Career Comparison'!$F$28-C508, 0), 0)</f>
        <v>0</v>
      </c>
      <c r="E508" s="304">
        <f ca="1">IF(G$7&gt;=B508, E507*(1+'Government Figures'!$D$8/12)-'Career Comparison'!$F$28, 0)</f>
        <v>0</v>
      </c>
      <c r="F508" s="312">
        <f>'College Schedule'!$L$8*(1+'Government Figures'!$B$8/12)^B508</f>
        <v>4633.3332165009524</v>
      </c>
      <c r="G508" s="278">
        <v>1</v>
      </c>
      <c r="H508" s="279">
        <f t="shared" ca="1" si="62"/>
        <v>0.17320110972991043</v>
      </c>
      <c r="I508" s="304">
        <f>G508*('College Schedule'!$L$9)*(1+'Government Figures'!$B$8/12)^B508</f>
        <v>10318.211542475301</v>
      </c>
      <c r="J508" s="304">
        <f t="shared" ca="1" si="65"/>
        <v>3897.7526363896559</v>
      </c>
      <c r="K508" s="304">
        <f t="shared" ca="1" si="66"/>
        <v>755.63231591074396</v>
      </c>
      <c r="L508" s="278">
        <v>1</v>
      </c>
      <c r="M508" s="279">
        <f t="shared" si="63"/>
        <v>0.13735784313725496</v>
      </c>
      <c r="N508" s="304">
        <f>L508*('College Schedule'!$L$10)*(1+'Government Figures'!$B$8/12)^B508</f>
        <v>6190.9269254851815</v>
      </c>
      <c r="O508" s="304">
        <f t="shared" si="67"/>
        <v>707.22133947922703</v>
      </c>
      <c r="P508" s="304">
        <f t="shared" si="68"/>
        <v>137.10446723145085</v>
      </c>
      <c r="Q508" s="274"/>
      <c r="R508" s="281"/>
      <c r="S508" s="281"/>
      <c r="T508" s="281"/>
      <c r="U508" s="281"/>
      <c r="V508" s="281"/>
      <c r="W508" s="281"/>
      <c r="X508" s="281"/>
      <c r="Y508" s="281"/>
      <c r="Z508" s="281"/>
      <c r="AA508" s="281"/>
      <c r="AB508" s="281"/>
      <c r="AC508" s="281"/>
      <c r="AD508" s="281"/>
    </row>
    <row r="509" spans="1:30" s="288" customFormat="1" x14ac:dyDescent="0.25">
      <c r="A509" s="287"/>
      <c r="B509" s="274">
        <f t="shared" si="59"/>
        <v>494</v>
      </c>
      <c r="C509" s="304">
        <f t="shared" ca="1" si="64"/>
        <v>0</v>
      </c>
      <c r="D509" s="304">
        <f ca="1">IF(ROUND(E508,0)&lt;&gt;0, IF(ROUND(D508,0)&lt;&gt;0, 'Career Comparison'!$F$28-C509, 0), 0)</f>
        <v>0</v>
      </c>
      <c r="E509" s="304">
        <f ca="1">IF(G$7&gt;=B509, E508*(1+'Government Figures'!$D$8/12)-'Career Comparison'!$F$28, 0)</f>
        <v>0</v>
      </c>
      <c r="F509" s="312">
        <f>'College Schedule'!$L$8*(1+'Government Figures'!$B$8/12)^B509</f>
        <v>4641.055438528454</v>
      </c>
      <c r="G509" s="278">
        <v>1</v>
      </c>
      <c r="H509" s="279">
        <f t="shared" ca="1" si="62"/>
        <v>0.17320110972991043</v>
      </c>
      <c r="I509" s="304">
        <f>G509*('College Schedule'!$L$9)*(1+'Government Figures'!$B$8/12)^B509</f>
        <v>10335.408561712758</v>
      </c>
      <c r="J509" s="304">
        <f t="shared" ca="1" si="65"/>
        <v>3904.2488907836378</v>
      </c>
      <c r="K509" s="304">
        <f t="shared" ca="1" si="66"/>
        <v>754.3771127281675</v>
      </c>
      <c r="L509" s="278">
        <v>1</v>
      </c>
      <c r="M509" s="279">
        <f t="shared" si="63"/>
        <v>0.13735784313725496</v>
      </c>
      <c r="N509" s="304">
        <f>L509*('College Schedule'!$L$10)*(1+'Government Figures'!$B$8/12)^B509</f>
        <v>6201.2451370276567</v>
      </c>
      <c r="O509" s="304">
        <f t="shared" si="67"/>
        <v>708.40004171169221</v>
      </c>
      <c r="P509" s="304">
        <f t="shared" si="68"/>
        <v>136.87671894701313</v>
      </c>
      <c r="Q509" s="274"/>
      <c r="R509" s="281"/>
      <c r="S509" s="281"/>
      <c r="T509" s="281"/>
      <c r="U509" s="281"/>
      <c r="V509" s="281"/>
      <c r="W509" s="281"/>
      <c r="X509" s="281"/>
      <c r="Y509" s="281"/>
      <c r="Z509" s="281"/>
      <c r="AA509" s="281"/>
      <c r="AB509" s="281"/>
      <c r="AC509" s="281"/>
      <c r="AD509" s="281"/>
    </row>
    <row r="510" spans="1:30" s="288" customFormat="1" x14ac:dyDescent="0.25">
      <c r="A510" s="287"/>
      <c r="B510" s="274">
        <f t="shared" si="59"/>
        <v>495</v>
      </c>
      <c r="C510" s="304">
        <f t="shared" ca="1" si="64"/>
        <v>0</v>
      </c>
      <c r="D510" s="304">
        <f ca="1">IF(ROUND(E509,0)&lt;&gt;0, IF(ROUND(D509,0)&lt;&gt;0, 'Career Comparison'!$F$28-C510, 0), 0)</f>
        <v>0</v>
      </c>
      <c r="E510" s="304">
        <f ca="1">IF(G$7&gt;=B510, E509*(1+'Government Figures'!$D$8/12)-'Career Comparison'!$F$28, 0)</f>
        <v>0</v>
      </c>
      <c r="F510" s="312">
        <f>'College Schedule'!$L$8*(1+'Government Figures'!$B$8/12)^B510</f>
        <v>4648.7905309260013</v>
      </c>
      <c r="G510" s="278">
        <v>1</v>
      </c>
      <c r="H510" s="279">
        <f t="shared" ca="1" si="62"/>
        <v>0.17320110972991043</v>
      </c>
      <c r="I510" s="304">
        <f>G510*('College Schedule'!$L$9)*(1+'Government Figures'!$B$8/12)^B510</f>
        <v>10352.634242648948</v>
      </c>
      <c r="J510" s="304">
        <f t="shared" ca="1" si="65"/>
        <v>3910.755972268279</v>
      </c>
      <c r="K510" s="304">
        <f t="shared" ca="1" si="66"/>
        <v>753.12399460071242</v>
      </c>
      <c r="L510" s="278">
        <v>1</v>
      </c>
      <c r="M510" s="279">
        <f t="shared" si="63"/>
        <v>0.13735784313725496</v>
      </c>
      <c r="N510" s="304">
        <f>L510*('College Schedule'!$L$10)*(1+'Government Figures'!$B$8/12)^B510</f>
        <v>6211.5805455893696</v>
      </c>
      <c r="O510" s="304">
        <f t="shared" si="67"/>
        <v>709.58070844787926</v>
      </c>
      <c r="P510" s="304">
        <f t="shared" si="68"/>
        <v>136.64934898198507</v>
      </c>
      <c r="Q510" s="274"/>
      <c r="R510" s="281"/>
      <c r="S510" s="281"/>
      <c r="T510" s="281"/>
      <c r="U510" s="281"/>
      <c r="V510" s="281"/>
      <c r="W510" s="281"/>
      <c r="X510" s="281"/>
      <c r="Y510" s="281"/>
      <c r="Z510" s="281"/>
      <c r="AA510" s="281"/>
      <c r="AB510" s="281"/>
      <c r="AC510" s="281"/>
      <c r="AD510" s="281"/>
    </row>
    <row r="511" spans="1:30" s="288" customFormat="1" x14ac:dyDescent="0.25">
      <c r="A511" s="287"/>
      <c r="B511" s="274">
        <f t="shared" si="59"/>
        <v>496</v>
      </c>
      <c r="C511" s="304">
        <f t="shared" ca="1" si="64"/>
        <v>0</v>
      </c>
      <c r="D511" s="304">
        <f ca="1">IF(ROUND(E510,0)&lt;&gt;0, IF(ROUND(D510,0)&lt;&gt;0, 'Career Comparison'!$F$28-C511, 0), 0)</f>
        <v>0</v>
      </c>
      <c r="E511" s="304">
        <f ca="1">IF(G$7&gt;=B511, E510*(1+'Government Figures'!$D$8/12)-'Career Comparison'!$F$28, 0)</f>
        <v>0</v>
      </c>
      <c r="F511" s="312">
        <f>'College Schedule'!$L$8*(1+'Government Figures'!$B$8/12)^B511</f>
        <v>4656.5385151442115</v>
      </c>
      <c r="G511" s="278">
        <v>1</v>
      </c>
      <c r="H511" s="279">
        <f t="shared" ca="1" si="62"/>
        <v>0.17320110972991043</v>
      </c>
      <c r="I511" s="304">
        <f>G511*('College Schedule'!$L$9)*(1+'Government Figures'!$B$8/12)^B511</f>
        <v>10369.888633053364</v>
      </c>
      <c r="J511" s="304">
        <f t="shared" ca="1" si="65"/>
        <v>3917.2738988887268</v>
      </c>
      <c r="K511" s="304">
        <f t="shared" ca="1" si="66"/>
        <v>751.8729580648311</v>
      </c>
      <c r="L511" s="278">
        <v>1</v>
      </c>
      <c r="M511" s="279">
        <f t="shared" si="63"/>
        <v>0.13735784313725496</v>
      </c>
      <c r="N511" s="304">
        <f>L511*('College Schedule'!$L$10)*(1+'Government Figures'!$B$8/12)^B511</f>
        <v>6221.9331798320191</v>
      </c>
      <c r="O511" s="304">
        <f t="shared" si="67"/>
        <v>710.7633429619591</v>
      </c>
      <c r="P511" s="304">
        <f t="shared" si="68"/>
        <v>136.42235670792863</v>
      </c>
      <c r="Q511" s="274"/>
      <c r="R511" s="281"/>
      <c r="S511" s="281"/>
      <c r="T511" s="281"/>
      <c r="U511" s="281"/>
      <c r="V511" s="281"/>
      <c r="W511" s="281"/>
      <c r="X511" s="281"/>
      <c r="Y511" s="281"/>
      <c r="Z511" s="281"/>
      <c r="AA511" s="281"/>
      <c r="AB511" s="281"/>
      <c r="AC511" s="281"/>
      <c r="AD511" s="281"/>
    </row>
    <row r="512" spans="1:30" s="288" customFormat="1" x14ac:dyDescent="0.25">
      <c r="A512" s="287"/>
      <c r="B512" s="274">
        <f t="shared" si="59"/>
        <v>497</v>
      </c>
      <c r="C512" s="304">
        <f t="shared" ca="1" si="64"/>
        <v>0</v>
      </c>
      <c r="D512" s="304">
        <f ca="1">IF(ROUND(E511,0)&lt;&gt;0, IF(ROUND(D511,0)&lt;&gt;0, 'Career Comparison'!$F$28-C512, 0), 0)</f>
        <v>0</v>
      </c>
      <c r="E512" s="304">
        <f ca="1">IF(G$7&gt;=B512, E511*(1+'Government Figures'!$D$8/12)-'Career Comparison'!$F$28, 0)</f>
        <v>0</v>
      </c>
      <c r="F512" s="312">
        <f>'College Schedule'!$L$8*(1+'Government Figures'!$B$8/12)^B512</f>
        <v>4664.299412669453</v>
      </c>
      <c r="G512" s="278">
        <v>1</v>
      </c>
      <c r="H512" s="279">
        <f t="shared" ca="1" si="62"/>
        <v>0.17320110972991043</v>
      </c>
      <c r="I512" s="304">
        <f>G512*('College Schedule'!$L$9)*(1+'Government Figures'!$B$8/12)^B512</f>
        <v>10387.171780775121</v>
      </c>
      <c r="J512" s="304">
        <f t="shared" ca="1" si="65"/>
        <v>3923.8026887202077</v>
      </c>
      <c r="K512" s="304">
        <f t="shared" ca="1" si="66"/>
        <v>750.62399966272983</v>
      </c>
      <c r="L512" s="278">
        <v>1</v>
      </c>
      <c r="M512" s="279">
        <f t="shared" si="63"/>
        <v>0.13735784313725496</v>
      </c>
      <c r="N512" s="304">
        <f>L512*('College Schedule'!$L$10)*(1+'Government Figures'!$B$8/12)^B512</f>
        <v>6232.3030684650739</v>
      </c>
      <c r="O512" s="304">
        <f t="shared" si="67"/>
        <v>711.94794853356234</v>
      </c>
      <c r="P512" s="304">
        <f t="shared" si="68"/>
        <v>136.19574149745031</v>
      </c>
      <c r="Q512" s="274"/>
      <c r="R512" s="281"/>
      <c r="S512" s="281"/>
      <c r="T512" s="281"/>
      <c r="U512" s="281"/>
      <c r="V512" s="281"/>
      <c r="W512" s="281"/>
      <c r="X512" s="281"/>
      <c r="Y512" s="281"/>
      <c r="Z512" s="281"/>
      <c r="AA512" s="281"/>
      <c r="AB512" s="281"/>
      <c r="AC512" s="281"/>
      <c r="AD512" s="281"/>
    </row>
    <row r="513" spans="1:30" s="288" customFormat="1" x14ac:dyDescent="0.25">
      <c r="A513" s="287"/>
      <c r="B513" s="274">
        <f t="shared" si="59"/>
        <v>498</v>
      </c>
      <c r="C513" s="304">
        <f t="shared" ca="1" si="64"/>
        <v>0</v>
      </c>
      <c r="D513" s="304">
        <f ca="1">IF(ROUND(E512,0)&lt;&gt;0, IF(ROUND(D512,0)&lt;&gt;0, 'Career Comparison'!$F$28-C513, 0), 0)</f>
        <v>0</v>
      </c>
      <c r="E513" s="304">
        <f ca="1">IF(G$7&gt;=B513, E512*(1+'Government Figures'!$D$8/12)-'Career Comparison'!$F$28, 0)</f>
        <v>0</v>
      </c>
      <c r="F513" s="312">
        <f>'College Schedule'!$L$8*(1+'Government Figures'!$B$8/12)^B513</f>
        <v>4672.073245023902</v>
      </c>
      <c r="G513" s="278">
        <v>1</v>
      </c>
      <c r="H513" s="279">
        <f t="shared" ca="1" si="62"/>
        <v>0.17320110972991043</v>
      </c>
      <c r="I513" s="304">
        <f>G513*('College Schedule'!$L$9)*(1+'Government Figures'!$B$8/12)^B513</f>
        <v>10404.483733743078</v>
      </c>
      <c r="J513" s="304">
        <f t="shared" ca="1" si="65"/>
        <v>3930.3423598680738</v>
      </c>
      <c r="K513" s="304">
        <f t="shared" ca="1" si="66"/>
        <v>749.37711594235964</v>
      </c>
      <c r="L513" s="278">
        <v>1</v>
      </c>
      <c r="M513" s="279">
        <f t="shared" si="63"/>
        <v>0.13735784313725496</v>
      </c>
      <c r="N513" s="304">
        <f>L513*('College Schedule'!$L$10)*(1+'Government Figures'!$B$8/12)^B513</f>
        <v>6242.6902402458481</v>
      </c>
      <c r="O513" s="304">
        <f t="shared" si="67"/>
        <v>713.13452844778476</v>
      </c>
      <c r="P513" s="304">
        <f t="shared" si="68"/>
        <v>135.96950272419869</v>
      </c>
      <c r="Q513" s="274"/>
      <c r="R513" s="281"/>
      <c r="S513" s="281"/>
      <c r="T513" s="281"/>
      <c r="U513" s="281"/>
      <c r="V513" s="281"/>
      <c r="W513" s="281"/>
      <c r="X513" s="281"/>
      <c r="Y513" s="281"/>
      <c r="Z513" s="281"/>
      <c r="AA513" s="281"/>
      <c r="AB513" s="281"/>
      <c r="AC513" s="281"/>
      <c r="AD513" s="281"/>
    </row>
    <row r="514" spans="1:30" s="288" customFormat="1" x14ac:dyDescent="0.25">
      <c r="A514" s="287"/>
      <c r="B514" s="274">
        <f t="shared" si="59"/>
        <v>499</v>
      </c>
      <c r="C514" s="304">
        <f t="shared" ca="1" si="64"/>
        <v>0</v>
      </c>
      <c r="D514" s="304">
        <f ca="1">IF(ROUND(E513,0)&lt;&gt;0, IF(ROUND(D513,0)&lt;&gt;0, 'Career Comparison'!$F$28-C514, 0), 0)</f>
        <v>0</v>
      </c>
      <c r="E514" s="304">
        <f ca="1">IF(G$7&gt;=B514, E513*(1+'Government Figures'!$D$8/12)-'Career Comparison'!$F$28, 0)</f>
        <v>0</v>
      </c>
      <c r="F514" s="312">
        <f>'College Schedule'!$L$8*(1+'Government Figures'!$B$8/12)^B514</f>
        <v>4679.8600337656089</v>
      </c>
      <c r="G514" s="278">
        <v>1</v>
      </c>
      <c r="H514" s="279">
        <f t="shared" ca="1" si="62"/>
        <v>0.17320110972991043</v>
      </c>
      <c r="I514" s="304">
        <f>G514*('College Schedule'!$L$9)*(1+'Government Figures'!$B$8/12)^B514</f>
        <v>10421.824539965986</v>
      </c>
      <c r="J514" s="304">
        <f t="shared" ca="1" si="65"/>
        <v>3936.8929304678559</v>
      </c>
      <c r="K514" s="304">
        <f t="shared" ca="1" si="66"/>
        <v>748.13230345740567</v>
      </c>
      <c r="L514" s="278">
        <v>1</v>
      </c>
      <c r="M514" s="279">
        <f t="shared" si="63"/>
        <v>0.13735784313725496</v>
      </c>
      <c r="N514" s="304">
        <f>L514*('College Schedule'!$L$10)*(1+'Government Figures'!$B$8/12)^B514</f>
        <v>6253.0947239795923</v>
      </c>
      <c r="O514" s="304">
        <f t="shared" si="67"/>
        <v>714.3230859951982</v>
      </c>
      <c r="P514" s="304">
        <f t="shared" si="68"/>
        <v>135.74363976286284</v>
      </c>
      <c r="Q514" s="274"/>
      <c r="R514" s="281"/>
      <c r="S514" s="281"/>
      <c r="T514" s="281"/>
      <c r="U514" s="281"/>
      <c r="V514" s="281"/>
      <c r="W514" s="281"/>
      <c r="X514" s="281"/>
      <c r="Y514" s="281"/>
      <c r="Z514" s="281"/>
      <c r="AA514" s="281"/>
      <c r="AB514" s="281"/>
      <c r="AC514" s="281"/>
      <c r="AD514" s="281"/>
    </row>
    <row r="515" spans="1:30" s="288" customFormat="1" x14ac:dyDescent="0.25">
      <c r="A515" s="287"/>
      <c r="B515" s="274">
        <f t="shared" si="59"/>
        <v>500</v>
      </c>
      <c r="C515" s="304">
        <f t="shared" ca="1" si="64"/>
        <v>0</v>
      </c>
      <c r="D515" s="304">
        <f ca="1">IF(ROUND(E514,0)&lt;&gt;0, IF(ROUND(D514,0)&lt;&gt;0, 'Career Comparison'!$F$28-C515, 0), 0)</f>
        <v>0</v>
      </c>
      <c r="E515" s="304">
        <f ca="1">IF(G$7&gt;=B515, E514*(1+'Government Figures'!$D$8/12)-'Career Comparison'!$F$28, 0)</f>
        <v>0</v>
      </c>
      <c r="F515" s="312">
        <f>'College Schedule'!$L$8*(1+'Government Figures'!$B$8/12)^B515</f>
        <v>4687.6598004885518</v>
      </c>
      <c r="G515" s="278">
        <v>1</v>
      </c>
      <c r="H515" s="279">
        <f t="shared" ca="1" si="62"/>
        <v>0.17320110972991043</v>
      </c>
      <c r="I515" s="304">
        <f>G515*('College Schedule'!$L$9)*(1+'Government Figures'!$B$8/12)^B515</f>
        <v>10439.194247532596</v>
      </c>
      <c r="J515" s="304">
        <f t="shared" ca="1" si="65"/>
        <v>3943.4544186853009</v>
      </c>
      <c r="K515" s="304">
        <f t="shared" ca="1" si="66"/>
        <v>746.88955876727687</v>
      </c>
      <c r="L515" s="278">
        <v>1</v>
      </c>
      <c r="M515" s="279">
        <f t="shared" si="63"/>
        <v>0.13735784313725496</v>
      </c>
      <c r="N515" s="304">
        <f>L515*('College Schedule'!$L$10)*(1+'Government Figures'!$B$8/12)^B515</f>
        <v>6263.5165485195585</v>
      </c>
      <c r="O515" s="304">
        <f t="shared" si="67"/>
        <v>715.51362447185693</v>
      </c>
      <c r="P515" s="304">
        <f t="shared" si="68"/>
        <v>135.51815198917041</v>
      </c>
      <c r="Q515" s="274"/>
      <c r="R515" s="281"/>
      <c r="S515" s="281"/>
      <c r="T515" s="281"/>
      <c r="U515" s="281"/>
      <c r="V515" s="281"/>
      <c r="W515" s="281"/>
      <c r="X515" s="281"/>
      <c r="Y515" s="281"/>
      <c r="Z515" s="281"/>
      <c r="AA515" s="281"/>
      <c r="AB515" s="281"/>
      <c r="AC515" s="281"/>
      <c r="AD515" s="281"/>
    </row>
    <row r="516" spans="1:30" s="288" customFormat="1" x14ac:dyDescent="0.25">
      <c r="A516" s="287"/>
      <c r="B516" s="274">
        <f t="shared" si="59"/>
        <v>501</v>
      </c>
      <c r="C516" s="304">
        <f t="shared" ca="1" si="64"/>
        <v>0</v>
      </c>
      <c r="D516" s="304">
        <f ca="1">IF(ROUND(E515,0)&lt;&gt;0, IF(ROUND(D515,0)&lt;&gt;0, 'Career Comparison'!$F$28-C516, 0), 0)</f>
        <v>0</v>
      </c>
      <c r="E516" s="304">
        <f ca="1">IF(G$7&gt;=B516, E515*(1+'Government Figures'!$D$8/12)-'Career Comparison'!$F$28, 0)</f>
        <v>0</v>
      </c>
      <c r="F516" s="312">
        <f>'College Schedule'!$L$8*(1+'Government Figures'!$B$8/12)^B516</f>
        <v>4695.4725668227002</v>
      </c>
      <c r="G516" s="278">
        <v>1</v>
      </c>
      <c r="H516" s="279">
        <f t="shared" ca="1" si="62"/>
        <v>0.17320110972991043</v>
      </c>
      <c r="I516" s="304">
        <f>G516*('College Schedule'!$L$9)*(1+'Government Figures'!$B$8/12)^B516</f>
        <v>10456.59290461182</v>
      </c>
      <c r="J516" s="304">
        <f t="shared" ca="1" si="65"/>
        <v>3950.0268427164447</v>
      </c>
      <c r="K516" s="304">
        <f t="shared" ca="1" si="66"/>
        <v>745.64887843709903</v>
      </c>
      <c r="L516" s="278">
        <v>1</v>
      </c>
      <c r="M516" s="279">
        <f t="shared" si="63"/>
        <v>0.13735784313725496</v>
      </c>
      <c r="N516" s="304">
        <f>L516*('College Schedule'!$L$10)*(1+'Government Figures'!$B$8/12)^B516</f>
        <v>6273.9557427670925</v>
      </c>
      <c r="O516" s="304">
        <f t="shared" si="67"/>
        <v>716.70614717931039</v>
      </c>
      <c r="P516" s="304">
        <f t="shared" si="68"/>
        <v>135.29303877988616</v>
      </c>
      <c r="Q516" s="274"/>
      <c r="R516" s="281"/>
      <c r="S516" s="281"/>
      <c r="T516" s="281"/>
      <c r="U516" s="281"/>
      <c r="V516" s="281"/>
      <c r="W516" s="281"/>
      <c r="X516" s="281"/>
      <c r="Y516" s="281"/>
      <c r="Z516" s="281"/>
      <c r="AA516" s="281"/>
      <c r="AB516" s="281"/>
      <c r="AC516" s="281"/>
      <c r="AD516" s="281"/>
    </row>
    <row r="517" spans="1:30" s="288" customFormat="1" x14ac:dyDescent="0.25">
      <c r="A517" s="287"/>
      <c r="B517" s="274">
        <f t="shared" si="59"/>
        <v>502</v>
      </c>
      <c r="C517" s="304">
        <f t="shared" ca="1" si="64"/>
        <v>0</v>
      </c>
      <c r="D517" s="304">
        <f ca="1">IF(ROUND(E516,0)&lt;&gt;0, IF(ROUND(D516,0)&lt;&gt;0, 'Career Comparison'!$F$28-C517, 0), 0)</f>
        <v>0</v>
      </c>
      <c r="E517" s="304">
        <f ca="1">IF(G$7&gt;=B517, E516*(1+'Government Figures'!$D$8/12)-'Career Comparison'!$F$28, 0)</f>
        <v>0</v>
      </c>
      <c r="F517" s="312">
        <f>'College Schedule'!$L$8*(1+'Government Figures'!$B$8/12)^B517</f>
        <v>4703.2983544340705</v>
      </c>
      <c r="G517" s="278">
        <v>1</v>
      </c>
      <c r="H517" s="279">
        <f t="shared" ca="1" si="62"/>
        <v>0.17320110972991043</v>
      </c>
      <c r="I517" s="304">
        <f>G517*('College Schedule'!$L$9)*(1+'Government Figures'!$B$8/12)^B517</f>
        <v>10474.020559452836</v>
      </c>
      <c r="J517" s="304">
        <f t="shared" ca="1" si="65"/>
        <v>3956.6102207876365</v>
      </c>
      <c r="K517" s="304">
        <f t="shared" ca="1" si="66"/>
        <v>744.41025903770117</v>
      </c>
      <c r="L517" s="278">
        <v>1</v>
      </c>
      <c r="M517" s="279">
        <f t="shared" si="63"/>
        <v>0.13735784313725496</v>
      </c>
      <c r="N517" s="304">
        <f>L517*('College Schedule'!$L$10)*(1+'Government Figures'!$B$8/12)^B517</f>
        <v>6284.4123356717027</v>
      </c>
      <c r="O517" s="304">
        <f t="shared" si="67"/>
        <v>717.90065742460865</v>
      </c>
      <c r="P517" s="304">
        <f t="shared" si="68"/>
        <v>135.06829951280977</v>
      </c>
      <c r="Q517" s="274"/>
      <c r="R517" s="281"/>
      <c r="S517" s="281"/>
      <c r="T517" s="281"/>
      <c r="U517" s="281"/>
      <c r="V517" s="281"/>
      <c r="W517" s="281"/>
      <c r="X517" s="281"/>
      <c r="Y517" s="281"/>
      <c r="Z517" s="281"/>
      <c r="AA517" s="281"/>
      <c r="AB517" s="281"/>
      <c r="AC517" s="281"/>
      <c r="AD517" s="281"/>
    </row>
    <row r="518" spans="1:30" s="288" customFormat="1" x14ac:dyDescent="0.25">
      <c r="A518" s="287"/>
      <c r="B518" s="274">
        <f t="shared" si="59"/>
        <v>503</v>
      </c>
      <c r="C518" s="304">
        <f t="shared" ca="1" si="64"/>
        <v>0</v>
      </c>
      <c r="D518" s="304">
        <f ca="1">IF(ROUND(E517,0)&lt;&gt;0, IF(ROUND(D517,0)&lt;&gt;0, 'Career Comparison'!$F$28-C518, 0), 0)</f>
        <v>0</v>
      </c>
      <c r="E518" s="304">
        <f ca="1">IF(G$7&gt;=B518, E517*(1+'Government Figures'!$D$8/12)-'Career Comparison'!$F$28, 0)</f>
        <v>0</v>
      </c>
      <c r="F518" s="312">
        <f>'College Schedule'!$L$8*(1+'Government Figures'!$B$8/12)^B518</f>
        <v>4711.1371850247942</v>
      </c>
      <c r="G518" s="278">
        <v>1</v>
      </c>
      <c r="H518" s="279">
        <f t="shared" ca="1" si="62"/>
        <v>0.17320110972991043</v>
      </c>
      <c r="I518" s="304">
        <f>G518*('College Schedule'!$L$9)*(1+'Government Figures'!$B$8/12)^B518</f>
        <v>10491.477260385258</v>
      </c>
      <c r="J518" s="304">
        <f t="shared" ca="1" si="65"/>
        <v>3963.2045711556166</v>
      </c>
      <c r="K518" s="304">
        <f t="shared" ca="1" si="66"/>
        <v>743.1736971456121</v>
      </c>
      <c r="L518" s="278">
        <v>1</v>
      </c>
      <c r="M518" s="279">
        <f t="shared" si="63"/>
        <v>0.13735784313725496</v>
      </c>
      <c r="N518" s="304">
        <f>L518*('College Schedule'!$L$10)*(1+'Government Figures'!$B$8/12)^B518</f>
        <v>6294.8863562311562</v>
      </c>
      <c r="O518" s="304">
        <f t="shared" si="67"/>
        <v>719.09715852031604</v>
      </c>
      <c r="P518" s="304">
        <f t="shared" si="68"/>
        <v>134.84393356677515</v>
      </c>
      <c r="Q518" s="274"/>
      <c r="R518" s="281"/>
      <c r="S518" s="281"/>
      <c r="T518" s="281"/>
      <c r="U518" s="281"/>
      <c r="V518" s="281"/>
      <c r="W518" s="281"/>
      <c r="X518" s="281"/>
      <c r="Y518" s="281"/>
      <c r="Z518" s="281"/>
      <c r="AA518" s="281"/>
      <c r="AB518" s="281"/>
      <c r="AC518" s="281"/>
      <c r="AD518" s="281"/>
    </row>
    <row r="519" spans="1:30" s="288" customFormat="1" x14ac:dyDescent="0.25">
      <c r="A519" s="287"/>
      <c r="B519" s="274">
        <f t="shared" si="59"/>
        <v>504</v>
      </c>
      <c r="C519" s="304">
        <f t="shared" ca="1" si="64"/>
        <v>0</v>
      </c>
      <c r="D519" s="304">
        <f ca="1">IF(ROUND(E518,0)&lt;&gt;0, IF(ROUND(D518,0)&lt;&gt;0, 'Career Comparison'!$F$28-C519, 0), 0)</f>
        <v>0</v>
      </c>
      <c r="E519" s="304">
        <f ca="1">IF(G$7&gt;=B519, E518*(1+'Government Figures'!$D$8/12)-'Career Comparison'!$F$28, 0)</f>
        <v>0</v>
      </c>
      <c r="F519" s="312">
        <f>'College Schedule'!$L$8*(1+'Government Figures'!$B$8/12)^B519</f>
        <v>4718.98908033317</v>
      </c>
      <c r="G519" s="278">
        <v>1</v>
      </c>
      <c r="H519" s="279">
        <f t="shared" ca="1" si="62"/>
        <v>0.17320110972991043</v>
      </c>
      <c r="I519" s="304">
        <f>G519*('College Schedule'!$L$9)*(1+'Government Figures'!$B$8/12)^B519</f>
        <v>10508.963055819237</v>
      </c>
      <c r="J519" s="304">
        <f t="shared" ca="1" si="65"/>
        <v>3969.8099121075438</v>
      </c>
      <c r="K519" s="304">
        <f t="shared" ca="1" si="66"/>
        <v>741.93918934304486</v>
      </c>
      <c r="L519" s="278">
        <v>1</v>
      </c>
      <c r="M519" s="279">
        <f t="shared" si="63"/>
        <v>0.13735784313725496</v>
      </c>
      <c r="N519" s="304">
        <f>L519*('College Schedule'!$L$10)*(1+'Government Figures'!$B$8/12)^B519</f>
        <v>6305.3778334915432</v>
      </c>
      <c r="O519" s="304">
        <f t="shared" si="67"/>
        <v>720.29565378451753</v>
      </c>
      <c r="P519" s="304">
        <f t="shared" si="68"/>
        <v>134.61994032164779</v>
      </c>
      <c r="Q519" s="274"/>
      <c r="R519" s="281"/>
      <c r="S519" s="281"/>
      <c r="T519" s="281"/>
      <c r="U519" s="281"/>
      <c r="V519" s="281"/>
      <c r="W519" s="281"/>
      <c r="X519" s="281"/>
      <c r="Y519" s="281"/>
      <c r="Z519" s="281"/>
      <c r="AA519" s="281"/>
      <c r="AB519" s="281"/>
      <c r="AC519" s="281"/>
      <c r="AD519" s="281"/>
    </row>
    <row r="520" spans="1:30" s="288" customFormat="1" x14ac:dyDescent="0.25">
      <c r="A520" s="287"/>
      <c r="B520" s="274">
        <f t="shared" si="59"/>
        <v>505</v>
      </c>
      <c r="C520" s="304">
        <f t="shared" ca="1" si="64"/>
        <v>0</v>
      </c>
      <c r="D520" s="304">
        <f ca="1">IF(ROUND(E519,0)&lt;&gt;0, IF(ROUND(D519,0)&lt;&gt;0, 'Career Comparison'!$F$28-C520, 0), 0)</f>
        <v>0</v>
      </c>
      <c r="E520" s="304">
        <f ca="1">IF(G$7&gt;=B520, E519*(1+'Government Figures'!$D$8/12)-'Career Comparison'!$F$28, 0)</f>
        <v>0</v>
      </c>
      <c r="F520" s="312">
        <f>'College Schedule'!$L$8*(1+'Government Figures'!$B$8/12)^B520</f>
        <v>4726.8540621337261</v>
      </c>
      <c r="G520" s="278">
        <v>1</v>
      </c>
      <c r="H520" s="279">
        <f t="shared" ca="1" si="62"/>
        <v>0.17320110972991043</v>
      </c>
      <c r="I520" s="304">
        <f>G520*('College Schedule'!$L$9)*(1+'Government Figures'!$B$8/12)^B520</f>
        <v>10526.477994245604</v>
      </c>
      <c r="J520" s="304">
        <f t="shared" ca="1" si="65"/>
        <v>3976.4262619610572</v>
      </c>
      <c r="K520" s="304">
        <f t="shared" ca="1" si="66"/>
        <v>740.70673221789036</v>
      </c>
      <c r="L520" s="278">
        <v>1</v>
      </c>
      <c r="M520" s="279">
        <f t="shared" si="63"/>
        <v>0.13735784313725496</v>
      </c>
      <c r="N520" s="304">
        <f>L520*('College Schedule'!$L$10)*(1+'Government Figures'!$B$8/12)^B520</f>
        <v>6315.8867965473628</v>
      </c>
      <c r="O520" s="304">
        <f t="shared" si="67"/>
        <v>721.49614654082416</v>
      </c>
      <c r="P520" s="304">
        <f t="shared" si="68"/>
        <v>134.39631915832263</v>
      </c>
      <c r="Q520" s="274"/>
      <c r="R520" s="281"/>
      <c r="S520" s="281"/>
      <c r="T520" s="281"/>
      <c r="U520" s="281"/>
      <c r="V520" s="281"/>
      <c r="W520" s="281"/>
      <c r="X520" s="281"/>
      <c r="Y520" s="281"/>
      <c r="Z520" s="281"/>
      <c r="AA520" s="281"/>
      <c r="AB520" s="281"/>
      <c r="AC520" s="281"/>
      <c r="AD520" s="281"/>
    </row>
    <row r="521" spans="1:30" s="288" customFormat="1" x14ac:dyDescent="0.25">
      <c r="A521" s="287"/>
      <c r="B521" s="274">
        <f t="shared" si="59"/>
        <v>506</v>
      </c>
      <c r="C521" s="304">
        <f t="shared" ca="1" si="64"/>
        <v>0</v>
      </c>
      <c r="D521" s="304">
        <f ca="1">IF(ROUND(E520,0)&lt;&gt;0, IF(ROUND(D520,0)&lt;&gt;0, 'Career Comparison'!$F$28-C521, 0), 0)</f>
        <v>0</v>
      </c>
      <c r="E521" s="304">
        <f ca="1">IF(G$7&gt;=B521, E520*(1+'Government Figures'!$D$8/12)-'Career Comparison'!$F$28, 0)</f>
        <v>0</v>
      </c>
      <c r="F521" s="312">
        <f>'College Schedule'!$L$8*(1+'Government Figures'!$B$8/12)^B521</f>
        <v>4734.7321522372813</v>
      </c>
      <c r="G521" s="278">
        <v>1</v>
      </c>
      <c r="H521" s="279">
        <f t="shared" ca="1" si="62"/>
        <v>0.17320110972991043</v>
      </c>
      <c r="I521" s="304">
        <f>G521*('College Schedule'!$L$9)*(1+'Government Figures'!$B$8/12)^B521</f>
        <v>10544.022124236011</v>
      </c>
      <c r="J521" s="304">
        <f t="shared" ca="1" si="65"/>
        <v>3983.0536390643256</v>
      </c>
      <c r="K521" s="304">
        <f t="shared" ca="1" si="66"/>
        <v>739.47632236370771</v>
      </c>
      <c r="L521" s="278">
        <v>1</v>
      </c>
      <c r="M521" s="279">
        <f t="shared" si="63"/>
        <v>0.13735784313725496</v>
      </c>
      <c r="N521" s="304">
        <f>L521*('College Schedule'!$L$10)*(1+'Government Figures'!$B$8/12)^B521</f>
        <v>6326.4132745416082</v>
      </c>
      <c r="O521" s="304">
        <f t="shared" si="67"/>
        <v>722.69864011839309</v>
      </c>
      <c r="P521" s="304">
        <f t="shared" si="68"/>
        <v>134.1730694587242</v>
      </c>
      <c r="Q521" s="274"/>
      <c r="R521" s="281"/>
      <c r="S521" s="281"/>
      <c r="T521" s="281"/>
      <c r="U521" s="281"/>
      <c r="V521" s="281"/>
      <c r="W521" s="281"/>
      <c r="X521" s="281"/>
      <c r="Y521" s="281"/>
      <c r="Z521" s="281"/>
      <c r="AA521" s="281"/>
      <c r="AB521" s="281"/>
      <c r="AC521" s="281"/>
      <c r="AD521" s="281"/>
    </row>
    <row r="522" spans="1:30" s="288" customFormat="1" x14ac:dyDescent="0.25">
      <c r="A522" s="287"/>
      <c r="B522" s="274">
        <f t="shared" si="59"/>
        <v>507</v>
      </c>
      <c r="C522" s="304">
        <f t="shared" ca="1" si="64"/>
        <v>0</v>
      </c>
      <c r="D522" s="304">
        <f ca="1">IF(ROUND(E521,0)&lt;&gt;0, IF(ROUND(D521,0)&lt;&gt;0, 'Career Comparison'!$F$28-C522, 0), 0)</f>
        <v>0</v>
      </c>
      <c r="E522" s="304">
        <f ca="1">IF(G$7&gt;=B522, E521*(1+'Government Figures'!$D$8/12)-'Career Comparison'!$F$28, 0)</f>
        <v>0</v>
      </c>
      <c r="F522" s="312">
        <f>'College Schedule'!$L$8*(1+'Government Figures'!$B$8/12)^B522</f>
        <v>4742.6233724910107</v>
      </c>
      <c r="G522" s="278">
        <v>1</v>
      </c>
      <c r="H522" s="279">
        <f t="shared" ca="1" si="62"/>
        <v>0.17320110972991043</v>
      </c>
      <c r="I522" s="304">
        <f>G522*('College Schedule'!$L$9)*(1+'Government Figures'!$B$8/12)^B522</f>
        <v>10561.595494443072</v>
      </c>
      <c r="J522" s="304">
        <f t="shared" ca="1" si="65"/>
        <v>3989.6920617960986</v>
      </c>
      <c r="K522" s="304">
        <f t="shared" ca="1" si="66"/>
        <v>738.24795637971465</v>
      </c>
      <c r="L522" s="278">
        <v>1</v>
      </c>
      <c r="M522" s="279">
        <f t="shared" si="63"/>
        <v>0.13735784313725496</v>
      </c>
      <c r="N522" s="304">
        <f>L522*('College Schedule'!$L$10)*(1+'Government Figures'!$B$8/12)^B522</f>
        <v>6336.9572966658452</v>
      </c>
      <c r="O522" s="304">
        <f t="shared" si="67"/>
        <v>723.90313785192393</v>
      </c>
      <c r="P522" s="304">
        <f t="shared" si="68"/>
        <v>133.95019060580279</v>
      </c>
      <c r="Q522" s="274"/>
      <c r="R522" s="281"/>
      <c r="S522" s="281"/>
      <c r="T522" s="281"/>
      <c r="U522" s="281"/>
      <c r="V522" s="281"/>
      <c r="W522" s="281"/>
      <c r="X522" s="281"/>
      <c r="Y522" s="281"/>
      <c r="Z522" s="281"/>
      <c r="AA522" s="281"/>
      <c r="AB522" s="281"/>
      <c r="AC522" s="281"/>
      <c r="AD522" s="281"/>
    </row>
    <row r="523" spans="1:30" s="288" customFormat="1" x14ac:dyDescent="0.25">
      <c r="A523" s="287"/>
      <c r="B523" s="274">
        <f t="shared" si="59"/>
        <v>508</v>
      </c>
      <c r="C523" s="304">
        <f t="shared" ca="1" si="64"/>
        <v>0</v>
      </c>
      <c r="D523" s="304">
        <f ca="1">IF(ROUND(E522,0)&lt;&gt;0, IF(ROUND(D522,0)&lt;&gt;0, 'Career Comparison'!$F$28-C523, 0), 0)</f>
        <v>0</v>
      </c>
      <c r="E523" s="304">
        <f ca="1">IF(G$7&gt;=B523, E522*(1+'Government Figures'!$D$8/12)-'Career Comparison'!$F$28, 0)</f>
        <v>0</v>
      </c>
      <c r="F523" s="312">
        <f>'College Schedule'!$L$8*(1+'Government Figures'!$B$8/12)^B523</f>
        <v>4750.5277447784956</v>
      </c>
      <c r="G523" s="278">
        <v>1</v>
      </c>
      <c r="H523" s="279">
        <f t="shared" ca="1" si="62"/>
        <v>0.17320110972991043</v>
      </c>
      <c r="I523" s="304">
        <f>G523*('College Schedule'!$L$9)*(1+'Government Figures'!$B$8/12)^B523</f>
        <v>10579.198153600477</v>
      </c>
      <c r="J523" s="304">
        <f t="shared" ca="1" si="65"/>
        <v>3996.3415485657588</v>
      </c>
      <c r="K523" s="304">
        <f t="shared" ca="1" si="66"/>
        <v>737.02163087077815</v>
      </c>
      <c r="L523" s="278">
        <v>1</v>
      </c>
      <c r="M523" s="279">
        <f t="shared" si="63"/>
        <v>0.13735784313725496</v>
      </c>
      <c r="N523" s="304">
        <f>L523*('College Schedule'!$L$10)*(1+'Government Figures'!$B$8/12)^B523</f>
        <v>6347.5188921602867</v>
      </c>
      <c r="O523" s="304">
        <f t="shared" si="67"/>
        <v>725.10964308167604</v>
      </c>
      <c r="P523" s="304">
        <f t="shared" si="68"/>
        <v>133.72768198353378</v>
      </c>
      <c r="Q523" s="274"/>
      <c r="R523" s="281"/>
      <c r="S523" s="281"/>
      <c r="T523" s="281"/>
      <c r="U523" s="281"/>
      <c r="V523" s="281"/>
      <c r="W523" s="281"/>
      <c r="X523" s="281"/>
      <c r="Y523" s="281"/>
      <c r="Z523" s="281"/>
      <c r="AA523" s="281"/>
      <c r="AB523" s="281"/>
      <c r="AC523" s="281"/>
      <c r="AD523" s="281"/>
    </row>
    <row r="524" spans="1:30" s="288" customFormat="1" x14ac:dyDescent="0.25">
      <c r="A524" s="287"/>
      <c r="B524" s="274">
        <f t="shared" si="59"/>
        <v>509</v>
      </c>
      <c r="C524" s="304">
        <f t="shared" ca="1" si="64"/>
        <v>0</v>
      </c>
      <c r="D524" s="304">
        <f ca="1">IF(ROUND(E523,0)&lt;&gt;0, IF(ROUND(D523,0)&lt;&gt;0, 'Career Comparison'!$F$28-C524, 0), 0)</f>
        <v>0</v>
      </c>
      <c r="E524" s="304">
        <f ca="1">IF(G$7&gt;=B524, E523*(1+'Government Figures'!$D$8/12)-'Career Comparison'!$F$28, 0)</f>
        <v>0</v>
      </c>
      <c r="F524" s="312">
        <f>'College Schedule'!$L$8*(1+'Government Figures'!$B$8/12)^B524</f>
        <v>4758.4452910197942</v>
      </c>
      <c r="G524" s="278">
        <v>1</v>
      </c>
      <c r="H524" s="279">
        <f t="shared" ca="1" si="62"/>
        <v>0.17320110972991043</v>
      </c>
      <c r="I524" s="304">
        <f>G524*('College Schedule'!$L$9)*(1+'Government Figures'!$B$8/12)^B524</f>
        <v>10596.830150523148</v>
      </c>
      <c r="J524" s="304">
        <f t="shared" ca="1" si="65"/>
        <v>4003.0021178133702</v>
      </c>
      <c r="K524" s="304">
        <f t="shared" ca="1" si="66"/>
        <v>735.7973424474053</v>
      </c>
      <c r="L524" s="278">
        <v>1</v>
      </c>
      <c r="M524" s="279">
        <f t="shared" si="63"/>
        <v>0.13735784313725496</v>
      </c>
      <c r="N524" s="304">
        <f>L524*('College Schedule'!$L$10)*(1+'Government Figures'!$B$8/12)^B524</f>
        <v>6358.0980903138898</v>
      </c>
      <c r="O524" s="304">
        <f t="shared" si="67"/>
        <v>726.31815915348034</v>
      </c>
      <c r="P524" s="304">
        <f t="shared" si="68"/>
        <v>133.50554297691693</v>
      </c>
      <c r="Q524" s="274"/>
      <c r="R524" s="281"/>
      <c r="S524" s="281"/>
      <c r="T524" s="281"/>
      <c r="U524" s="281"/>
      <c r="V524" s="281"/>
      <c r="W524" s="281"/>
      <c r="X524" s="281"/>
      <c r="Y524" s="281"/>
      <c r="Z524" s="281"/>
      <c r="AA524" s="281"/>
      <c r="AB524" s="281"/>
      <c r="AC524" s="281"/>
      <c r="AD524" s="281"/>
    </row>
    <row r="525" spans="1:30" s="288" customFormat="1" x14ac:dyDescent="0.25">
      <c r="A525" s="287"/>
      <c r="B525" s="274">
        <f t="shared" si="59"/>
        <v>510</v>
      </c>
      <c r="C525" s="304">
        <f t="shared" ca="1" si="64"/>
        <v>0</v>
      </c>
      <c r="D525" s="304">
        <f ca="1">IF(ROUND(E524,0)&lt;&gt;0, IF(ROUND(D524,0)&lt;&gt;0, 'Career Comparison'!$F$28-C525, 0), 0)</f>
        <v>0</v>
      </c>
      <c r="E525" s="304">
        <f ca="1">IF(G$7&gt;=B525, E524*(1+'Government Figures'!$D$8/12)-'Career Comparison'!$F$28, 0)</f>
        <v>0</v>
      </c>
      <c r="F525" s="312">
        <f>'College Schedule'!$L$8*(1+'Government Figures'!$B$8/12)^B525</f>
        <v>4766.3760331714939</v>
      </c>
      <c r="G525" s="278">
        <v>1</v>
      </c>
      <c r="H525" s="279">
        <f t="shared" ca="1" si="62"/>
        <v>0.17320110972991043</v>
      </c>
      <c r="I525" s="304">
        <f>G525*('College Schedule'!$L$9)*(1+'Government Figures'!$B$8/12)^B525</f>
        <v>10614.491534107354</v>
      </c>
      <c r="J525" s="304">
        <f t="shared" ca="1" si="65"/>
        <v>4009.6737880097271</v>
      </c>
      <c r="K525" s="304">
        <f t="shared" ca="1" si="66"/>
        <v>734.57508772573192</v>
      </c>
      <c r="L525" s="278">
        <v>1</v>
      </c>
      <c r="M525" s="279">
        <f t="shared" si="63"/>
        <v>0.13735784313725496</v>
      </c>
      <c r="N525" s="304">
        <f>L525*('College Schedule'!$L$10)*(1+'Government Figures'!$B$8/12)^B525</f>
        <v>6368.6949204644134</v>
      </c>
      <c r="O525" s="304">
        <f t="shared" si="67"/>
        <v>727.52868941873658</v>
      </c>
      <c r="P525" s="304">
        <f t="shared" si="68"/>
        <v>133.28377297197193</v>
      </c>
      <c r="Q525" s="274"/>
      <c r="R525" s="281"/>
      <c r="S525" s="281"/>
      <c r="T525" s="281"/>
      <c r="U525" s="281"/>
      <c r="V525" s="281"/>
      <c r="W525" s="281"/>
      <c r="X525" s="281"/>
      <c r="Y525" s="281"/>
      <c r="Z525" s="281"/>
      <c r="AA525" s="281"/>
      <c r="AB525" s="281"/>
      <c r="AC525" s="281"/>
      <c r="AD525" s="281"/>
    </row>
    <row r="526" spans="1:30" s="288" customFormat="1" x14ac:dyDescent="0.25">
      <c r="A526" s="287"/>
      <c r="B526" s="274">
        <f t="shared" si="59"/>
        <v>511</v>
      </c>
      <c r="C526" s="304">
        <f t="shared" ca="1" si="64"/>
        <v>0</v>
      </c>
      <c r="D526" s="304">
        <f ca="1">IF(ROUND(E525,0)&lt;&gt;0, IF(ROUND(D525,0)&lt;&gt;0, 'Career Comparison'!$F$28-C526, 0), 0)</f>
        <v>0</v>
      </c>
      <c r="E526" s="304">
        <f ca="1">IF(G$7&gt;=B526, E525*(1+'Government Figures'!$D$8/12)-'Career Comparison'!$F$28, 0)</f>
        <v>0</v>
      </c>
      <c r="F526" s="312">
        <f>'College Schedule'!$L$8*(1+'Government Figures'!$B$8/12)^B526</f>
        <v>4774.3199932267808</v>
      </c>
      <c r="G526" s="278">
        <v>1</v>
      </c>
      <c r="H526" s="279">
        <f t="shared" ca="1" si="62"/>
        <v>0.17320110972991043</v>
      </c>
      <c r="I526" s="304">
        <f>G526*('College Schedule'!$L$9)*(1+'Government Figures'!$B$8/12)^B526</f>
        <v>10632.182353330865</v>
      </c>
      <c r="J526" s="304">
        <f t="shared" ca="1" si="65"/>
        <v>4016.3565776564074</v>
      </c>
      <c r="K526" s="304">
        <f t="shared" ca="1" si="66"/>
        <v>733.35486332751566</v>
      </c>
      <c r="L526" s="278">
        <v>1</v>
      </c>
      <c r="M526" s="279">
        <f t="shared" si="63"/>
        <v>0.13735784313725496</v>
      </c>
      <c r="N526" s="304">
        <f>L526*('College Schedule'!$L$10)*(1+'Government Figures'!$B$8/12)^B526</f>
        <v>6379.3094119985208</v>
      </c>
      <c r="O526" s="304">
        <f t="shared" si="67"/>
        <v>728.74123723443336</v>
      </c>
      <c r="P526" s="304">
        <f t="shared" si="68"/>
        <v>133.06237135573917</v>
      </c>
      <c r="Q526" s="274"/>
      <c r="R526" s="281"/>
      <c r="S526" s="281"/>
      <c r="T526" s="281"/>
      <c r="U526" s="281"/>
      <c r="V526" s="281"/>
      <c r="W526" s="281"/>
      <c r="X526" s="281"/>
      <c r="Y526" s="281"/>
      <c r="Z526" s="281"/>
      <c r="AA526" s="281"/>
      <c r="AB526" s="281"/>
      <c r="AC526" s="281"/>
      <c r="AD526" s="281"/>
    </row>
    <row r="527" spans="1:30" s="288" customFormat="1" x14ac:dyDescent="0.25">
      <c r="A527" s="287"/>
      <c r="B527" s="274">
        <f t="shared" si="59"/>
        <v>512</v>
      </c>
      <c r="C527" s="304">
        <f t="shared" ca="1" si="64"/>
        <v>0</v>
      </c>
      <c r="D527" s="304">
        <f ca="1">IF(ROUND(E526,0)&lt;&gt;0, IF(ROUND(D526,0)&lt;&gt;0, 'Career Comparison'!$F$28-C527, 0), 0)</f>
        <v>0</v>
      </c>
      <c r="E527" s="304">
        <f ca="1">IF(G$7&gt;=B527, E526*(1+'Government Figures'!$D$8/12)-'Career Comparison'!$F$28, 0)</f>
        <v>0</v>
      </c>
      <c r="F527" s="312">
        <f>'College Schedule'!$L$8*(1+'Government Figures'!$B$8/12)^B527</f>
        <v>4782.2771932154928</v>
      </c>
      <c r="G527" s="278">
        <v>1</v>
      </c>
      <c r="H527" s="279">
        <f t="shared" ca="1" si="62"/>
        <v>0.17320110972991043</v>
      </c>
      <c r="I527" s="304">
        <f>G527*('College Schedule'!$L$9)*(1+'Government Figures'!$B$8/12)^B527</f>
        <v>10649.902657253087</v>
      </c>
      <c r="J527" s="304">
        <f t="shared" ca="1" si="65"/>
        <v>4023.050505285838</v>
      </c>
      <c r="K527" s="304">
        <f t="shared" ca="1" si="66"/>
        <v>732.13666588012836</v>
      </c>
      <c r="L527" s="278">
        <v>1</v>
      </c>
      <c r="M527" s="279">
        <f t="shared" si="63"/>
        <v>0.13735784313725496</v>
      </c>
      <c r="N527" s="304">
        <f>L527*('College Schedule'!$L$10)*(1+'Government Figures'!$B$8/12)^B527</f>
        <v>6389.9415943518534</v>
      </c>
      <c r="O527" s="304">
        <f t="shared" si="67"/>
        <v>729.95580596315813</v>
      </c>
      <c r="P527" s="304">
        <f t="shared" si="68"/>
        <v>132.84133751627795</v>
      </c>
      <c r="Q527" s="274"/>
      <c r="R527" s="281"/>
      <c r="S527" s="281"/>
      <c r="T527" s="281"/>
      <c r="U527" s="281"/>
      <c r="V527" s="281"/>
      <c r="W527" s="281"/>
      <c r="X527" s="281"/>
      <c r="Y527" s="281"/>
      <c r="Z527" s="281"/>
      <c r="AA527" s="281"/>
      <c r="AB527" s="281"/>
      <c r="AC527" s="281"/>
      <c r="AD527" s="281"/>
    </row>
    <row r="528" spans="1:30" s="288" customFormat="1" x14ac:dyDescent="0.25">
      <c r="A528" s="287"/>
      <c r="B528" s="274">
        <f t="shared" ref="B528:B591" si="69">B527+1</f>
        <v>513</v>
      </c>
      <c r="C528" s="304">
        <f t="shared" ca="1" si="64"/>
        <v>0</v>
      </c>
      <c r="D528" s="304">
        <f ca="1">IF(ROUND(E527,0)&lt;&gt;0, IF(ROUND(D527,0)&lt;&gt;0, 'Career Comparison'!$F$28-C528, 0), 0)</f>
        <v>0</v>
      </c>
      <c r="E528" s="304">
        <f ca="1">IF(G$7&gt;=B528, E527*(1+'Government Figures'!$D$8/12)-'Career Comparison'!$F$28, 0)</f>
        <v>0</v>
      </c>
      <c r="F528" s="312">
        <f>'College Schedule'!$L$8*(1+'Government Figures'!$B$8/12)^B528</f>
        <v>4790.2476552041853</v>
      </c>
      <c r="G528" s="278">
        <v>1</v>
      </c>
      <c r="H528" s="279">
        <f t="shared" ca="1" si="62"/>
        <v>0.17320110972991043</v>
      </c>
      <c r="I528" s="304">
        <f>G528*('College Schedule'!$L$9)*(1+'Government Figures'!$B$8/12)^B528</f>
        <v>10667.652495015176</v>
      </c>
      <c r="J528" s="304">
        <f t="shared" ca="1" si="65"/>
        <v>4029.7555894613151</v>
      </c>
      <c r="K528" s="304">
        <f t="shared" ca="1" si="66"/>
        <v>730.92049201654015</v>
      </c>
      <c r="L528" s="278">
        <v>1</v>
      </c>
      <c r="M528" s="279">
        <f t="shared" si="63"/>
        <v>0.13735784313725496</v>
      </c>
      <c r="N528" s="304">
        <f>L528*('College Schedule'!$L$10)*(1+'Government Figures'!$B$8/12)^B528</f>
        <v>6400.5914970091062</v>
      </c>
      <c r="O528" s="304">
        <f t="shared" si="67"/>
        <v>731.17239897309628</v>
      </c>
      <c r="P528" s="304">
        <f t="shared" si="68"/>
        <v>132.62067084266278</v>
      </c>
      <c r="Q528" s="274"/>
      <c r="R528" s="281"/>
      <c r="S528" s="281"/>
      <c r="T528" s="281"/>
      <c r="U528" s="281"/>
      <c r="V528" s="281"/>
      <c r="W528" s="281"/>
      <c r="X528" s="281"/>
      <c r="Y528" s="281"/>
      <c r="Z528" s="281"/>
      <c r="AA528" s="281"/>
      <c r="AB528" s="281"/>
      <c r="AC528" s="281"/>
      <c r="AD528" s="281"/>
    </row>
    <row r="529" spans="1:30" s="288" customFormat="1" x14ac:dyDescent="0.25">
      <c r="A529" s="287"/>
      <c r="B529" s="274">
        <f t="shared" si="69"/>
        <v>514</v>
      </c>
      <c r="C529" s="304">
        <f t="shared" ca="1" si="64"/>
        <v>0</v>
      </c>
      <c r="D529" s="304">
        <f ca="1">IF(ROUND(E528,0)&lt;&gt;0, IF(ROUND(D528,0)&lt;&gt;0, 'Career Comparison'!$F$28-C529, 0), 0)</f>
        <v>0</v>
      </c>
      <c r="E529" s="304">
        <f ca="1">IF(G$7&gt;=B529, E528*(1+'Government Figures'!$D$8/12)-'Career Comparison'!$F$28, 0)</f>
        <v>0</v>
      </c>
      <c r="F529" s="312">
        <f>'College Schedule'!$L$8*(1+'Government Figures'!$B$8/12)^B529</f>
        <v>4798.2314012961924</v>
      </c>
      <c r="G529" s="278">
        <v>1</v>
      </c>
      <c r="H529" s="279">
        <f t="shared" ca="1" si="62"/>
        <v>0.17320110972991043</v>
      </c>
      <c r="I529" s="304">
        <f>G529*('College Schedule'!$L$9)*(1+'Government Figures'!$B$8/12)^B529</f>
        <v>10685.431915840201</v>
      </c>
      <c r="J529" s="304">
        <f t="shared" ca="1" si="65"/>
        <v>4036.4718487770824</v>
      </c>
      <c r="K529" s="304">
        <f t="shared" ca="1" si="66"/>
        <v>729.70633837531636</v>
      </c>
      <c r="L529" s="278">
        <v>1</v>
      </c>
      <c r="M529" s="279">
        <f t="shared" si="63"/>
        <v>0.13735784313725496</v>
      </c>
      <c r="N529" s="304">
        <f>L529*('College Schedule'!$L$10)*(1+'Government Figures'!$B$8/12)^B529</f>
        <v>6411.2591495041224</v>
      </c>
      <c r="O529" s="304">
        <f t="shared" si="67"/>
        <v>732.39101963805206</v>
      </c>
      <c r="P529" s="304">
        <f t="shared" si="68"/>
        <v>132.40037072498404</v>
      </c>
      <c r="Q529" s="274"/>
      <c r="R529" s="281"/>
      <c r="S529" s="281"/>
      <c r="T529" s="281"/>
      <c r="U529" s="281"/>
      <c r="V529" s="281"/>
      <c r="W529" s="281"/>
      <c r="X529" s="281"/>
      <c r="Y529" s="281"/>
      <c r="Z529" s="281"/>
      <c r="AA529" s="281"/>
      <c r="AB529" s="281"/>
      <c r="AC529" s="281"/>
      <c r="AD529" s="281"/>
    </row>
    <row r="530" spans="1:30" s="288" customFormat="1" x14ac:dyDescent="0.25">
      <c r="A530" s="287"/>
      <c r="B530" s="274">
        <f t="shared" si="69"/>
        <v>515</v>
      </c>
      <c r="C530" s="304">
        <f t="shared" ca="1" si="64"/>
        <v>0</v>
      </c>
      <c r="D530" s="304">
        <f ca="1">IF(ROUND(E529,0)&lt;&gt;0, IF(ROUND(D529,0)&lt;&gt;0, 'Career Comparison'!$F$28-C530, 0), 0)</f>
        <v>0</v>
      </c>
      <c r="E530" s="304">
        <f ca="1">IF(G$7&gt;=B530, E529*(1+'Government Figures'!$D$8/12)-'Career Comparison'!$F$28, 0)</f>
        <v>0</v>
      </c>
      <c r="F530" s="312">
        <f>'College Schedule'!$L$8*(1+'Government Figures'!$B$8/12)^B530</f>
        <v>4806.2284536316865</v>
      </c>
      <c r="G530" s="278">
        <v>1</v>
      </c>
      <c r="H530" s="279">
        <f t="shared" ref="H530:H593" ca="1" si="70">H529</f>
        <v>0.17320110972991043</v>
      </c>
      <c r="I530" s="304">
        <f>G530*('College Schedule'!$L$9)*(1+'Government Figures'!$B$8/12)^B530</f>
        <v>10703.240969033268</v>
      </c>
      <c r="J530" s="304">
        <f t="shared" ca="1" si="65"/>
        <v>4043.1993018583771</v>
      </c>
      <c r="K530" s="304">
        <f t="shared" ca="1" si="66"/>
        <v>728.49420160060629</v>
      </c>
      <c r="L530" s="278">
        <v>1</v>
      </c>
      <c r="M530" s="279">
        <f t="shared" ref="M530:M593" si="71">M529</f>
        <v>0.13735784313725496</v>
      </c>
      <c r="N530" s="304">
        <f>L530*('College Schedule'!$L$10)*(1+'Government Figures'!$B$8/12)^B530</f>
        <v>6421.9445814199626</v>
      </c>
      <c r="O530" s="304">
        <f t="shared" si="67"/>
        <v>733.61167133744857</v>
      </c>
      <c r="P530" s="304">
        <f t="shared" si="68"/>
        <v>132.18043655434445</v>
      </c>
      <c r="Q530" s="274"/>
      <c r="R530" s="281"/>
      <c r="S530" s="281"/>
      <c r="T530" s="281"/>
      <c r="U530" s="281"/>
      <c r="V530" s="281"/>
      <c r="W530" s="281"/>
      <c r="X530" s="281"/>
      <c r="Y530" s="281"/>
      <c r="Z530" s="281"/>
      <c r="AA530" s="281"/>
      <c r="AB530" s="281"/>
      <c r="AC530" s="281"/>
      <c r="AD530" s="281"/>
    </row>
    <row r="531" spans="1:30" s="288" customFormat="1" x14ac:dyDescent="0.25">
      <c r="A531" s="287"/>
      <c r="B531" s="274">
        <f t="shared" si="69"/>
        <v>516</v>
      </c>
      <c r="C531" s="304">
        <f t="shared" ca="1" si="64"/>
        <v>0</v>
      </c>
      <c r="D531" s="304">
        <f ca="1">IF(ROUND(E530,0)&lt;&gt;0, IF(ROUND(D530,0)&lt;&gt;0, 'Career Comparison'!$F$28-C531, 0), 0)</f>
        <v>0</v>
      </c>
      <c r="E531" s="304">
        <f ca="1">IF(G$7&gt;=B531, E530*(1+'Government Figures'!$D$8/12)-'Career Comparison'!$F$28, 0)</f>
        <v>0</v>
      </c>
      <c r="F531" s="312">
        <f>'College Schedule'!$L$8*(1+'Government Figures'!$B$8/12)^B531</f>
        <v>4814.2388343877401</v>
      </c>
      <c r="G531" s="278">
        <v>1</v>
      </c>
      <c r="H531" s="279">
        <f t="shared" ca="1" si="70"/>
        <v>0.17320110972991043</v>
      </c>
      <c r="I531" s="304">
        <f>G531*('College Schedule'!$L$9)*(1+'Government Figures'!$B$8/12)^B531</f>
        <v>10721.079703981659</v>
      </c>
      <c r="J531" s="304">
        <f t="shared" ca="1" si="65"/>
        <v>4049.9379673614758</v>
      </c>
      <c r="K531" s="304">
        <f t="shared" ca="1" si="66"/>
        <v>727.28407834213374</v>
      </c>
      <c r="L531" s="278">
        <v>1</v>
      </c>
      <c r="M531" s="279">
        <f t="shared" si="71"/>
        <v>0.13735784313725496</v>
      </c>
      <c r="N531" s="304">
        <f>L531*('College Schedule'!$L$10)*(1+'Government Figures'!$B$8/12)^B531</f>
        <v>6432.6478223889962</v>
      </c>
      <c r="O531" s="304">
        <f t="shared" si="67"/>
        <v>734.83435745634324</v>
      </c>
      <c r="P531" s="304">
        <f t="shared" si="68"/>
        <v>131.96086772285864</v>
      </c>
      <c r="Q531" s="274"/>
      <c r="R531" s="281"/>
      <c r="S531" s="281"/>
      <c r="T531" s="281"/>
      <c r="U531" s="281"/>
      <c r="V531" s="281"/>
      <c r="W531" s="281"/>
      <c r="X531" s="281"/>
      <c r="Y531" s="281"/>
      <c r="Z531" s="281"/>
      <c r="AA531" s="281"/>
      <c r="AB531" s="281"/>
      <c r="AC531" s="281"/>
      <c r="AD531" s="281"/>
    </row>
    <row r="532" spans="1:30" s="288" customFormat="1" x14ac:dyDescent="0.25">
      <c r="A532" s="287"/>
      <c r="B532" s="274">
        <f t="shared" si="69"/>
        <v>517</v>
      </c>
      <c r="C532" s="304">
        <f t="shared" ca="1" si="64"/>
        <v>0</v>
      </c>
      <c r="D532" s="304">
        <f ca="1">IF(ROUND(E531,0)&lt;&gt;0, IF(ROUND(D531,0)&lt;&gt;0, 'Career Comparison'!$F$28-C532, 0), 0)</f>
        <v>0</v>
      </c>
      <c r="E532" s="304">
        <f ca="1">IF(G$7&gt;=B532, E531*(1+'Government Figures'!$D$8/12)-'Career Comparison'!$F$28, 0)</f>
        <v>0</v>
      </c>
      <c r="F532" s="312">
        <f>'College Schedule'!$L$8*(1+'Government Figures'!$B$8/12)^B532</f>
        <v>4822.2625657783865</v>
      </c>
      <c r="G532" s="278">
        <v>1</v>
      </c>
      <c r="H532" s="279">
        <f t="shared" ca="1" si="70"/>
        <v>0.17320110972991043</v>
      </c>
      <c r="I532" s="304">
        <f>G532*('College Schedule'!$L$9)*(1+'Government Figures'!$B$8/12)^B532</f>
        <v>10738.948170154963</v>
      </c>
      <c r="J532" s="304">
        <f t="shared" ca="1" si="65"/>
        <v>4056.6878639737461</v>
      </c>
      <c r="K532" s="304">
        <f t="shared" ca="1" si="66"/>
        <v>726.07596525518693</v>
      </c>
      <c r="L532" s="278">
        <v>1</v>
      </c>
      <c r="M532" s="279">
        <f t="shared" si="71"/>
        <v>0.13735784313725496</v>
      </c>
      <c r="N532" s="304">
        <f>L532*('College Schedule'!$L$10)*(1+'Government Figures'!$B$8/12)^B532</f>
        <v>6443.3689020929787</v>
      </c>
      <c r="O532" s="304">
        <f t="shared" si="67"/>
        <v>736.05908138543782</v>
      </c>
      <c r="P532" s="304">
        <f t="shared" si="68"/>
        <v>131.74166362365133</v>
      </c>
      <c r="Q532" s="274"/>
      <c r="R532" s="281"/>
      <c r="S532" s="281"/>
      <c r="T532" s="281"/>
      <c r="U532" s="281"/>
      <c r="V532" s="281"/>
      <c r="W532" s="281"/>
      <c r="X532" s="281"/>
      <c r="Y532" s="281"/>
      <c r="Z532" s="281"/>
      <c r="AA532" s="281"/>
      <c r="AB532" s="281"/>
      <c r="AC532" s="281"/>
      <c r="AD532" s="281"/>
    </row>
    <row r="533" spans="1:30" s="288" customFormat="1" x14ac:dyDescent="0.25">
      <c r="A533" s="287"/>
      <c r="B533" s="274">
        <f t="shared" si="69"/>
        <v>518</v>
      </c>
      <c r="C533" s="304">
        <f t="shared" ca="1" si="64"/>
        <v>0</v>
      </c>
      <c r="D533" s="304">
        <f ca="1">IF(ROUND(E532,0)&lt;&gt;0, IF(ROUND(D532,0)&lt;&gt;0, 'Career Comparison'!$F$28-C533, 0), 0)</f>
        <v>0</v>
      </c>
      <c r="E533" s="304">
        <f ca="1">IF(G$7&gt;=B533, E532*(1+'Government Figures'!$D$8/12)-'Career Comparison'!$F$28, 0)</f>
        <v>0</v>
      </c>
      <c r="F533" s="312">
        <f>'College Schedule'!$L$8*(1+'Government Figures'!$B$8/12)^B533</f>
        <v>4830.2996700546837</v>
      </c>
      <c r="G533" s="278">
        <v>1</v>
      </c>
      <c r="H533" s="279">
        <f t="shared" ca="1" si="70"/>
        <v>0.17320110972991043</v>
      </c>
      <c r="I533" s="304">
        <f>G533*('College Schedule'!$L$9)*(1+'Government Figures'!$B$8/12)^B533</f>
        <v>10756.846417105222</v>
      </c>
      <c r="J533" s="304">
        <f t="shared" ca="1" si="65"/>
        <v>4063.449010413703</v>
      </c>
      <c r="K533" s="304">
        <f t="shared" ca="1" si="66"/>
        <v>724.86985900061018</v>
      </c>
      <c r="L533" s="278">
        <v>1</v>
      </c>
      <c r="M533" s="279">
        <f t="shared" si="71"/>
        <v>0.13735784313725496</v>
      </c>
      <c r="N533" s="304">
        <f>L533*('College Schedule'!$L$10)*(1+'Government Figures'!$B$8/12)^B533</f>
        <v>6454.1078502631335</v>
      </c>
      <c r="O533" s="304">
        <f t="shared" si="67"/>
        <v>737.2858465210802</v>
      </c>
      <c r="P533" s="304">
        <f t="shared" si="68"/>
        <v>131.52282365085455</v>
      </c>
      <c r="Q533" s="274"/>
      <c r="R533" s="281"/>
      <c r="S533" s="281"/>
      <c r="T533" s="281"/>
      <c r="U533" s="281"/>
      <c r="V533" s="281"/>
      <c r="W533" s="281"/>
      <c r="X533" s="281"/>
      <c r="Y533" s="281"/>
      <c r="Z533" s="281"/>
      <c r="AA533" s="281"/>
      <c r="AB533" s="281"/>
      <c r="AC533" s="281"/>
      <c r="AD533" s="281"/>
    </row>
    <row r="534" spans="1:30" s="288" customFormat="1" x14ac:dyDescent="0.25">
      <c r="A534" s="287"/>
      <c r="B534" s="274">
        <f t="shared" si="69"/>
        <v>519</v>
      </c>
      <c r="C534" s="304">
        <f t="shared" ca="1" si="64"/>
        <v>0</v>
      </c>
      <c r="D534" s="304">
        <f ca="1">IF(ROUND(E533,0)&lt;&gt;0, IF(ROUND(D533,0)&lt;&gt;0, 'Career Comparison'!$F$28-C534, 0), 0)</f>
        <v>0</v>
      </c>
      <c r="E534" s="304">
        <f ca="1">IF(G$7&gt;=B534, E533*(1+'Government Figures'!$D$8/12)-'Career Comparison'!$F$28, 0)</f>
        <v>0</v>
      </c>
      <c r="F534" s="312">
        <f>'College Schedule'!$L$8*(1+'Government Figures'!$B$8/12)^B534</f>
        <v>4838.3501695047753</v>
      </c>
      <c r="G534" s="278">
        <v>1</v>
      </c>
      <c r="H534" s="279">
        <f t="shared" ca="1" si="70"/>
        <v>0.17320110972991043</v>
      </c>
      <c r="I534" s="304">
        <f>G534*('College Schedule'!$L$9)*(1+'Government Figures'!$B$8/12)^B534</f>
        <v>10774.774494467063</v>
      </c>
      <c r="J534" s="304">
        <f t="shared" ca="1" si="65"/>
        <v>4070.2214254310575</v>
      </c>
      <c r="K534" s="304">
        <f t="shared" ca="1" si="66"/>
        <v>723.66575624479481</v>
      </c>
      <c r="L534" s="278">
        <v>1</v>
      </c>
      <c r="M534" s="279">
        <f t="shared" si="71"/>
        <v>0.13735784313725496</v>
      </c>
      <c r="N534" s="304">
        <f>L534*('College Schedule'!$L$10)*(1+'Government Figures'!$B$8/12)^B534</f>
        <v>6464.8646966802389</v>
      </c>
      <c r="O534" s="304">
        <f t="shared" si="67"/>
        <v>738.5146562652817</v>
      </c>
      <c r="P534" s="304">
        <f t="shared" si="68"/>
        <v>131.30434719960721</v>
      </c>
      <c r="Q534" s="274"/>
      <c r="R534" s="281"/>
      <c r="S534" s="281"/>
      <c r="T534" s="281"/>
      <c r="U534" s="281"/>
      <c r="V534" s="281"/>
      <c r="W534" s="281"/>
      <c r="X534" s="281"/>
      <c r="Y534" s="281"/>
      <c r="Z534" s="281"/>
      <c r="AA534" s="281"/>
      <c r="AB534" s="281"/>
      <c r="AC534" s="281"/>
      <c r="AD534" s="281"/>
    </row>
    <row r="535" spans="1:30" s="288" customFormat="1" x14ac:dyDescent="0.25">
      <c r="A535" s="287"/>
      <c r="B535" s="274">
        <f t="shared" si="69"/>
        <v>520</v>
      </c>
      <c r="C535" s="304">
        <f t="shared" ca="1" si="64"/>
        <v>0</v>
      </c>
      <c r="D535" s="304">
        <f ca="1">IF(ROUND(E534,0)&lt;&gt;0, IF(ROUND(D534,0)&lt;&gt;0, 'Career Comparison'!$F$28-C535, 0), 0)</f>
        <v>0</v>
      </c>
      <c r="E535" s="304">
        <f ca="1">IF(G$7&gt;=B535, E534*(1+'Government Figures'!$D$8/12)-'Career Comparison'!$F$28, 0)</f>
        <v>0</v>
      </c>
      <c r="F535" s="312">
        <f>'College Schedule'!$L$8*(1+'Government Figures'!$B$8/12)^B535</f>
        <v>4846.4140864539513</v>
      </c>
      <c r="G535" s="278">
        <v>1</v>
      </c>
      <c r="H535" s="279">
        <f t="shared" ca="1" si="70"/>
        <v>0.17320110972991043</v>
      </c>
      <c r="I535" s="304">
        <f>G535*('College Schedule'!$L$9)*(1+'Government Figures'!$B$8/12)^B535</f>
        <v>10792.732451957845</v>
      </c>
      <c r="J535" s="304">
        <f t="shared" ca="1" si="65"/>
        <v>4077.0051278067785</v>
      </c>
      <c r="K535" s="304">
        <f t="shared" ca="1" si="66"/>
        <v>722.46365365967097</v>
      </c>
      <c r="L535" s="278">
        <v>1</v>
      </c>
      <c r="M535" s="279">
        <f t="shared" si="71"/>
        <v>0.13735784313725496</v>
      </c>
      <c r="N535" s="304">
        <f>L535*('College Schedule'!$L$10)*(1+'Government Figures'!$B$8/12)^B535</f>
        <v>6475.639471174708</v>
      </c>
      <c r="O535" s="304">
        <f t="shared" si="67"/>
        <v>739.74551402572433</v>
      </c>
      <c r="P535" s="304">
        <f t="shared" si="68"/>
        <v>131.08623366605315</v>
      </c>
      <c r="Q535" s="274"/>
      <c r="R535" s="281"/>
      <c r="S535" s="281"/>
      <c r="T535" s="281"/>
      <c r="U535" s="281"/>
      <c r="V535" s="281"/>
      <c r="W535" s="281"/>
      <c r="X535" s="281"/>
      <c r="Y535" s="281"/>
      <c r="Z535" s="281"/>
      <c r="AA535" s="281"/>
      <c r="AB535" s="281"/>
      <c r="AC535" s="281"/>
      <c r="AD535" s="281"/>
    </row>
    <row r="536" spans="1:30" s="288" customFormat="1" x14ac:dyDescent="0.25">
      <c r="A536" s="287"/>
      <c r="B536" s="274">
        <f t="shared" si="69"/>
        <v>521</v>
      </c>
      <c r="C536" s="304">
        <f t="shared" ca="1" si="64"/>
        <v>0</v>
      </c>
      <c r="D536" s="304">
        <f ca="1">IF(ROUND(E535,0)&lt;&gt;0, IF(ROUND(D535,0)&lt;&gt;0, 'Career Comparison'!$F$28-C536, 0), 0)</f>
        <v>0</v>
      </c>
      <c r="E536" s="304">
        <f ca="1">IF(G$7&gt;=B536, E535*(1+'Government Figures'!$D$8/12)-'Career Comparison'!$F$28, 0)</f>
        <v>0</v>
      </c>
      <c r="F536" s="312">
        <f>'College Schedule'!$L$8*(1+'Government Figures'!$B$8/12)^B536</f>
        <v>4854.4914432647065</v>
      </c>
      <c r="G536" s="278">
        <v>1</v>
      </c>
      <c r="H536" s="279">
        <f t="shared" ca="1" si="70"/>
        <v>0.17320110972991043</v>
      </c>
      <c r="I536" s="304">
        <f>G536*('College Schedule'!$L$9)*(1+'Government Figures'!$B$8/12)^B536</f>
        <v>10810.720339377773</v>
      </c>
      <c r="J536" s="304">
        <f t="shared" ca="1" si="65"/>
        <v>4083.8001363531212</v>
      </c>
      <c r="K536" s="304">
        <f t="shared" ca="1" si="66"/>
        <v>721.26354792269444</v>
      </c>
      <c r="L536" s="278">
        <v>1</v>
      </c>
      <c r="M536" s="279">
        <f t="shared" si="71"/>
        <v>0.13735784313725496</v>
      </c>
      <c r="N536" s="304">
        <f>L536*('College Schedule'!$L$10)*(1+'Government Figures'!$B$8/12)^B536</f>
        <v>6486.4322036266649</v>
      </c>
      <c r="O536" s="304">
        <f t="shared" si="67"/>
        <v>740.97842321576809</v>
      </c>
      <c r="P536" s="304">
        <f t="shared" si="68"/>
        <v>130.86848244733892</v>
      </c>
      <c r="Q536" s="274"/>
      <c r="R536" s="281"/>
      <c r="S536" s="281"/>
      <c r="T536" s="281"/>
      <c r="U536" s="281"/>
      <c r="V536" s="281"/>
      <c r="W536" s="281"/>
      <c r="X536" s="281"/>
      <c r="Y536" s="281"/>
      <c r="Z536" s="281"/>
      <c r="AA536" s="281"/>
      <c r="AB536" s="281"/>
      <c r="AC536" s="281"/>
      <c r="AD536" s="281"/>
    </row>
    <row r="537" spans="1:30" s="288" customFormat="1" x14ac:dyDescent="0.25">
      <c r="A537" s="287"/>
      <c r="B537" s="274">
        <f t="shared" si="69"/>
        <v>522</v>
      </c>
      <c r="C537" s="304">
        <f t="shared" ca="1" si="64"/>
        <v>0</v>
      </c>
      <c r="D537" s="304">
        <f ca="1">IF(ROUND(E536,0)&lt;&gt;0, IF(ROUND(D536,0)&lt;&gt;0, 'Career Comparison'!$F$28-C537, 0), 0)</f>
        <v>0</v>
      </c>
      <c r="E537" s="304">
        <f ca="1">IF(G$7&gt;=B537, E536*(1+'Government Figures'!$D$8/12)-'Career Comparison'!$F$28, 0)</f>
        <v>0</v>
      </c>
      <c r="F537" s="312">
        <f>'College Schedule'!$L$8*(1+'Government Figures'!$B$8/12)^B537</f>
        <v>4862.5822623368158</v>
      </c>
      <c r="G537" s="278">
        <v>1</v>
      </c>
      <c r="H537" s="279">
        <f t="shared" ca="1" si="70"/>
        <v>0.17320110972991043</v>
      </c>
      <c r="I537" s="304">
        <f>G537*('College Schedule'!$L$9)*(1+'Government Figures'!$B$8/12)^B537</f>
        <v>10828.738206610071</v>
      </c>
      <c r="J537" s="304">
        <f t="shared" ca="1" si="65"/>
        <v>4090.6064699137105</v>
      </c>
      <c r="K537" s="304">
        <f t="shared" ca="1" si="66"/>
        <v>720.06543571684279</v>
      </c>
      <c r="L537" s="278">
        <v>1</v>
      </c>
      <c r="M537" s="279">
        <f t="shared" si="71"/>
        <v>0.13735784313725496</v>
      </c>
      <c r="N537" s="304">
        <f>L537*('College Schedule'!$L$10)*(1+'Government Figures'!$B$8/12)^B537</f>
        <v>6497.2429239660441</v>
      </c>
      <c r="O537" s="304">
        <f t="shared" si="67"/>
        <v>742.21338725446094</v>
      </c>
      <c r="P537" s="304">
        <f t="shared" si="68"/>
        <v>130.6510929416124</v>
      </c>
      <c r="Q537" s="274"/>
      <c r="R537" s="281"/>
      <c r="S537" s="281"/>
      <c r="T537" s="281"/>
      <c r="U537" s="281"/>
      <c r="V537" s="281"/>
      <c r="W537" s="281"/>
      <c r="X537" s="281"/>
      <c r="Y537" s="281"/>
      <c r="Z537" s="281"/>
      <c r="AA537" s="281"/>
      <c r="AB537" s="281"/>
      <c r="AC537" s="281"/>
      <c r="AD537" s="281"/>
    </row>
    <row r="538" spans="1:30" s="288" customFormat="1" x14ac:dyDescent="0.25">
      <c r="A538" s="287"/>
      <c r="B538" s="274">
        <f t="shared" si="69"/>
        <v>523</v>
      </c>
      <c r="C538" s="304">
        <f t="shared" ca="1" si="64"/>
        <v>0</v>
      </c>
      <c r="D538" s="304">
        <f ca="1">IF(ROUND(E537,0)&lt;&gt;0, IF(ROUND(D537,0)&lt;&gt;0, 'Career Comparison'!$F$28-C538, 0), 0)</f>
        <v>0</v>
      </c>
      <c r="E538" s="304">
        <f ca="1">IF(G$7&gt;=B538, E537*(1+'Government Figures'!$D$8/12)-'Career Comparison'!$F$28, 0)</f>
        <v>0</v>
      </c>
      <c r="F538" s="312">
        <f>'College Schedule'!$L$8*(1+'Government Figures'!$B$8/12)^B538</f>
        <v>4870.6865661073771</v>
      </c>
      <c r="G538" s="278">
        <v>1</v>
      </c>
      <c r="H538" s="279">
        <f t="shared" ca="1" si="70"/>
        <v>0.17320110972991043</v>
      </c>
      <c r="I538" s="304">
        <f>G538*('College Schedule'!$L$9)*(1+'Government Figures'!$B$8/12)^B538</f>
        <v>10846.786103621089</v>
      </c>
      <c r="J538" s="304">
        <f t="shared" ca="1" si="65"/>
        <v>4097.4241473635684</v>
      </c>
      <c r="K538" s="304">
        <f t="shared" ca="1" si="66"/>
        <v>718.86931373060236</v>
      </c>
      <c r="L538" s="278">
        <v>1</v>
      </c>
      <c r="M538" s="279">
        <f t="shared" si="71"/>
        <v>0.13735784313725496</v>
      </c>
      <c r="N538" s="304">
        <f>L538*('College Schedule'!$L$10)*(1+'Government Figures'!$B$8/12)^B538</f>
        <v>6508.0716621726542</v>
      </c>
      <c r="O538" s="304">
        <f t="shared" si="67"/>
        <v>743.45040956655157</v>
      </c>
      <c r="P538" s="304">
        <f t="shared" si="68"/>
        <v>130.43406454802164</v>
      </c>
      <c r="Q538" s="274"/>
      <c r="R538" s="281"/>
      <c r="S538" s="281"/>
      <c r="T538" s="281"/>
      <c r="U538" s="281"/>
      <c r="V538" s="281"/>
      <c r="W538" s="281"/>
      <c r="X538" s="281"/>
      <c r="Y538" s="281"/>
      <c r="Z538" s="281"/>
      <c r="AA538" s="281"/>
      <c r="AB538" s="281"/>
      <c r="AC538" s="281"/>
      <c r="AD538" s="281"/>
    </row>
    <row r="539" spans="1:30" s="288" customFormat="1" x14ac:dyDescent="0.25">
      <c r="A539" s="287"/>
      <c r="B539" s="274">
        <f t="shared" si="69"/>
        <v>524</v>
      </c>
      <c r="C539" s="304">
        <f t="shared" ca="1" si="64"/>
        <v>0</v>
      </c>
      <c r="D539" s="304">
        <f ca="1">IF(ROUND(E538,0)&lt;&gt;0, IF(ROUND(D538,0)&lt;&gt;0, 'Career Comparison'!$F$28-C539, 0), 0)</f>
        <v>0</v>
      </c>
      <c r="E539" s="304">
        <f ca="1">IF(G$7&gt;=B539, E538*(1+'Government Figures'!$D$8/12)-'Career Comparison'!$F$28, 0)</f>
        <v>0</v>
      </c>
      <c r="F539" s="312">
        <f>'College Schedule'!$L$8*(1+'Government Figures'!$B$8/12)^B539</f>
        <v>4878.8043770508893</v>
      </c>
      <c r="G539" s="278">
        <v>1</v>
      </c>
      <c r="H539" s="279">
        <f t="shared" ca="1" si="70"/>
        <v>0.17320110972991043</v>
      </c>
      <c r="I539" s="304">
        <f>G539*('College Schedule'!$L$9)*(1+'Government Figures'!$B$8/12)^B539</f>
        <v>10864.864080460457</v>
      </c>
      <c r="J539" s="304">
        <f t="shared" ca="1" si="65"/>
        <v>4104.2531876091734</v>
      </c>
      <c r="K539" s="304">
        <f t="shared" ca="1" si="66"/>
        <v>717.67517865796003</v>
      </c>
      <c r="L539" s="278">
        <v>1</v>
      </c>
      <c r="M539" s="279">
        <f t="shared" si="71"/>
        <v>0.13735784313725496</v>
      </c>
      <c r="N539" s="304">
        <f>L539*('College Schedule'!$L$10)*(1+'Government Figures'!$B$8/12)^B539</f>
        <v>6518.9184482762748</v>
      </c>
      <c r="O539" s="304">
        <f t="shared" si="67"/>
        <v>744.68949358249574</v>
      </c>
      <c r="P539" s="304">
        <f t="shared" si="68"/>
        <v>130.21739666671263</v>
      </c>
      <c r="Q539" s="274"/>
      <c r="R539" s="281"/>
      <c r="S539" s="281"/>
      <c r="T539" s="281"/>
      <c r="U539" s="281"/>
      <c r="V539" s="281"/>
      <c r="W539" s="281"/>
      <c r="X539" s="281"/>
      <c r="Y539" s="281"/>
      <c r="Z539" s="281"/>
      <c r="AA539" s="281"/>
      <c r="AB539" s="281"/>
      <c r="AC539" s="281"/>
      <c r="AD539" s="281"/>
    </row>
    <row r="540" spans="1:30" s="288" customFormat="1" x14ac:dyDescent="0.25">
      <c r="A540" s="287"/>
      <c r="B540" s="274">
        <f t="shared" si="69"/>
        <v>525</v>
      </c>
      <c r="C540" s="304">
        <f t="shared" ca="1" si="64"/>
        <v>0</v>
      </c>
      <c r="D540" s="304">
        <f ca="1">IF(ROUND(E539,0)&lt;&gt;0, IF(ROUND(D539,0)&lt;&gt;0, 'Career Comparison'!$F$28-C540, 0), 0)</f>
        <v>0</v>
      </c>
      <c r="E540" s="304">
        <f ca="1">IF(G$7&gt;=B540, E539*(1+'Government Figures'!$D$8/12)-'Career Comparison'!$F$28, 0)</f>
        <v>0</v>
      </c>
      <c r="F540" s="312">
        <f>'College Schedule'!$L$8*(1+'Government Figures'!$B$8/12)^B540</f>
        <v>4886.9357176793083</v>
      </c>
      <c r="G540" s="278">
        <v>1</v>
      </c>
      <c r="H540" s="279">
        <f t="shared" ca="1" si="70"/>
        <v>0.17320110972991043</v>
      </c>
      <c r="I540" s="304">
        <f>G540*('College Schedule'!$L$9)*(1+'Government Figures'!$B$8/12)^B540</f>
        <v>10882.972187261226</v>
      </c>
      <c r="J540" s="304">
        <f t="shared" ca="1" si="65"/>
        <v>4111.0936095885236</v>
      </c>
      <c r="K540" s="304">
        <f t="shared" ca="1" si="66"/>
        <v>716.48302719839569</v>
      </c>
      <c r="L540" s="278">
        <v>1</v>
      </c>
      <c r="M540" s="279">
        <f t="shared" si="71"/>
        <v>0.13735784313725496</v>
      </c>
      <c r="N540" s="304">
        <f>L540*('College Schedule'!$L$10)*(1+'Government Figures'!$B$8/12)^B540</f>
        <v>6529.7833123567361</v>
      </c>
      <c r="O540" s="304">
        <f t="shared" si="67"/>
        <v>745.9306427384663</v>
      </c>
      <c r="P540" s="304">
        <f t="shared" si="68"/>
        <v>130.00108869882769</v>
      </c>
      <c r="Q540" s="274"/>
      <c r="R540" s="281"/>
      <c r="S540" s="281"/>
      <c r="T540" s="281"/>
      <c r="U540" s="281"/>
      <c r="V540" s="281"/>
      <c r="W540" s="281"/>
      <c r="X540" s="281"/>
      <c r="Y540" s="281"/>
      <c r="Z540" s="281"/>
      <c r="AA540" s="281"/>
      <c r="AB540" s="281"/>
      <c r="AC540" s="281"/>
      <c r="AD540" s="281"/>
    </row>
    <row r="541" spans="1:30" s="288" customFormat="1" x14ac:dyDescent="0.25">
      <c r="A541" s="287"/>
      <c r="B541" s="274">
        <f t="shared" si="69"/>
        <v>526</v>
      </c>
      <c r="C541" s="304">
        <f t="shared" ca="1" si="64"/>
        <v>0</v>
      </c>
      <c r="D541" s="304">
        <f ca="1">IF(ROUND(E540,0)&lt;&gt;0, IF(ROUND(D540,0)&lt;&gt;0, 'Career Comparison'!$F$28-C541, 0), 0)</f>
        <v>0</v>
      </c>
      <c r="E541" s="304">
        <f ca="1">IF(G$7&gt;=B541, E540*(1+'Government Figures'!$D$8/12)-'Career Comparison'!$F$28, 0)</f>
        <v>0</v>
      </c>
      <c r="F541" s="312">
        <f>'College Schedule'!$L$8*(1+'Government Figures'!$B$8/12)^B541</f>
        <v>4895.080610542107</v>
      </c>
      <c r="G541" s="278">
        <v>1</v>
      </c>
      <c r="H541" s="279">
        <f t="shared" ca="1" si="70"/>
        <v>0.17320110972991043</v>
      </c>
      <c r="I541" s="304">
        <f>G541*('College Schedule'!$L$9)*(1+'Government Figures'!$B$8/12)^B541</f>
        <v>10901.110474239995</v>
      </c>
      <c r="J541" s="304">
        <f t="shared" ca="1" si="65"/>
        <v>4117.9454322711699</v>
      </c>
      <c r="K541" s="304">
        <f t="shared" ca="1" si="66"/>
        <v>715.29285605686971</v>
      </c>
      <c r="L541" s="278">
        <v>1</v>
      </c>
      <c r="M541" s="279">
        <f t="shared" si="71"/>
        <v>0.13735784313725496</v>
      </c>
      <c r="N541" s="304">
        <f>L541*('College Schedule'!$L$10)*(1+'Government Figures'!$B$8/12)^B541</f>
        <v>6540.6662845439978</v>
      </c>
      <c r="O541" s="304">
        <f t="shared" si="67"/>
        <v>747.1738604763641</v>
      </c>
      <c r="P541" s="304">
        <f t="shared" si="68"/>
        <v>129.78514004650407</v>
      </c>
      <c r="Q541" s="274"/>
      <c r="R541" s="281"/>
      <c r="S541" s="281"/>
      <c r="T541" s="281"/>
      <c r="U541" s="281"/>
      <c r="V541" s="281"/>
      <c r="W541" s="281"/>
      <c r="X541" s="281"/>
      <c r="Y541" s="281"/>
      <c r="Z541" s="281"/>
      <c r="AA541" s="281"/>
      <c r="AB541" s="281"/>
      <c r="AC541" s="281"/>
      <c r="AD541" s="281"/>
    </row>
    <row r="542" spans="1:30" s="288" customFormat="1" x14ac:dyDescent="0.25">
      <c r="A542" s="287"/>
      <c r="B542" s="274">
        <f t="shared" si="69"/>
        <v>527</v>
      </c>
      <c r="C542" s="304">
        <f t="shared" ca="1" si="64"/>
        <v>0</v>
      </c>
      <c r="D542" s="304">
        <f ca="1">IF(ROUND(E541,0)&lt;&gt;0, IF(ROUND(D541,0)&lt;&gt;0, 'Career Comparison'!$F$28-C542, 0), 0)</f>
        <v>0</v>
      </c>
      <c r="E542" s="304">
        <f ca="1">IF(G$7&gt;=B542, E541*(1+'Government Figures'!$D$8/12)-'Career Comparison'!$F$28, 0)</f>
        <v>0</v>
      </c>
      <c r="F542" s="312">
        <f>'College Schedule'!$L$8*(1+'Government Figures'!$B$8/12)^B542</f>
        <v>4903.2390782263446</v>
      </c>
      <c r="G542" s="278">
        <v>1</v>
      </c>
      <c r="H542" s="279">
        <f t="shared" ca="1" si="70"/>
        <v>0.17320110972991043</v>
      </c>
      <c r="I542" s="304">
        <f>G542*('College Schedule'!$L$9)*(1+'Government Figures'!$B$8/12)^B542</f>
        <v>10919.278991697061</v>
      </c>
      <c r="J542" s="304">
        <f t="shared" ca="1" si="65"/>
        <v>4124.8086746582885</v>
      </c>
      <c r="K542" s="304">
        <f t="shared" ca="1" si="66"/>
        <v>714.10466194381831</v>
      </c>
      <c r="L542" s="278">
        <v>1</v>
      </c>
      <c r="M542" s="279">
        <f t="shared" si="71"/>
        <v>0.13735784313725496</v>
      </c>
      <c r="N542" s="304">
        <f>L542*('College Schedule'!$L$10)*(1+'Government Figures'!$B$8/12)^B542</f>
        <v>6551.5673950182381</v>
      </c>
      <c r="O542" s="304">
        <f t="shared" si="67"/>
        <v>748.41915024382433</v>
      </c>
      <c r="P542" s="304">
        <f t="shared" si="68"/>
        <v>129.56955011287192</v>
      </c>
      <c r="Q542" s="274"/>
      <c r="R542" s="281"/>
      <c r="S542" s="281"/>
      <c r="T542" s="281"/>
      <c r="U542" s="281"/>
      <c r="V542" s="281"/>
      <c r="W542" s="281"/>
      <c r="X542" s="281"/>
      <c r="Y542" s="281"/>
      <c r="Z542" s="281"/>
      <c r="AA542" s="281"/>
      <c r="AB542" s="281"/>
      <c r="AC542" s="281"/>
      <c r="AD542" s="281"/>
    </row>
    <row r="543" spans="1:30" s="288" customFormat="1" x14ac:dyDescent="0.25">
      <c r="A543" s="287"/>
      <c r="B543" s="274">
        <f t="shared" si="69"/>
        <v>528</v>
      </c>
      <c r="C543" s="304">
        <f t="shared" ca="1" si="64"/>
        <v>0</v>
      </c>
      <c r="D543" s="304">
        <f ca="1">IF(ROUND(E542,0)&lt;&gt;0, IF(ROUND(D542,0)&lt;&gt;0, 'Career Comparison'!$F$28-C543, 0), 0)</f>
        <v>0</v>
      </c>
      <c r="E543" s="304">
        <f ca="1">IF(G$7&gt;=B543, E542*(1+'Government Figures'!$D$8/12)-'Career Comparison'!$F$28, 0)</f>
        <v>0</v>
      </c>
      <c r="F543" s="312">
        <f>'College Schedule'!$L$8*(1+'Government Figures'!$B$8/12)^B543</f>
        <v>4911.4111433567232</v>
      </c>
      <c r="G543" s="278">
        <v>1</v>
      </c>
      <c r="H543" s="279">
        <f t="shared" ca="1" si="70"/>
        <v>0.17320110972991043</v>
      </c>
      <c r="I543" s="304">
        <f>G543*('College Schedule'!$L$9)*(1+'Government Figures'!$B$8/12)^B543</f>
        <v>10937.477790016559</v>
      </c>
      <c r="J543" s="304">
        <f t="shared" ca="1" si="65"/>
        <v>4131.6833557827194</v>
      </c>
      <c r="K543" s="304">
        <f t="shared" ca="1" si="66"/>
        <v>712.91844157514095</v>
      </c>
      <c r="L543" s="278">
        <v>1</v>
      </c>
      <c r="M543" s="279">
        <f t="shared" si="71"/>
        <v>0.13735784313725496</v>
      </c>
      <c r="N543" s="304">
        <f>L543*('College Schedule'!$L$10)*(1+'Government Figures'!$B$8/12)^B543</f>
        <v>6562.4866740099369</v>
      </c>
      <c r="O543" s="304">
        <f t="shared" si="67"/>
        <v>749.66651549423113</v>
      </c>
      <c r="P543" s="304">
        <f t="shared" si="68"/>
        <v>129.35431830205326</v>
      </c>
      <c r="Q543" s="274"/>
      <c r="R543" s="281"/>
      <c r="S543" s="281"/>
      <c r="T543" s="281"/>
      <c r="U543" s="281"/>
      <c r="V543" s="281"/>
      <c r="W543" s="281"/>
      <c r="X543" s="281"/>
      <c r="Y543" s="281"/>
      <c r="Z543" s="281"/>
      <c r="AA543" s="281"/>
      <c r="AB543" s="281"/>
      <c r="AC543" s="281"/>
      <c r="AD543" s="281"/>
    </row>
    <row r="544" spans="1:30" s="288" customFormat="1" x14ac:dyDescent="0.25">
      <c r="A544" s="287"/>
      <c r="B544" s="274">
        <f t="shared" si="69"/>
        <v>529</v>
      </c>
      <c r="C544" s="304">
        <f t="shared" ca="1" si="64"/>
        <v>0</v>
      </c>
      <c r="D544" s="304">
        <f ca="1">IF(ROUND(E543,0)&lt;&gt;0, IF(ROUND(D543,0)&lt;&gt;0, 'Career Comparison'!$F$28-C544, 0), 0)</f>
        <v>0</v>
      </c>
      <c r="E544" s="304">
        <f ca="1">IF(G$7&gt;=B544, E543*(1+'Government Figures'!$D$8/12)-'Career Comparison'!$F$28, 0)</f>
        <v>0</v>
      </c>
      <c r="F544" s="312">
        <f>'College Schedule'!$L$8*(1+'Government Figures'!$B$8/12)^B544</f>
        <v>4919.5968285956505</v>
      </c>
      <c r="G544" s="278">
        <v>1</v>
      </c>
      <c r="H544" s="279">
        <f t="shared" ca="1" si="70"/>
        <v>0.17320110972991043</v>
      </c>
      <c r="I544" s="304">
        <f>G544*('College Schedule'!$L$9)*(1+'Government Figures'!$B$8/12)^B544</f>
        <v>10955.706919666587</v>
      </c>
      <c r="J544" s="304">
        <f t="shared" ca="1" si="65"/>
        <v>4138.5694947090242</v>
      </c>
      <c r="K544" s="304">
        <f t="shared" ca="1" si="66"/>
        <v>711.7341916721922</v>
      </c>
      <c r="L544" s="278">
        <v>1</v>
      </c>
      <c r="M544" s="279">
        <f t="shared" si="71"/>
        <v>0.13735784313725496</v>
      </c>
      <c r="N544" s="304">
        <f>L544*('College Schedule'!$L$10)*(1+'Government Figures'!$B$8/12)^B544</f>
        <v>6573.4241517999526</v>
      </c>
      <c r="O544" s="304">
        <f t="shared" si="67"/>
        <v>750.91595968672118</v>
      </c>
      <c r="P544" s="304">
        <f t="shared" si="68"/>
        <v>129.13944401915941</v>
      </c>
      <c r="Q544" s="274"/>
      <c r="R544" s="281"/>
      <c r="S544" s="281"/>
      <c r="T544" s="281"/>
      <c r="U544" s="281"/>
      <c r="V544" s="281"/>
      <c r="W544" s="281"/>
      <c r="X544" s="281"/>
      <c r="Y544" s="281"/>
      <c r="Z544" s="281"/>
      <c r="AA544" s="281"/>
      <c r="AB544" s="281"/>
      <c r="AC544" s="281"/>
      <c r="AD544" s="281"/>
    </row>
    <row r="545" spans="1:30" s="288" customFormat="1" x14ac:dyDescent="0.25">
      <c r="A545" s="287"/>
      <c r="B545" s="274">
        <f t="shared" si="69"/>
        <v>530</v>
      </c>
      <c r="C545" s="304">
        <f t="shared" ca="1" si="64"/>
        <v>0</v>
      </c>
      <c r="D545" s="304">
        <f ca="1">IF(ROUND(E544,0)&lt;&gt;0, IF(ROUND(D544,0)&lt;&gt;0, 'Career Comparison'!$F$28-C545, 0), 0)</f>
        <v>0</v>
      </c>
      <c r="E545" s="304">
        <f ca="1">IF(G$7&gt;=B545, E544*(1+'Government Figures'!$D$8/12)-'Career Comparison'!$F$28, 0)</f>
        <v>0</v>
      </c>
      <c r="F545" s="312">
        <f>'College Schedule'!$L$8*(1+'Government Figures'!$B$8/12)^B545</f>
        <v>4927.7961566433105</v>
      </c>
      <c r="G545" s="278">
        <v>1</v>
      </c>
      <c r="H545" s="279">
        <f t="shared" ca="1" si="70"/>
        <v>0.17320110972991043</v>
      </c>
      <c r="I545" s="304">
        <f>G545*('College Schedule'!$L$9)*(1+'Government Figures'!$B$8/12)^B545</f>
        <v>10973.966431199366</v>
      </c>
      <c r="J545" s="304">
        <f t="shared" ca="1" si="65"/>
        <v>4145.467110533541</v>
      </c>
      <c r="K545" s="304">
        <f t="shared" ca="1" si="66"/>
        <v>710.55190896177351</v>
      </c>
      <c r="L545" s="278">
        <v>1</v>
      </c>
      <c r="M545" s="279">
        <f t="shared" si="71"/>
        <v>0.13735784313725496</v>
      </c>
      <c r="N545" s="304">
        <f>L545*('College Schedule'!$L$10)*(1+'Government Figures'!$B$8/12)^B545</f>
        <v>6584.3798587196206</v>
      </c>
      <c r="O545" s="304">
        <f t="shared" si="67"/>
        <v>752.16748628619916</v>
      </c>
      <c r="P545" s="304">
        <f t="shared" si="68"/>
        <v>128.9249266702904</v>
      </c>
      <c r="Q545" s="274"/>
      <c r="R545" s="281"/>
      <c r="S545" s="281"/>
      <c r="T545" s="281"/>
      <c r="U545" s="281"/>
      <c r="V545" s="281"/>
      <c r="W545" s="281"/>
      <c r="X545" s="281"/>
      <c r="Y545" s="281"/>
      <c r="Z545" s="281"/>
      <c r="AA545" s="281"/>
      <c r="AB545" s="281"/>
      <c r="AC545" s="281"/>
      <c r="AD545" s="281"/>
    </row>
    <row r="546" spans="1:30" s="288" customFormat="1" x14ac:dyDescent="0.25">
      <c r="A546" s="287"/>
      <c r="B546" s="274">
        <f t="shared" si="69"/>
        <v>531</v>
      </c>
      <c r="C546" s="304">
        <f t="shared" ca="1" si="64"/>
        <v>0</v>
      </c>
      <c r="D546" s="304">
        <f ca="1">IF(ROUND(E545,0)&lt;&gt;0, IF(ROUND(D545,0)&lt;&gt;0, 'Career Comparison'!$F$28-C546, 0), 0)</f>
        <v>0</v>
      </c>
      <c r="E546" s="304">
        <f ca="1">IF(G$7&gt;=B546, E545*(1+'Government Figures'!$D$8/12)-'Career Comparison'!$F$28, 0)</f>
        <v>0</v>
      </c>
      <c r="F546" s="312">
        <f>'College Schedule'!$L$8*(1+'Government Figures'!$B$8/12)^B546</f>
        <v>4936.0091502377163</v>
      </c>
      <c r="G546" s="278">
        <v>1</v>
      </c>
      <c r="H546" s="279">
        <f t="shared" ca="1" si="70"/>
        <v>0.17320110972991043</v>
      </c>
      <c r="I546" s="304">
        <f>G546*('College Schedule'!$L$9)*(1+'Government Figures'!$B$8/12)^B546</f>
        <v>10992.256375251365</v>
      </c>
      <c r="J546" s="304">
        <f t="shared" ca="1" si="65"/>
        <v>4152.3762223844296</v>
      </c>
      <c r="K546" s="304">
        <f t="shared" ca="1" si="66"/>
        <v>709.37159017612248</v>
      </c>
      <c r="L546" s="278">
        <v>1</v>
      </c>
      <c r="M546" s="279">
        <f t="shared" si="71"/>
        <v>0.13735784313725496</v>
      </c>
      <c r="N546" s="304">
        <f>L546*('College Schedule'!$L$10)*(1+'Government Figures'!$B$8/12)^B546</f>
        <v>6595.3538251508198</v>
      </c>
      <c r="O546" s="304">
        <f t="shared" si="67"/>
        <v>753.42109876334234</v>
      </c>
      <c r="P546" s="304">
        <f t="shared" si="68"/>
        <v>128.71076566253234</v>
      </c>
      <c r="Q546" s="274"/>
      <c r="R546" s="281"/>
      <c r="S546" s="281"/>
      <c r="T546" s="281"/>
      <c r="U546" s="281"/>
      <c r="V546" s="281"/>
      <c r="W546" s="281"/>
      <c r="X546" s="281"/>
      <c r="Y546" s="281"/>
      <c r="Z546" s="281"/>
      <c r="AA546" s="281"/>
      <c r="AB546" s="281"/>
      <c r="AC546" s="281"/>
      <c r="AD546" s="281"/>
    </row>
    <row r="547" spans="1:30" s="288" customFormat="1" x14ac:dyDescent="0.25">
      <c r="A547" s="287"/>
      <c r="B547" s="274">
        <f t="shared" si="69"/>
        <v>532</v>
      </c>
      <c r="C547" s="304">
        <f t="shared" ca="1" si="64"/>
        <v>0</v>
      </c>
      <c r="D547" s="304">
        <f ca="1">IF(ROUND(E546,0)&lt;&gt;0, IF(ROUND(D546,0)&lt;&gt;0, 'Career Comparison'!$F$28-C547, 0), 0)</f>
        <v>0</v>
      </c>
      <c r="E547" s="304">
        <f ca="1">IF(G$7&gt;=B547, E546*(1+'Government Figures'!$D$8/12)-'Career Comparison'!$F$28, 0)</f>
        <v>0</v>
      </c>
      <c r="F547" s="312">
        <f>'College Schedule'!$L$8*(1+'Government Figures'!$B$8/12)^B547</f>
        <v>4944.235832154779</v>
      </c>
      <c r="G547" s="278">
        <v>1</v>
      </c>
      <c r="H547" s="279">
        <f t="shared" ca="1" si="70"/>
        <v>0.17320110972991043</v>
      </c>
      <c r="I547" s="304">
        <f>G547*('College Schedule'!$L$9)*(1+'Government Figures'!$B$8/12)^B547</f>
        <v>11010.57680254345</v>
      </c>
      <c r="J547" s="304">
        <f t="shared" ca="1" si="65"/>
        <v>4159.2968494217357</v>
      </c>
      <c r="K547" s="304">
        <f t="shared" ca="1" si="66"/>
        <v>708.19323205290607</v>
      </c>
      <c r="L547" s="278">
        <v>1</v>
      </c>
      <c r="M547" s="279">
        <f t="shared" si="71"/>
        <v>0.13735784313725496</v>
      </c>
      <c r="N547" s="304">
        <f>L547*('College Schedule'!$L$10)*(1+'Government Figures'!$B$8/12)^B547</f>
        <v>6606.3460815260714</v>
      </c>
      <c r="O547" s="304">
        <f t="shared" si="67"/>
        <v>754.67680059461509</v>
      </c>
      <c r="P547" s="304">
        <f t="shared" si="68"/>
        <v>128.49696040395676</v>
      </c>
      <c r="Q547" s="274"/>
      <c r="R547" s="281"/>
      <c r="S547" s="281"/>
      <c r="T547" s="281"/>
      <c r="U547" s="281"/>
      <c r="V547" s="281"/>
      <c r="W547" s="281"/>
      <c r="X547" s="281"/>
      <c r="Y547" s="281"/>
      <c r="Z547" s="281"/>
      <c r="AA547" s="281"/>
      <c r="AB547" s="281"/>
      <c r="AC547" s="281"/>
      <c r="AD547" s="281"/>
    </row>
    <row r="548" spans="1:30" s="288" customFormat="1" x14ac:dyDescent="0.25">
      <c r="A548" s="287"/>
      <c r="B548" s="274">
        <f t="shared" si="69"/>
        <v>533</v>
      </c>
      <c r="C548" s="304">
        <f t="shared" ca="1" si="64"/>
        <v>0</v>
      </c>
      <c r="D548" s="304">
        <f ca="1">IF(ROUND(E547,0)&lt;&gt;0, IF(ROUND(D547,0)&lt;&gt;0, 'Career Comparison'!$F$28-C548, 0), 0)</f>
        <v>0</v>
      </c>
      <c r="E548" s="304">
        <f ca="1">IF(G$7&gt;=B548, E547*(1+'Government Figures'!$D$8/12)-'Career Comparison'!$F$28, 0)</f>
        <v>0</v>
      </c>
      <c r="F548" s="312">
        <f>'College Schedule'!$L$8*(1+'Government Figures'!$B$8/12)^B548</f>
        <v>4952.476225208371</v>
      </c>
      <c r="G548" s="278">
        <v>1</v>
      </c>
      <c r="H548" s="279">
        <f t="shared" ca="1" si="70"/>
        <v>0.17320110972991043</v>
      </c>
      <c r="I548" s="304">
        <f>G548*('College Schedule'!$L$9)*(1+'Government Figures'!$B$8/12)^B548</f>
        <v>11028.927763881024</v>
      </c>
      <c r="J548" s="304">
        <f t="shared" ca="1" si="65"/>
        <v>4166.22901083744</v>
      </c>
      <c r="K548" s="304">
        <f t="shared" ca="1" si="66"/>
        <v>707.01683133521044</v>
      </c>
      <c r="L548" s="278">
        <v>1</v>
      </c>
      <c r="M548" s="279">
        <f t="shared" si="71"/>
        <v>0.13735784313725496</v>
      </c>
      <c r="N548" s="304">
        <f>L548*('College Schedule'!$L$10)*(1+'Government Figures'!$B$8/12)^B548</f>
        <v>6617.3566583286156</v>
      </c>
      <c r="O548" s="304">
        <f t="shared" si="67"/>
        <v>755.93459526227252</v>
      </c>
      <c r="P548" s="304">
        <f t="shared" si="68"/>
        <v>128.28351030361793</v>
      </c>
      <c r="Q548" s="274"/>
      <c r="R548" s="281"/>
      <c r="S548" s="281"/>
      <c r="T548" s="281"/>
      <c r="U548" s="281"/>
      <c r="V548" s="281"/>
      <c r="W548" s="281"/>
      <c r="X548" s="281"/>
      <c r="Y548" s="281"/>
      <c r="Z548" s="281"/>
      <c r="AA548" s="281"/>
      <c r="AB548" s="281"/>
      <c r="AC548" s="281"/>
      <c r="AD548" s="281"/>
    </row>
    <row r="549" spans="1:30" s="288" customFormat="1" x14ac:dyDescent="0.25">
      <c r="A549" s="287"/>
      <c r="B549" s="274">
        <f t="shared" si="69"/>
        <v>534</v>
      </c>
      <c r="C549" s="304">
        <f t="shared" ca="1" si="64"/>
        <v>0</v>
      </c>
      <c r="D549" s="304">
        <f ca="1">IF(ROUND(E548,0)&lt;&gt;0, IF(ROUND(D548,0)&lt;&gt;0, 'Career Comparison'!$F$28-C549, 0), 0)</f>
        <v>0</v>
      </c>
      <c r="E549" s="304">
        <f ca="1">IF(G$7&gt;=B549, E548*(1+'Government Figures'!$D$8/12)-'Career Comparison'!$F$28, 0)</f>
        <v>0</v>
      </c>
      <c r="F549" s="312">
        <f>'College Schedule'!$L$8*(1+'Government Figures'!$B$8/12)^B549</f>
        <v>4960.7303522503853</v>
      </c>
      <c r="G549" s="278">
        <v>1</v>
      </c>
      <c r="H549" s="279">
        <f t="shared" ca="1" si="70"/>
        <v>0.17320110972991043</v>
      </c>
      <c r="I549" s="304">
        <f>G549*('College Schedule'!$L$9)*(1+'Government Figures'!$B$8/12)^B549</f>
        <v>11047.30931015416</v>
      </c>
      <c r="J549" s="304">
        <f t="shared" ca="1" si="65"/>
        <v>4173.1727258555029</v>
      </c>
      <c r="K549" s="304">
        <f t="shared" ca="1" si="66"/>
        <v>705.84238477153053</v>
      </c>
      <c r="L549" s="278">
        <v>1</v>
      </c>
      <c r="M549" s="279">
        <f t="shared" si="71"/>
        <v>0.13735784313725496</v>
      </c>
      <c r="N549" s="304">
        <f>L549*('College Schedule'!$L$10)*(1+'Government Figures'!$B$8/12)^B549</f>
        <v>6628.3855860924969</v>
      </c>
      <c r="O549" s="304">
        <f t="shared" si="67"/>
        <v>757.1944862543769</v>
      </c>
      <c r="P549" s="304">
        <f t="shared" si="68"/>
        <v>128.07041477155218</v>
      </c>
      <c r="Q549" s="274"/>
      <c r="R549" s="281"/>
      <c r="S549" s="281"/>
      <c r="T549" s="281"/>
      <c r="U549" s="281"/>
      <c r="V549" s="281"/>
      <c r="W549" s="281"/>
      <c r="X549" s="281"/>
      <c r="Y549" s="281"/>
      <c r="Z549" s="281"/>
      <c r="AA549" s="281"/>
      <c r="AB549" s="281"/>
      <c r="AC549" s="281"/>
      <c r="AD549" s="281"/>
    </row>
    <row r="550" spans="1:30" s="288" customFormat="1" x14ac:dyDescent="0.25">
      <c r="A550" s="287"/>
      <c r="B550" s="274">
        <f t="shared" si="69"/>
        <v>535</v>
      </c>
      <c r="C550" s="304">
        <f t="shared" ca="1" si="64"/>
        <v>0</v>
      </c>
      <c r="D550" s="304">
        <f ca="1">IF(ROUND(E549,0)&lt;&gt;0, IF(ROUND(D549,0)&lt;&gt;0, 'Career Comparison'!$F$28-C550, 0), 0)</f>
        <v>0</v>
      </c>
      <c r="E550" s="304">
        <f ca="1">IF(G$7&gt;=B550, E549*(1+'Government Figures'!$D$8/12)-'Career Comparison'!$F$28, 0)</f>
        <v>0</v>
      </c>
      <c r="F550" s="312">
        <f>'College Schedule'!$L$8*(1+'Government Figures'!$B$8/12)^B550</f>
        <v>4968.9982361708026</v>
      </c>
      <c r="G550" s="278">
        <v>1</v>
      </c>
      <c r="H550" s="279">
        <f t="shared" ca="1" si="70"/>
        <v>0.17320110972991043</v>
      </c>
      <c r="I550" s="304">
        <f>G550*('College Schedule'!$L$9)*(1+'Government Figures'!$B$8/12)^B550</f>
        <v>11065.721492337751</v>
      </c>
      <c r="J550" s="304">
        <f t="shared" ca="1" si="65"/>
        <v>4180.1280137319281</v>
      </c>
      <c r="K550" s="304">
        <f t="shared" ca="1" si="66"/>
        <v>704.66988911576379</v>
      </c>
      <c r="L550" s="278">
        <v>1</v>
      </c>
      <c r="M550" s="279">
        <f t="shared" si="71"/>
        <v>0.13735784313725496</v>
      </c>
      <c r="N550" s="304">
        <f>L550*('College Schedule'!$L$10)*(1+'Government Figures'!$B$8/12)^B550</f>
        <v>6639.4328954026514</v>
      </c>
      <c r="O550" s="304">
        <f t="shared" si="67"/>
        <v>758.45647706480122</v>
      </c>
      <c r="P550" s="304">
        <f t="shared" si="68"/>
        <v>127.85767321877557</v>
      </c>
      <c r="Q550" s="274"/>
      <c r="R550" s="281"/>
      <c r="S550" s="281"/>
      <c r="T550" s="281"/>
      <c r="U550" s="281"/>
      <c r="V550" s="281"/>
      <c r="W550" s="281"/>
      <c r="X550" s="281"/>
      <c r="Y550" s="281"/>
      <c r="Z550" s="281"/>
      <c r="AA550" s="281"/>
      <c r="AB550" s="281"/>
      <c r="AC550" s="281"/>
      <c r="AD550" s="281"/>
    </row>
    <row r="551" spans="1:30" s="288" customFormat="1" x14ac:dyDescent="0.25">
      <c r="A551" s="287"/>
      <c r="B551" s="274">
        <f t="shared" si="69"/>
        <v>536</v>
      </c>
      <c r="C551" s="304">
        <f t="shared" ca="1" si="64"/>
        <v>0</v>
      </c>
      <c r="D551" s="304">
        <f ca="1">IF(ROUND(E550,0)&lt;&gt;0, IF(ROUND(D550,0)&lt;&gt;0, 'Career Comparison'!$F$28-C551, 0), 0)</f>
        <v>0</v>
      </c>
      <c r="E551" s="304">
        <f ca="1">IF(G$7&gt;=B551, E550*(1+'Government Figures'!$D$8/12)-'Career Comparison'!$F$28, 0)</f>
        <v>0</v>
      </c>
      <c r="F551" s="312">
        <f>'College Schedule'!$L$8*(1+'Government Figures'!$B$8/12)^B551</f>
        <v>4977.2798998977551</v>
      </c>
      <c r="G551" s="278">
        <v>1</v>
      </c>
      <c r="H551" s="279">
        <f t="shared" ca="1" si="70"/>
        <v>0.17320110972991043</v>
      </c>
      <c r="I551" s="304">
        <f>G551*('College Schedule'!$L$9)*(1+'Government Figures'!$B$8/12)^B551</f>
        <v>11084.16436149165</v>
      </c>
      <c r="J551" s="304">
        <f t="shared" ca="1" si="65"/>
        <v>4187.0948937548173</v>
      </c>
      <c r="K551" s="304">
        <f t="shared" ca="1" si="66"/>
        <v>703.49934112719984</v>
      </c>
      <c r="L551" s="278">
        <v>1</v>
      </c>
      <c r="M551" s="279">
        <f t="shared" si="71"/>
        <v>0.13735784313725496</v>
      </c>
      <c r="N551" s="304">
        <f>L551*('College Schedule'!$L$10)*(1+'Government Figures'!$B$8/12)^B551</f>
        <v>6650.4986168949908</v>
      </c>
      <c r="O551" s="304">
        <f t="shared" si="67"/>
        <v>759.7205711932429</v>
      </c>
      <c r="P551" s="304">
        <f t="shared" si="68"/>
        <v>127.64528505728266</v>
      </c>
      <c r="Q551" s="274"/>
      <c r="R551" s="281"/>
      <c r="S551" s="281"/>
      <c r="T551" s="281"/>
      <c r="U551" s="281"/>
      <c r="V551" s="281"/>
      <c r="W551" s="281"/>
      <c r="X551" s="281"/>
      <c r="Y551" s="281"/>
      <c r="Z551" s="281"/>
      <c r="AA551" s="281"/>
      <c r="AB551" s="281"/>
      <c r="AC551" s="281"/>
      <c r="AD551" s="281"/>
    </row>
    <row r="552" spans="1:30" s="288" customFormat="1" x14ac:dyDescent="0.25">
      <c r="A552" s="287"/>
      <c r="B552" s="274">
        <f t="shared" si="69"/>
        <v>537</v>
      </c>
      <c r="C552" s="304">
        <f t="shared" ca="1" si="64"/>
        <v>0</v>
      </c>
      <c r="D552" s="304">
        <f ca="1">IF(ROUND(E551,0)&lt;&gt;0, IF(ROUND(D551,0)&lt;&gt;0, 'Career Comparison'!$F$28-C552, 0), 0)</f>
        <v>0</v>
      </c>
      <c r="E552" s="304">
        <f ca="1">IF(G$7&gt;=B552, E551*(1+'Government Figures'!$D$8/12)-'Career Comparison'!$F$28, 0)</f>
        <v>0</v>
      </c>
      <c r="F552" s="312">
        <f>'College Schedule'!$L$8*(1+'Government Figures'!$B$8/12)^B552</f>
        <v>4985.5753663975838</v>
      </c>
      <c r="G552" s="278">
        <v>1</v>
      </c>
      <c r="H552" s="279">
        <f t="shared" ca="1" si="70"/>
        <v>0.17320110972991043</v>
      </c>
      <c r="I552" s="304">
        <f>G552*('College Schedule'!$L$9)*(1+'Government Figures'!$B$8/12)^B552</f>
        <v>11102.637968760801</v>
      </c>
      <c r="J552" s="304">
        <f t="shared" ca="1" si="65"/>
        <v>4194.0733852444073</v>
      </c>
      <c r="K552" s="304">
        <f t="shared" ca="1" si="66"/>
        <v>702.33073757050988</v>
      </c>
      <c r="L552" s="278">
        <v>1</v>
      </c>
      <c r="M552" s="279">
        <f t="shared" si="71"/>
        <v>0.13735784313725496</v>
      </c>
      <c r="N552" s="304">
        <f>L552*('College Schedule'!$L$10)*(1+'Government Figures'!$B$8/12)^B552</f>
        <v>6661.5827812564812</v>
      </c>
      <c r="O552" s="304">
        <f t="shared" si="67"/>
        <v>760.98677214523104</v>
      </c>
      <c r="P552" s="304">
        <f t="shared" si="68"/>
        <v>127.43324970004454</v>
      </c>
      <c r="Q552" s="274"/>
      <c r="R552" s="281"/>
      <c r="S552" s="281"/>
      <c r="T552" s="281"/>
      <c r="U552" s="281"/>
      <c r="V552" s="281"/>
      <c r="W552" s="281"/>
      <c r="X552" s="281"/>
      <c r="Y552" s="281"/>
      <c r="Z552" s="281"/>
      <c r="AA552" s="281"/>
      <c r="AB552" s="281"/>
      <c r="AC552" s="281"/>
      <c r="AD552" s="281"/>
    </row>
    <row r="553" spans="1:30" s="288" customFormat="1" x14ac:dyDescent="0.25">
      <c r="A553" s="287"/>
      <c r="B553" s="274">
        <f t="shared" si="69"/>
        <v>538</v>
      </c>
      <c r="C553" s="304">
        <f t="shared" ca="1" si="64"/>
        <v>0</v>
      </c>
      <c r="D553" s="304">
        <f ca="1">IF(ROUND(E552,0)&lt;&gt;0, IF(ROUND(D552,0)&lt;&gt;0, 'Career Comparison'!$F$28-C553, 0), 0)</f>
        <v>0</v>
      </c>
      <c r="E553" s="304">
        <f ca="1">IF(G$7&gt;=B553, E552*(1+'Government Figures'!$D$8/12)-'Career Comparison'!$F$28, 0)</f>
        <v>0</v>
      </c>
      <c r="F553" s="312">
        <f>'College Schedule'!$L$8*(1+'Government Figures'!$B$8/12)^B553</f>
        <v>4993.8846586749141</v>
      </c>
      <c r="G553" s="278">
        <v>1</v>
      </c>
      <c r="H553" s="279">
        <f t="shared" ca="1" si="70"/>
        <v>0.17320110972991043</v>
      </c>
      <c r="I553" s="304">
        <f>G553*('College Schedule'!$L$9)*(1+'Government Figures'!$B$8/12)^B553</f>
        <v>11121.142365375405</v>
      </c>
      <c r="J553" s="304">
        <f t="shared" ca="1" si="65"/>
        <v>4201.0635075531491</v>
      </c>
      <c r="K553" s="304">
        <f t="shared" ca="1" si="66"/>
        <v>701.16407521574172</v>
      </c>
      <c r="L553" s="278">
        <v>1</v>
      </c>
      <c r="M553" s="279">
        <f t="shared" si="71"/>
        <v>0.13735784313725496</v>
      </c>
      <c r="N553" s="304">
        <f>L553*('College Schedule'!$L$10)*(1+'Government Figures'!$B$8/12)^B553</f>
        <v>6672.6854192252431</v>
      </c>
      <c r="O553" s="304">
        <f t="shared" si="67"/>
        <v>762.25508343214005</v>
      </c>
      <c r="P553" s="304">
        <f t="shared" si="68"/>
        <v>127.22156656100796</v>
      </c>
      <c r="Q553" s="274"/>
      <c r="R553" s="281"/>
      <c r="S553" s="281"/>
      <c r="T553" s="281"/>
      <c r="U553" s="281"/>
      <c r="V553" s="281"/>
      <c r="W553" s="281"/>
      <c r="X553" s="281"/>
      <c r="Y553" s="281"/>
      <c r="Z553" s="281"/>
      <c r="AA553" s="281"/>
      <c r="AB553" s="281"/>
      <c r="AC553" s="281"/>
      <c r="AD553" s="281"/>
    </row>
    <row r="554" spans="1:30" s="288" customFormat="1" x14ac:dyDescent="0.25">
      <c r="A554" s="287"/>
      <c r="B554" s="274">
        <f t="shared" si="69"/>
        <v>539</v>
      </c>
      <c r="C554" s="304">
        <f t="shared" ca="1" si="64"/>
        <v>0</v>
      </c>
      <c r="D554" s="304">
        <f ca="1">IF(ROUND(E553,0)&lt;&gt;0, IF(ROUND(D553,0)&lt;&gt;0, 'Career Comparison'!$F$28-C554, 0), 0)</f>
        <v>0</v>
      </c>
      <c r="E554" s="304">
        <f ca="1">IF(G$7&gt;=B554, E553*(1+'Government Figures'!$D$8/12)-'Career Comparison'!$F$28, 0)</f>
        <v>0</v>
      </c>
      <c r="F554" s="312">
        <f>'College Schedule'!$L$8*(1+'Government Figures'!$B$8/12)^B554</f>
        <v>5002.2077997727056</v>
      </c>
      <c r="G554" s="278">
        <v>1</v>
      </c>
      <c r="H554" s="279">
        <f t="shared" ca="1" si="70"/>
        <v>0.17320110972991043</v>
      </c>
      <c r="I554" s="304">
        <f>G554*('College Schedule'!$L$9)*(1+'Government Figures'!$B$8/12)^B554</f>
        <v>11139.677602651029</v>
      </c>
      <c r="J554" s="304">
        <f t="shared" ca="1" si="65"/>
        <v>4208.0652800657363</v>
      </c>
      <c r="K554" s="304">
        <f t="shared" ca="1" si="66"/>
        <v>699.99935083830655</v>
      </c>
      <c r="L554" s="278">
        <v>1</v>
      </c>
      <c r="M554" s="279">
        <f t="shared" si="71"/>
        <v>0.13735784313725496</v>
      </c>
      <c r="N554" s="304">
        <f>L554*('College Schedule'!$L$10)*(1+'Government Figures'!$B$8/12)^B554</f>
        <v>6683.8065615906189</v>
      </c>
      <c r="O554" s="304">
        <f t="shared" si="67"/>
        <v>763.52550857119331</v>
      </c>
      <c r="P554" s="304">
        <f t="shared" si="68"/>
        <v>127.01023505509258</v>
      </c>
      <c r="Q554" s="274"/>
      <c r="R554" s="281"/>
      <c r="S554" s="281"/>
      <c r="T554" s="281"/>
      <c r="U554" s="281"/>
      <c r="V554" s="281"/>
      <c r="W554" s="281"/>
      <c r="X554" s="281"/>
      <c r="Y554" s="281"/>
      <c r="Z554" s="281"/>
      <c r="AA554" s="281"/>
      <c r="AB554" s="281"/>
      <c r="AC554" s="281"/>
      <c r="AD554" s="281"/>
    </row>
    <row r="555" spans="1:30" s="288" customFormat="1" x14ac:dyDescent="0.25">
      <c r="A555" s="287"/>
      <c r="B555" s="274">
        <f t="shared" si="69"/>
        <v>540</v>
      </c>
      <c r="C555" s="304">
        <f t="shared" ca="1" si="64"/>
        <v>0</v>
      </c>
      <c r="D555" s="304">
        <f ca="1">IF(ROUND(E554,0)&lt;&gt;0, IF(ROUND(D554,0)&lt;&gt;0, 'Career Comparison'!$F$28-C555, 0), 0)</f>
        <v>0</v>
      </c>
      <c r="E555" s="304">
        <f ca="1">IF(G$7&gt;=B555, E554*(1+'Government Figures'!$D$8/12)-'Career Comparison'!$F$28, 0)</f>
        <v>0</v>
      </c>
      <c r="F555" s="312">
        <f>'College Schedule'!$L$8*(1+'Government Figures'!$B$8/12)^B555</f>
        <v>5010.5448127723275</v>
      </c>
      <c r="G555" s="278">
        <v>1</v>
      </c>
      <c r="H555" s="279">
        <f t="shared" ca="1" si="70"/>
        <v>0.17320110972991043</v>
      </c>
      <c r="I555" s="304">
        <f>G555*('College Schedule'!$L$9)*(1+'Government Figures'!$B$8/12)^B555</f>
        <v>11158.243731988781</v>
      </c>
      <c r="J555" s="304">
        <f t="shared" ca="1" si="65"/>
        <v>4215.0787221991804</v>
      </c>
      <c r="K555" s="304">
        <f t="shared" ca="1" si="66"/>
        <v>698.836561218974</v>
      </c>
      <c r="L555" s="278">
        <v>1</v>
      </c>
      <c r="M555" s="279">
        <f t="shared" si="71"/>
        <v>0.13735784313725496</v>
      </c>
      <c r="N555" s="304">
        <f>L555*('College Schedule'!$L$10)*(1+'Government Figures'!$B$8/12)^B555</f>
        <v>6694.9462391932702</v>
      </c>
      <c r="O555" s="304">
        <f t="shared" si="67"/>
        <v>764.79805108547862</v>
      </c>
      <c r="P555" s="304">
        <f t="shared" si="68"/>
        <v>126.79925459819042</v>
      </c>
      <c r="Q555" s="274"/>
      <c r="R555" s="281"/>
      <c r="S555" s="281"/>
      <c r="T555" s="281"/>
      <c r="U555" s="281"/>
      <c r="V555" s="281"/>
      <c r="W555" s="281"/>
      <c r="X555" s="281"/>
      <c r="Y555" s="281"/>
      <c r="Z555" s="281"/>
      <c r="AA555" s="281"/>
      <c r="AB555" s="281"/>
      <c r="AC555" s="281"/>
      <c r="AD555" s="281"/>
    </row>
    <row r="556" spans="1:30" s="288" customFormat="1" x14ac:dyDescent="0.25">
      <c r="A556" s="287"/>
      <c r="B556" s="274">
        <f t="shared" si="69"/>
        <v>541</v>
      </c>
      <c r="C556" s="304">
        <f t="shared" ca="1" si="64"/>
        <v>0</v>
      </c>
      <c r="D556" s="304">
        <f ca="1">IF(ROUND(E555,0)&lt;&gt;0, IF(ROUND(D555,0)&lt;&gt;0, 'Career Comparison'!$F$28-C556, 0), 0)</f>
        <v>0</v>
      </c>
      <c r="E556" s="304">
        <f ca="1">IF(G$7&gt;=B556, E555*(1+'Government Figures'!$D$8/12)-'Career Comparison'!$F$28, 0)</f>
        <v>0</v>
      </c>
      <c r="F556" s="312">
        <f>'College Schedule'!$L$8*(1+'Government Figures'!$B$8/12)^B556</f>
        <v>5018.8957207936155</v>
      </c>
      <c r="G556" s="278">
        <v>1</v>
      </c>
      <c r="H556" s="279">
        <f t="shared" ca="1" si="70"/>
        <v>0.17320110972991043</v>
      </c>
      <c r="I556" s="304">
        <f>G556*('College Schedule'!$L$9)*(1+'Government Figures'!$B$8/12)^B556</f>
        <v>11176.840804875432</v>
      </c>
      <c r="J556" s="304">
        <f t="shared" ca="1" si="65"/>
        <v>4222.1038534028457</v>
      </c>
      <c r="K556" s="304">
        <f t="shared" ca="1" si="66"/>
        <v>697.67570314385955</v>
      </c>
      <c r="L556" s="278">
        <v>1</v>
      </c>
      <c r="M556" s="279">
        <f t="shared" si="71"/>
        <v>0.13735784313725496</v>
      </c>
      <c r="N556" s="304">
        <f>L556*('College Schedule'!$L$10)*(1+'Government Figures'!$B$8/12)^B556</f>
        <v>6706.1044829252596</v>
      </c>
      <c r="O556" s="304">
        <f t="shared" si="67"/>
        <v>766.07271450395365</v>
      </c>
      <c r="P556" s="304">
        <f t="shared" si="68"/>
        <v>126.58862460716342</v>
      </c>
      <c r="Q556" s="274"/>
      <c r="R556" s="281"/>
      <c r="S556" s="281"/>
      <c r="T556" s="281"/>
      <c r="U556" s="281"/>
      <c r="V556" s="281"/>
      <c r="W556" s="281"/>
      <c r="X556" s="281"/>
      <c r="Y556" s="281"/>
      <c r="Z556" s="281"/>
      <c r="AA556" s="281"/>
      <c r="AB556" s="281"/>
      <c r="AC556" s="281"/>
      <c r="AD556" s="281"/>
    </row>
    <row r="557" spans="1:30" s="288" customFormat="1" x14ac:dyDescent="0.25">
      <c r="A557" s="287"/>
      <c r="B557" s="274">
        <f t="shared" si="69"/>
        <v>542</v>
      </c>
      <c r="C557" s="304">
        <f t="shared" ca="1" si="64"/>
        <v>0</v>
      </c>
      <c r="D557" s="304">
        <f ca="1">IF(ROUND(E556,0)&lt;&gt;0, IF(ROUND(D556,0)&lt;&gt;0, 'Career Comparison'!$F$28-C557, 0), 0)</f>
        <v>0</v>
      </c>
      <c r="E557" s="304">
        <f ca="1">IF(G$7&gt;=B557, E556*(1+'Government Figures'!$D$8/12)-'Career Comparison'!$F$28, 0)</f>
        <v>0</v>
      </c>
      <c r="F557" s="312">
        <f>'College Schedule'!$L$8*(1+'Government Figures'!$B$8/12)^B557</f>
        <v>5027.2605469949376</v>
      </c>
      <c r="G557" s="278">
        <v>1</v>
      </c>
      <c r="H557" s="279">
        <f t="shared" ca="1" si="70"/>
        <v>0.17320110972991043</v>
      </c>
      <c r="I557" s="304">
        <f>G557*('College Schedule'!$L$9)*(1+'Government Figures'!$B$8/12)^B557</f>
        <v>11195.468872883557</v>
      </c>
      <c r="J557" s="304">
        <f t="shared" ca="1" si="65"/>
        <v>4229.1406931585188</v>
      </c>
      <c r="K557" s="304">
        <f t="shared" ca="1" si="66"/>
        <v>696.51677340441802</v>
      </c>
      <c r="L557" s="278">
        <v>1</v>
      </c>
      <c r="M557" s="279">
        <f t="shared" si="71"/>
        <v>0.13735784313725496</v>
      </c>
      <c r="N557" s="304">
        <f>L557*('College Schedule'!$L$10)*(1+'Government Figures'!$B$8/12)^B557</f>
        <v>6717.2813237301352</v>
      </c>
      <c r="O557" s="304">
        <f t="shared" si="67"/>
        <v>767.34950236146142</v>
      </c>
      <c r="P557" s="304">
        <f t="shared" si="68"/>
        <v>126.37834449984273</v>
      </c>
      <c r="Q557" s="274"/>
      <c r="R557" s="281"/>
      <c r="S557" s="281"/>
      <c r="T557" s="281"/>
      <c r="U557" s="281"/>
      <c r="V557" s="281"/>
      <c r="W557" s="281"/>
      <c r="X557" s="281"/>
      <c r="Y557" s="281"/>
      <c r="Z557" s="281"/>
      <c r="AA557" s="281"/>
      <c r="AB557" s="281"/>
      <c r="AC557" s="281"/>
      <c r="AD557" s="281"/>
    </row>
    <row r="558" spans="1:30" s="288" customFormat="1" x14ac:dyDescent="0.25">
      <c r="A558" s="287"/>
      <c r="B558" s="274">
        <f t="shared" si="69"/>
        <v>543</v>
      </c>
      <c r="C558" s="304">
        <f t="shared" ca="1" si="64"/>
        <v>0</v>
      </c>
      <c r="D558" s="304">
        <f ca="1">IF(ROUND(E557,0)&lt;&gt;0, IF(ROUND(D557,0)&lt;&gt;0, 'Career Comparison'!$F$28-C558, 0), 0)</f>
        <v>0</v>
      </c>
      <c r="E558" s="304">
        <f ca="1">IF(G$7&gt;=B558, E557*(1+'Government Figures'!$D$8/12)-'Career Comparison'!$F$28, 0)</f>
        <v>0</v>
      </c>
      <c r="F558" s="312">
        <f>'College Schedule'!$L$8*(1+'Government Figures'!$B$8/12)^B558</f>
        <v>5035.6393145732636</v>
      </c>
      <c r="G558" s="278">
        <v>1</v>
      </c>
      <c r="H558" s="279">
        <f t="shared" ca="1" si="70"/>
        <v>0.17320110972991043</v>
      </c>
      <c r="I558" s="304">
        <f>G558*('College Schedule'!$L$9)*(1+'Government Figures'!$B$8/12)^B558</f>
        <v>11214.127987671698</v>
      </c>
      <c r="J558" s="304">
        <f t="shared" ca="1" si="65"/>
        <v>4236.189260980449</v>
      </c>
      <c r="K558" s="304">
        <f t="shared" ca="1" si="66"/>
        <v>695.35976879743373</v>
      </c>
      <c r="L558" s="278">
        <v>1</v>
      </c>
      <c r="M558" s="279">
        <f t="shared" si="71"/>
        <v>0.13735784313725496</v>
      </c>
      <c r="N558" s="304">
        <f>L558*('College Schedule'!$L$10)*(1+'Government Figures'!$B$8/12)^B558</f>
        <v>6728.4767926030199</v>
      </c>
      <c r="O558" s="304">
        <f t="shared" si="67"/>
        <v>768.62841819873029</v>
      </c>
      <c r="P558" s="304">
        <f t="shared" si="68"/>
        <v>126.16841369502565</v>
      </c>
      <c r="Q558" s="274"/>
      <c r="R558" s="281"/>
      <c r="S558" s="281"/>
      <c r="T558" s="281"/>
      <c r="U558" s="281"/>
      <c r="V558" s="281"/>
      <c r="W558" s="281"/>
      <c r="X558" s="281"/>
      <c r="Y558" s="281"/>
      <c r="Z558" s="281"/>
      <c r="AA558" s="281"/>
      <c r="AB558" s="281"/>
      <c r="AC558" s="281"/>
      <c r="AD558" s="281"/>
    </row>
    <row r="559" spans="1:30" s="288" customFormat="1" x14ac:dyDescent="0.25">
      <c r="A559" s="287"/>
      <c r="B559" s="274">
        <f t="shared" si="69"/>
        <v>544</v>
      </c>
      <c r="C559" s="304">
        <f t="shared" ca="1" si="64"/>
        <v>0</v>
      </c>
      <c r="D559" s="304">
        <f ca="1">IF(ROUND(E558,0)&lt;&gt;0, IF(ROUND(D558,0)&lt;&gt;0, 'Career Comparison'!$F$28-C559, 0), 0)</f>
        <v>0</v>
      </c>
      <c r="E559" s="304">
        <f ca="1">IF(G$7&gt;=B559, E558*(1+'Government Figures'!$D$8/12)-'Career Comparison'!$F$28, 0)</f>
        <v>0</v>
      </c>
      <c r="F559" s="312">
        <f>'College Schedule'!$L$8*(1+'Government Figures'!$B$8/12)^B559</f>
        <v>5044.0320467642196</v>
      </c>
      <c r="G559" s="278">
        <v>1</v>
      </c>
      <c r="H559" s="279">
        <f t="shared" ca="1" si="70"/>
        <v>0.17320110972991043</v>
      </c>
      <c r="I559" s="304">
        <f>G559*('College Schedule'!$L$9)*(1+'Government Figures'!$B$8/12)^B559</f>
        <v>11232.818200984486</v>
      </c>
      <c r="J559" s="304">
        <f t="shared" ca="1" si="65"/>
        <v>4243.2495764154173</v>
      </c>
      <c r="K559" s="304">
        <f t="shared" ca="1" si="66"/>
        <v>694.20468612501281</v>
      </c>
      <c r="L559" s="278">
        <v>1</v>
      </c>
      <c r="M559" s="279">
        <f t="shared" si="71"/>
        <v>0.13735784313725496</v>
      </c>
      <c r="N559" s="304">
        <f>L559*('College Schedule'!$L$10)*(1+'Government Figures'!$B$8/12)^B559</f>
        <v>6739.6909205906923</v>
      </c>
      <c r="O559" s="304">
        <f t="shared" si="67"/>
        <v>769.90946556239487</v>
      </c>
      <c r="P559" s="304">
        <f t="shared" si="68"/>
        <v>125.95883161247576</v>
      </c>
      <c r="Q559" s="274"/>
      <c r="R559" s="281"/>
      <c r="S559" s="281"/>
      <c r="T559" s="281"/>
      <c r="U559" s="281"/>
      <c r="V559" s="281"/>
      <c r="W559" s="281"/>
      <c r="X559" s="281"/>
      <c r="Y559" s="281"/>
      <c r="Z559" s="281"/>
      <c r="AA559" s="281"/>
      <c r="AB559" s="281"/>
      <c r="AC559" s="281"/>
      <c r="AD559" s="281"/>
    </row>
    <row r="560" spans="1:30" s="288" customFormat="1" x14ac:dyDescent="0.25">
      <c r="A560" s="287"/>
      <c r="B560" s="274">
        <f t="shared" si="69"/>
        <v>545</v>
      </c>
      <c r="C560" s="304">
        <f t="shared" ref="C560" ca="1" si="72">E559-E560</f>
        <v>0</v>
      </c>
      <c r="D560" s="304">
        <f ca="1">IF(ROUND(E559,0)&lt;&gt;0, IF(ROUND(D559,0)&lt;&gt;0, 'Career Comparison'!$F$28-C560, 0), 0)</f>
        <v>0</v>
      </c>
      <c r="E560" s="304">
        <f ca="1">IF(G$7&gt;=B560, E559*(1+'Government Figures'!$D$8/12)-'Career Comparison'!$F$28, 0)</f>
        <v>0</v>
      </c>
      <c r="F560" s="312">
        <f>'College Schedule'!$L$8*(1+'Government Figures'!$B$8/12)^B560</f>
        <v>5052.4387668421614</v>
      </c>
      <c r="G560" s="278">
        <v>1</v>
      </c>
      <c r="H560" s="279">
        <f t="shared" ca="1" si="70"/>
        <v>0.17320110972991043</v>
      </c>
      <c r="I560" s="304">
        <f>G560*('College Schedule'!$L$9)*(1+'Government Figures'!$B$8/12)^B560</f>
        <v>11251.539564652796</v>
      </c>
      <c r="J560" s="304">
        <f t="shared" ref="J560" ca="1" si="73">I560*(1-H560)-F560-C560-D560</f>
        <v>4250.3216590427774</v>
      </c>
      <c r="K560" s="304">
        <f t="shared" ref="K560" ca="1" si="74">J560/(1+($G$9/12))^B560</f>
        <v>693.05152219457261</v>
      </c>
      <c r="L560" s="278">
        <v>1</v>
      </c>
      <c r="M560" s="279">
        <f t="shared" si="71"/>
        <v>0.13735784313725496</v>
      </c>
      <c r="N560" s="304">
        <f>L560*('College Schedule'!$L$10)*(1+'Government Figures'!$B$8/12)^B560</f>
        <v>6750.9237387916783</v>
      </c>
      <c r="O560" s="304">
        <f t="shared" ref="O560" si="75">N560*(1-M560)-F560</f>
        <v>771.19264800499877</v>
      </c>
      <c r="P560" s="304">
        <f t="shared" ref="P560" si="76">O560/(1+($G$9/12))^B560</f>
        <v>125.74959767292012</v>
      </c>
      <c r="Q560" s="274"/>
      <c r="R560" s="281"/>
      <c r="S560" s="281"/>
      <c r="T560" s="281"/>
      <c r="U560" s="281"/>
      <c r="V560" s="281"/>
      <c r="W560" s="281"/>
      <c r="X560" s="281"/>
      <c r="Y560" s="281"/>
      <c r="Z560" s="281"/>
      <c r="AA560" s="281"/>
      <c r="AB560" s="281"/>
      <c r="AC560" s="281"/>
      <c r="AD560" s="281"/>
    </row>
    <row r="561" spans="1:30" s="288" customFormat="1" x14ac:dyDescent="0.25">
      <c r="A561" s="287"/>
      <c r="B561" s="274">
        <f t="shared" si="69"/>
        <v>546</v>
      </c>
      <c r="C561" s="304">
        <f t="shared" ref="C561:C624" ca="1" si="77">E560-E561</f>
        <v>0</v>
      </c>
      <c r="D561" s="304">
        <f ca="1">IF(ROUND(E560,0)&lt;&gt;0, IF(ROUND(D560,0)&lt;&gt;0, 'Career Comparison'!$F$28-C561, 0), 0)</f>
        <v>0</v>
      </c>
      <c r="E561" s="304">
        <f ca="1">IF(G$7&gt;=B561, E560*(1+'Government Figures'!$D$8/12)-'Career Comparison'!$F$28, 0)</f>
        <v>0</v>
      </c>
      <c r="F561" s="312">
        <f>'College Schedule'!$L$8*(1+'Government Figures'!$B$8/12)^B561</f>
        <v>5060.8594981202305</v>
      </c>
      <c r="G561" s="278">
        <v>1</v>
      </c>
      <c r="H561" s="279">
        <f t="shared" ca="1" si="70"/>
        <v>0.17320110972991043</v>
      </c>
      <c r="I561" s="304">
        <f>G561*('College Schedule'!$L$9)*(1+'Government Figures'!$B$8/12)^B561</f>
        <v>11270.292130593883</v>
      </c>
      <c r="J561" s="304">
        <f t="shared" ref="J561:J624" ca="1" si="78">I561*(1-H561)-F561-C561-D561</f>
        <v>4257.4055284745164</v>
      </c>
      <c r="K561" s="304">
        <f t="shared" ref="K561:K624" ca="1" si="79">J561/(1+($G$9/12))^B561</f>
        <v>691.90027381883419</v>
      </c>
      <c r="L561" s="278">
        <v>1</v>
      </c>
      <c r="M561" s="279">
        <f t="shared" si="71"/>
        <v>0.13735784313725496</v>
      </c>
      <c r="N561" s="304">
        <f>L561*('College Schedule'!$L$10)*(1+'Government Figures'!$B$8/12)^B561</f>
        <v>6762.1752783563306</v>
      </c>
      <c r="O561" s="304">
        <f t="shared" ref="O561:O624" si="80">N561*(1-M561)-F561</f>
        <v>772.47796908500823</v>
      </c>
      <c r="P561" s="304">
        <f t="shared" ref="P561:P624" si="81">O561/(1+($G$9/12))^B561</f>
        <v>125.54071129804834</v>
      </c>
      <c r="Q561" s="274"/>
      <c r="R561" s="281"/>
      <c r="S561" s="281"/>
      <c r="T561" s="281"/>
      <c r="U561" s="281"/>
      <c r="V561" s="281"/>
      <c r="W561" s="281"/>
      <c r="X561" s="281"/>
      <c r="Y561" s="281"/>
      <c r="Z561" s="281"/>
      <c r="AA561" s="281"/>
      <c r="AB561" s="281"/>
      <c r="AC561" s="281"/>
      <c r="AD561" s="281"/>
    </row>
    <row r="562" spans="1:30" s="288" customFormat="1" x14ac:dyDescent="0.25">
      <c r="A562" s="287"/>
      <c r="B562" s="274">
        <f t="shared" si="69"/>
        <v>547</v>
      </c>
      <c r="C562" s="304">
        <f t="shared" ca="1" si="77"/>
        <v>0</v>
      </c>
      <c r="D562" s="304">
        <f ca="1">IF(ROUND(E561,0)&lt;&gt;0, IF(ROUND(D561,0)&lt;&gt;0, 'Career Comparison'!$F$28-C562, 0), 0)</f>
        <v>0</v>
      </c>
      <c r="E562" s="304">
        <f ca="1">IF(G$7&gt;=B562, E561*(1+'Government Figures'!$D$8/12)-'Career Comparison'!$F$28, 0)</f>
        <v>0</v>
      </c>
      <c r="F562" s="312">
        <f>'College Schedule'!$L$8*(1+'Government Figures'!$B$8/12)^B562</f>
        <v>5069.2942639504308</v>
      </c>
      <c r="G562" s="278">
        <v>1</v>
      </c>
      <c r="H562" s="279">
        <f t="shared" ca="1" si="70"/>
        <v>0.17320110972991043</v>
      </c>
      <c r="I562" s="304">
        <f>G562*('College Schedule'!$L$9)*(1+'Government Figures'!$B$8/12)^B562</f>
        <v>11289.075950811539</v>
      </c>
      <c r="J562" s="304">
        <f t="shared" ca="1" si="78"/>
        <v>4264.5012043553052</v>
      </c>
      <c r="K562" s="304">
        <f t="shared" ca="1" si="79"/>
        <v>690.75093781581245</v>
      </c>
      <c r="L562" s="278">
        <v>1</v>
      </c>
      <c r="M562" s="279">
        <f t="shared" si="71"/>
        <v>0.13735784313725496</v>
      </c>
      <c r="N562" s="304">
        <f>L562*('College Schedule'!$L$10)*(1+'Government Figures'!$B$8/12)^B562</f>
        <v>6773.4455704869242</v>
      </c>
      <c r="O562" s="304">
        <f t="shared" si="80"/>
        <v>773.76543236681573</v>
      </c>
      <c r="P562" s="304">
        <f t="shared" si="81"/>
        <v>125.33217191050989</v>
      </c>
      <c r="Q562" s="274"/>
      <c r="R562" s="281"/>
      <c r="S562" s="281"/>
      <c r="T562" s="281"/>
      <c r="U562" s="281"/>
      <c r="V562" s="281"/>
      <c r="W562" s="281"/>
      <c r="X562" s="281"/>
      <c r="Y562" s="281"/>
      <c r="Z562" s="281"/>
      <c r="AA562" s="281"/>
      <c r="AB562" s="281"/>
      <c r="AC562" s="281"/>
      <c r="AD562" s="281"/>
    </row>
    <row r="563" spans="1:30" s="288" customFormat="1" x14ac:dyDescent="0.25">
      <c r="A563" s="287"/>
      <c r="B563" s="274">
        <f t="shared" si="69"/>
        <v>548</v>
      </c>
      <c r="C563" s="304">
        <f t="shared" ca="1" si="77"/>
        <v>0</v>
      </c>
      <c r="D563" s="304">
        <f ca="1">IF(ROUND(E562,0)&lt;&gt;0, IF(ROUND(D562,0)&lt;&gt;0, 'Career Comparison'!$F$28-C563, 0), 0)</f>
        <v>0</v>
      </c>
      <c r="E563" s="304">
        <f ca="1">IF(G$7&gt;=B563, E562*(1+'Government Figures'!$D$8/12)-'Career Comparison'!$F$28, 0)</f>
        <v>0</v>
      </c>
      <c r="F563" s="312">
        <f>'College Schedule'!$L$8*(1+'Government Figures'!$B$8/12)^B563</f>
        <v>5077.7430877236829</v>
      </c>
      <c r="G563" s="278">
        <v>1</v>
      </c>
      <c r="H563" s="279">
        <f t="shared" ca="1" si="70"/>
        <v>0.17320110972991043</v>
      </c>
      <c r="I563" s="304">
        <f>G563*('College Schedule'!$L$9)*(1+'Government Figures'!$B$8/12)^B563</f>
        <v>11307.891077396227</v>
      </c>
      <c r="J563" s="304">
        <f t="shared" ca="1" si="78"/>
        <v>4271.6087063625646</v>
      </c>
      <c r="K563" s="304">
        <f t="shared" ca="1" si="79"/>
        <v>689.60351100880962</v>
      </c>
      <c r="L563" s="278">
        <v>1</v>
      </c>
      <c r="M563" s="279">
        <f t="shared" si="71"/>
        <v>0.13735784313725496</v>
      </c>
      <c r="N563" s="304">
        <f>L563*('College Schedule'!$L$10)*(1+'Government Figures'!$B$8/12)^B563</f>
        <v>6784.734646437737</v>
      </c>
      <c r="O563" s="304">
        <f t="shared" si="80"/>
        <v>775.05504142076006</v>
      </c>
      <c r="P563" s="304">
        <f t="shared" si="81"/>
        <v>125.12397893391432</v>
      </c>
      <c r="Q563" s="274"/>
      <c r="R563" s="281"/>
      <c r="S563" s="281"/>
      <c r="T563" s="281"/>
      <c r="U563" s="281"/>
      <c r="V563" s="281"/>
      <c r="W563" s="281"/>
      <c r="X563" s="281"/>
      <c r="Y563" s="281"/>
      <c r="Z563" s="281"/>
      <c r="AA563" s="281"/>
      <c r="AB563" s="281"/>
      <c r="AC563" s="281"/>
      <c r="AD563" s="281"/>
    </row>
    <row r="564" spans="1:30" s="288" customFormat="1" x14ac:dyDescent="0.25">
      <c r="A564" s="287"/>
      <c r="B564" s="274">
        <f t="shared" si="69"/>
        <v>549</v>
      </c>
      <c r="C564" s="304">
        <f t="shared" ca="1" si="77"/>
        <v>0</v>
      </c>
      <c r="D564" s="304">
        <f ca="1">IF(ROUND(E563,0)&lt;&gt;0, IF(ROUND(D563,0)&lt;&gt;0, 'Career Comparison'!$F$28-C564, 0), 0)</f>
        <v>0</v>
      </c>
      <c r="E564" s="304">
        <f ca="1">IF(G$7&gt;=B564, E563*(1+'Government Figures'!$D$8/12)-'Career Comparison'!$F$28, 0)</f>
        <v>0</v>
      </c>
      <c r="F564" s="312">
        <f>'College Schedule'!$L$8*(1+'Government Figures'!$B$8/12)^B564</f>
        <v>5086.2059928698891</v>
      </c>
      <c r="G564" s="278">
        <v>1</v>
      </c>
      <c r="H564" s="279">
        <f t="shared" ca="1" si="70"/>
        <v>0.17320110972991043</v>
      </c>
      <c r="I564" s="304">
        <f>G564*('College Schedule'!$L$9)*(1+'Government Figures'!$B$8/12)^B564</f>
        <v>11326.737562525221</v>
      </c>
      <c r="J564" s="304">
        <f t="shared" ca="1" si="78"/>
        <v>4278.7280542065018</v>
      </c>
      <c r="K564" s="304">
        <f t="shared" ca="1" si="79"/>
        <v>688.45799022640279</v>
      </c>
      <c r="L564" s="278">
        <v>1</v>
      </c>
      <c r="M564" s="279">
        <f t="shared" si="71"/>
        <v>0.13735784313725496</v>
      </c>
      <c r="N564" s="304">
        <f>L564*('College Schedule'!$L$10)*(1+'Government Figures'!$B$8/12)^B564</f>
        <v>6796.0425375151335</v>
      </c>
      <c r="O564" s="304">
        <f t="shared" si="80"/>
        <v>776.34679982312809</v>
      </c>
      <c r="P564" s="304">
        <f t="shared" si="81"/>
        <v>124.91613179282808</v>
      </c>
      <c r="Q564" s="274"/>
      <c r="R564" s="281"/>
      <c r="S564" s="281"/>
      <c r="T564" s="281"/>
      <c r="U564" s="281"/>
      <c r="V564" s="281"/>
      <c r="W564" s="281"/>
      <c r="X564" s="281"/>
      <c r="Y564" s="281"/>
      <c r="Z564" s="281"/>
      <c r="AA564" s="281"/>
      <c r="AB564" s="281"/>
      <c r="AC564" s="281"/>
      <c r="AD564" s="281"/>
    </row>
    <row r="565" spans="1:30" s="288" customFormat="1" x14ac:dyDescent="0.25">
      <c r="A565" s="287"/>
      <c r="B565" s="274">
        <f t="shared" si="69"/>
        <v>550</v>
      </c>
      <c r="C565" s="304">
        <f t="shared" ca="1" si="77"/>
        <v>0</v>
      </c>
      <c r="D565" s="304">
        <f ca="1">IF(ROUND(E564,0)&lt;&gt;0, IF(ROUND(D564,0)&lt;&gt;0, 'Career Comparison'!$F$28-C565, 0), 0)</f>
        <v>0</v>
      </c>
      <c r="E565" s="304">
        <f ca="1">IF(G$7&gt;=B565, E564*(1+'Government Figures'!$D$8/12)-'Career Comparison'!$F$28, 0)</f>
        <v>0</v>
      </c>
      <c r="F565" s="312">
        <f>'College Schedule'!$L$8*(1+'Government Figures'!$B$8/12)^B565</f>
        <v>5094.6830028580043</v>
      </c>
      <c r="G565" s="278">
        <v>1</v>
      </c>
      <c r="H565" s="279">
        <f t="shared" ca="1" si="70"/>
        <v>0.17320110972991043</v>
      </c>
      <c r="I565" s="304">
        <f>G565*('College Schedule'!$L$9)*(1+'Government Figures'!$B$8/12)^B565</f>
        <v>11345.615458462762</v>
      </c>
      <c r="J565" s="304">
        <f t="shared" ca="1" si="78"/>
        <v>4285.8592676301814</v>
      </c>
      <c r="K565" s="304">
        <f t="shared" ca="1" si="79"/>
        <v>687.31437230243887</v>
      </c>
      <c r="L565" s="278">
        <v>1</v>
      </c>
      <c r="M565" s="279">
        <f t="shared" si="71"/>
        <v>0.13735784313725496</v>
      </c>
      <c r="N565" s="304">
        <f>L565*('College Schedule'!$L$10)*(1+'Government Figures'!$B$8/12)^B565</f>
        <v>6807.3692750776581</v>
      </c>
      <c r="O565" s="304">
        <f t="shared" si="80"/>
        <v>777.64071115616753</v>
      </c>
      <c r="P565" s="304">
        <f t="shared" si="81"/>
        <v>124.70862991277366</v>
      </c>
      <c r="Q565" s="274"/>
      <c r="R565" s="281"/>
      <c r="S565" s="281"/>
      <c r="T565" s="281"/>
      <c r="U565" s="281"/>
      <c r="V565" s="281"/>
      <c r="W565" s="281"/>
      <c r="X565" s="281"/>
      <c r="Y565" s="281"/>
      <c r="Z565" s="281"/>
      <c r="AA565" s="281"/>
      <c r="AB565" s="281"/>
      <c r="AC565" s="281"/>
      <c r="AD565" s="281"/>
    </row>
    <row r="566" spans="1:30" s="288" customFormat="1" x14ac:dyDescent="0.25">
      <c r="A566" s="287"/>
      <c r="B566" s="274">
        <f t="shared" si="69"/>
        <v>551</v>
      </c>
      <c r="C566" s="304">
        <f t="shared" ca="1" si="77"/>
        <v>0</v>
      </c>
      <c r="D566" s="304">
        <f ca="1">IF(ROUND(E565,0)&lt;&gt;0, IF(ROUND(D565,0)&lt;&gt;0, 'Career Comparison'!$F$28-C566, 0), 0)</f>
        <v>0</v>
      </c>
      <c r="E566" s="304">
        <f ca="1">IF(G$7&gt;=B566, E565*(1+'Government Figures'!$D$8/12)-'Career Comparison'!$F$28, 0)</f>
        <v>0</v>
      </c>
      <c r="F566" s="312">
        <f>'College Schedule'!$L$8*(1+'Government Figures'!$B$8/12)^B566</f>
        <v>5103.1741411961029</v>
      </c>
      <c r="G566" s="278">
        <v>1</v>
      </c>
      <c r="H566" s="279">
        <f t="shared" ca="1" si="70"/>
        <v>0.17320110972991043</v>
      </c>
      <c r="I566" s="304">
        <f>G566*('College Schedule'!$L$9)*(1+'Government Figures'!$B$8/12)^B566</f>
        <v>11364.524817560203</v>
      </c>
      <c r="J566" s="304">
        <f t="shared" ca="1" si="78"/>
        <v>4293.0023664095643</v>
      </c>
      <c r="K566" s="304">
        <f t="shared" ca="1" si="79"/>
        <v>686.17265407602258</v>
      </c>
      <c r="L566" s="278">
        <v>1</v>
      </c>
      <c r="M566" s="279">
        <f t="shared" si="71"/>
        <v>0.13735784313725496</v>
      </c>
      <c r="N566" s="304">
        <f>L566*('College Schedule'!$L$10)*(1+'Government Figures'!$B$8/12)^B566</f>
        <v>6818.7148905361228</v>
      </c>
      <c r="O566" s="304">
        <f t="shared" si="80"/>
        <v>778.93677900809416</v>
      </c>
      <c r="P566" s="304">
        <f t="shared" si="81"/>
        <v>124.50147272022745</v>
      </c>
      <c r="Q566" s="274"/>
      <c r="R566" s="281"/>
      <c r="S566" s="281"/>
      <c r="T566" s="281"/>
      <c r="U566" s="281"/>
      <c r="V566" s="281"/>
      <c r="W566" s="281"/>
      <c r="X566" s="281"/>
      <c r="Y566" s="281"/>
      <c r="Z566" s="281"/>
      <c r="AA566" s="281"/>
      <c r="AB566" s="281"/>
      <c r="AC566" s="281"/>
      <c r="AD566" s="281"/>
    </row>
    <row r="567" spans="1:30" s="288" customFormat="1" x14ac:dyDescent="0.25">
      <c r="A567" s="287"/>
      <c r="B567" s="274">
        <f t="shared" si="69"/>
        <v>552</v>
      </c>
      <c r="C567" s="304">
        <f t="shared" ca="1" si="77"/>
        <v>0</v>
      </c>
      <c r="D567" s="304">
        <f ca="1">IF(ROUND(E566,0)&lt;&gt;0, IF(ROUND(D566,0)&lt;&gt;0, 'Career Comparison'!$F$28-C567, 0), 0)</f>
        <v>0</v>
      </c>
      <c r="E567" s="304">
        <f ca="1">IF(G$7&gt;=B567, E566*(1+'Government Figures'!$D$8/12)-'Career Comparison'!$F$28, 0)</f>
        <v>0</v>
      </c>
      <c r="F567" s="312">
        <f>'College Schedule'!$L$8*(1+'Government Figures'!$B$8/12)^B567</f>
        <v>5111.6794314314311</v>
      </c>
      <c r="G567" s="278">
        <v>1</v>
      </c>
      <c r="H567" s="279">
        <f t="shared" ca="1" si="70"/>
        <v>0.17320110972991043</v>
      </c>
      <c r="I567" s="304">
        <f>G567*('College Schedule'!$L$9)*(1+'Government Figures'!$B$8/12)^B567</f>
        <v>11383.465692256139</v>
      </c>
      <c r="J567" s="304">
        <f t="shared" ca="1" si="78"/>
        <v>4300.1573703535823</v>
      </c>
      <c r="K567" s="304">
        <f t="shared" ca="1" si="79"/>
        <v>685.03283239151142</v>
      </c>
      <c r="L567" s="278">
        <v>1</v>
      </c>
      <c r="M567" s="279">
        <f t="shared" si="71"/>
        <v>0.13735784313725496</v>
      </c>
      <c r="N567" s="304">
        <f>L567*('College Schedule'!$L$10)*(1+'Government Figures'!$B$8/12)^B567</f>
        <v>6830.0794153536845</v>
      </c>
      <c r="O567" s="304">
        <f t="shared" si="80"/>
        <v>780.23500697310828</v>
      </c>
      <c r="P567" s="304">
        <f t="shared" si="81"/>
        <v>124.29465964261922</v>
      </c>
      <c r="Q567" s="274"/>
      <c r="R567" s="281"/>
      <c r="S567" s="281"/>
      <c r="T567" s="281"/>
      <c r="U567" s="281"/>
      <c r="V567" s="281"/>
      <c r="W567" s="281"/>
      <c r="X567" s="281"/>
      <c r="Y567" s="281"/>
      <c r="Z567" s="281"/>
      <c r="AA567" s="281"/>
      <c r="AB567" s="281"/>
      <c r="AC567" s="281"/>
      <c r="AD567" s="281"/>
    </row>
    <row r="568" spans="1:30" s="288" customFormat="1" x14ac:dyDescent="0.25">
      <c r="A568" s="287"/>
      <c r="B568" s="274">
        <f t="shared" si="69"/>
        <v>553</v>
      </c>
      <c r="C568" s="304">
        <f t="shared" ca="1" si="77"/>
        <v>0</v>
      </c>
      <c r="D568" s="304">
        <f ca="1">IF(ROUND(E567,0)&lt;&gt;0, IF(ROUND(D567,0)&lt;&gt;0, 'Career Comparison'!$F$28-C568, 0), 0)</f>
        <v>0</v>
      </c>
      <c r="E568" s="304">
        <f ca="1">IF(G$7&gt;=B568, E567*(1+'Government Figures'!$D$8/12)-'Career Comparison'!$F$28, 0)</f>
        <v>0</v>
      </c>
      <c r="F568" s="312">
        <f>'College Schedule'!$L$8*(1+'Government Figures'!$B$8/12)^B568</f>
        <v>5120.1988971504825</v>
      </c>
      <c r="G568" s="278">
        <v>1</v>
      </c>
      <c r="H568" s="279">
        <f t="shared" ca="1" si="70"/>
        <v>0.17320110972991043</v>
      </c>
      <c r="I568" s="304">
        <f>G568*('College Schedule'!$L$9)*(1+'Government Figures'!$B$8/12)^B568</f>
        <v>11402.438135076563</v>
      </c>
      <c r="J568" s="304">
        <f t="shared" ca="1" si="78"/>
        <v>4307.3242993041704</v>
      </c>
      <c r="K568" s="304">
        <f t="shared" ca="1" si="79"/>
        <v>683.89490409850202</v>
      </c>
      <c r="L568" s="278">
        <v>1</v>
      </c>
      <c r="M568" s="279">
        <f t="shared" si="71"/>
        <v>0.13735784313725496</v>
      </c>
      <c r="N568" s="304">
        <f>L568*('College Schedule'!$L$10)*(1+'Government Figures'!$B$8/12)^B568</f>
        <v>6841.4628810459399</v>
      </c>
      <c r="O568" s="304">
        <f t="shared" si="80"/>
        <v>781.53539865139646</v>
      </c>
      <c r="P568" s="304">
        <f t="shared" si="81"/>
        <v>124.08819010832912</v>
      </c>
      <c r="Q568" s="274"/>
      <c r="R568" s="281"/>
      <c r="S568" s="281"/>
      <c r="T568" s="281"/>
      <c r="U568" s="281"/>
      <c r="V568" s="281"/>
      <c r="W568" s="281"/>
      <c r="X568" s="281"/>
      <c r="Y568" s="281"/>
      <c r="Z568" s="281"/>
      <c r="AA568" s="281"/>
      <c r="AB568" s="281"/>
      <c r="AC568" s="281"/>
      <c r="AD568" s="281"/>
    </row>
    <row r="569" spans="1:30" s="288" customFormat="1" x14ac:dyDescent="0.25">
      <c r="A569" s="287"/>
      <c r="B569" s="274">
        <f t="shared" si="69"/>
        <v>554</v>
      </c>
      <c r="C569" s="304">
        <f t="shared" ca="1" si="77"/>
        <v>0</v>
      </c>
      <c r="D569" s="304">
        <f ca="1">IF(ROUND(E568,0)&lt;&gt;0, IF(ROUND(D568,0)&lt;&gt;0, 'Career Comparison'!$F$28-C569, 0), 0)</f>
        <v>0</v>
      </c>
      <c r="E569" s="304">
        <f ca="1">IF(G$7&gt;=B569, E568*(1+'Government Figures'!$D$8/12)-'Career Comparison'!$F$28, 0)</f>
        <v>0</v>
      </c>
      <c r="F569" s="312">
        <f>'College Schedule'!$L$8*(1+'Government Figures'!$B$8/12)^B569</f>
        <v>5128.7325619790663</v>
      </c>
      <c r="G569" s="278">
        <v>1</v>
      </c>
      <c r="H569" s="279">
        <f t="shared" ca="1" si="70"/>
        <v>0.17320110972991043</v>
      </c>
      <c r="I569" s="304">
        <f>G569*('College Schedule'!$L$9)*(1+'Government Figures'!$B$8/12)^B569</f>
        <v>11421.442198635024</v>
      </c>
      <c r="J569" s="304">
        <f t="shared" ca="1" si="78"/>
        <v>4314.5031731363433</v>
      </c>
      <c r="K569" s="304">
        <f t="shared" ca="1" si="79"/>
        <v>682.75886605182654</v>
      </c>
      <c r="L569" s="278">
        <v>1</v>
      </c>
      <c r="M569" s="279">
        <f t="shared" si="71"/>
        <v>0.13735784313725496</v>
      </c>
      <c r="N569" s="304">
        <f>L569*('College Schedule'!$L$10)*(1+'Government Figures'!$B$8/12)^B569</f>
        <v>6852.8653191810163</v>
      </c>
      <c r="O569" s="304">
        <f t="shared" si="80"/>
        <v>782.83795764914885</v>
      </c>
      <c r="P569" s="304">
        <f t="shared" si="81"/>
        <v>123.88206354668735</v>
      </c>
      <c r="Q569" s="274"/>
      <c r="R569" s="281"/>
      <c r="S569" s="281"/>
      <c r="T569" s="281"/>
      <c r="U569" s="281"/>
      <c r="V569" s="281"/>
      <c r="W569" s="281"/>
      <c r="X569" s="281"/>
      <c r="Y569" s="281"/>
      <c r="Z569" s="281"/>
      <c r="AA569" s="281"/>
      <c r="AB569" s="281"/>
      <c r="AC569" s="281"/>
      <c r="AD569" s="281"/>
    </row>
    <row r="570" spans="1:30" s="288" customFormat="1" x14ac:dyDescent="0.25">
      <c r="A570" s="287"/>
      <c r="B570" s="274">
        <f t="shared" si="69"/>
        <v>555</v>
      </c>
      <c r="C570" s="304">
        <f t="shared" ca="1" si="77"/>
        <v>0</v>
      </c>
      <c r="D570" s="304">
        <f ca="1">IF(ROUND(E569,0)&lt;&gt;0, IF(ROUND(D569,0)&lt;&gt;0, 'Career Comparison'!$F$28-C570, 0), 0)</f>
        <v>0</v>
      </c>
      <c r="E570" s="304">
        <f ca="1">IF(G$7&gt;=B570, E569*(1+'Government Figures'!$D$8/12)-'Career Comparison'!$F$28, 0)</f>
        <v>0</v>
      </c>
      <c r="F570" s="312">
        <f>'College Schedule'!$L$8*(1+'Government Figures'!$B$8/12)^B570</f>
        <v>5137.2804495823657</v>
      </c>
      <c r="G570" s="278">
        <v>1</v>
      </c>
      <c r="H570" s="279">
        <f t="shared" ca="1" si="70"/>
        <v>0.17320110972991043</v>
      </c>
      <c r="I570" s="304">
        <f>G570*('College Schedule'!$L$9)*(1+'Government Figures'!$B$8/12)^B570</f>
        <v>11440.477935632751</v>
      </c>
      <c r="J570" s="304">
        <f t="shared" ca="1" si="78"/>
        <v>4321.694011758238</v>
      </c>
      <c r="K570" s="304">
        <f t="shared" ca="1" si="79"/>
        <v>681.62471511154104</v>
      </c>
      <c r="L570" s="278">
        <v>1</v>
      </c>
      <c r="M570" s="279">
        <f t="shared" si="71"/>
        <v>0.13735784313725496</v>
      </c>
      <c r="N570" s="304">
        <f>L570*('College Schedule'!$L$10)*(1+'Government Figures'!$B$8/12)^B570</f>
        <v>6864.2867613796516</v>
      </c>
      <c r="O570" s="304">
        <f t="shared" si="80"/>
        <v>784.14268757856371</v>
      </c>
      <c r="P570" s="304">
        <f t="shared" si="81"/>
        <v>123.67627938797182</v>
      </c>
      <c r="Q570" s="274"/>
      <c r="R570" s="281"/>
      <c r="S570" s="281"/>
      <c r="T570" s="281"/>
      <c r="U570" s="281"/>
      <c r="V570" s="281"/>
      <c r="W570" s="281"/>
      <c r="X570" s="281"/>
      <c r="Y570" s="281"/>
      <c r="Z570" s="281"/>
      <c r="AA570" s="281"/>
      <c r="AB570" s="281"/>
      <c r="AC570" s="281"/>
      <c r="AD570" s="281"/>
    </row>
    <row r="571" spans="1:30" s="288" customFormat="1" x14ac:dyDescent="0.25">
      <c r="A571" s="287"/>
      <c r="B571" s="274">
        <f t="shared" si="69"/>
        <v>556</v>
      </c>
      <c r="C571" s="304">
        <f t="shared" ca="1" si="77"/>
        <v>0</v>
      </c>
      <c r="D571" s="304">
        <f ca="1">IF(ROUND(E570,0)&lt;&gt;0, IF(ROUND(D570,0)&lt;&gt;0, 'Career Comparison'!$F$28-C571, 0), 0)</f>
        <v>0</v>
      </c>
      <c r="E571" s="304">
        <f ca="1">IF(G$7&gt;=B571, E570*(1+'Government Figures'!$D$8/12)-'Career Comparison'!$F$28, 0)</f>
        <v>0</v>
      </c>
      <c r="F571" s="312">
        <f>'College Schedule'!$L$8*(1+'Government Figures'!$B$8/12)^B571</f>
        <v>5145.8425836650031</v>
      </c>
      <c r="G571" s="278">
        <v>1</v>
      </c>
      <c r="H571" s="279">
        <f t="shared" ca="1" si="70"/>
        <v>0.17320110972991043</v>
      </c>
      <c r="I571" s="304">
        <f>G571*('College Schedule'!$L$9)*(1+'Government Figures'!$B$8/12)^B571</f>
        <v>11459.545398858805</v>
      </c>
      <c r="J571" s="304">
        <f t="shared" ca="1" si="78"/>
        <v>4328.896835111168</v>
      </c>
      <c r="K571" s="304">
        <f t="shared" ca="1" si="79"/>
        <v>680.49244814291717</v>
      </c>
      <c r="L571" s="278">
        <v>1</v>
      </c>
      <c r="M571" s="279">
        <f t="shared" si="71"/>
        <v>0.13735784313725496</v>
      </c>
      <c r="N571" s="304">
        <f>L571*('College Schedule'!$L$10)*(1+'Government Figures'!$B$8/12)^B571</f>
        <v>6875.7272393152844</v>
      </c>
      <c r="O571" s="304">
        <f t="shared" si="80"/>
        <v>785.44959205786108</v>
      </c>
      <c r="P571" s="304">
        <f t="shared" si="81"/>
        <v>123.47083706340706</v>
      </c>
      <c r="Q571" s="274"/>
      <c r="R571" s="281"/>
      <c r="S571" s="281"/>
      <c r="T571" s="281"/>
      <c r="U571" s="281"/>
      <c r="V571" s="281"/>
      <c r="W571" s="281"/>
      <c r="X571" s="281"/>
      <c r="Y571" s="281"/>
      <c r="Z571" s="281"/>
      <c r="AA571" s="281"/>
      <c r="AB571" s="281"/>
      <c r="AC571" s="281"/>
      <c r="AD571" s="281"/>
    </row>
    <row r="572" spans="1:30" s="288" customFormat="1" x14ac:dyDescent="0.25">
      <c r="A572" s="287"/>
      <c r="B572" s="274">
        <f t="shared" si="69"/>
        <v>557</v>
      </c>
      <c r="C572" s="304">
        <f t="shared" ca="1" si="77"/>
        <v>0</v>
      </c>
      <c r="D572" s="304">
        <f ca="1">IF(ROUND(E571,0)&lt;&gt;0, IF(ROUND(D571,0)&lt;&gt;0, 'Career Comparison'!$F$28-C572, 0), 0)</f>
        <v>0</v>
      </c>
      <c r="E572" s="304">
        <f ca="1">IF(G$7&gt;=B572, E571*(1+'Government Figures'!$D$8/12)-'Career Comparison'!$F$28, 0)</f>
        <v>0</v>
      </c>
      <c r="F572" s="312">
        <f>'College Schedule'!$L$8*(1+'Government Figures'!$B$8/12)^B572</f>
        <v>5154.4189879711121</v>
      </c>
      <c r="G572" s="278">
        <v>1</v>
      </c>
      <c r="H572" s="279">
        <f t="shared" ca="1" si="70"/>
        <v>0.17320110972991043</v>
      </c>
      <c r="I572" s="304">
        <f>G572*('College Schedule'!$L$9)*(1+'Government Figures'!$B$8/12)^B572</f>
        <v>11478.644641190238</v>
      </c>
      <c r="J572" s="304">
        <f t="shared" ca="1" si="78"/>
        <v>4336.1116631696877</v>
      </c>
      <c r="K572" s="304">
        <f t="shared" ca="1" si="79"/>
        <v>679.36206201643415</v>
      </c>
      <c r="L572" s="278">
        <v>1</v>
      </c>
      <c r="M572" s="279">
        <f t="shared" si="71"/>
        <v>0.13735784313725496</v>
      </c>
      <c r="N572" s="304">
        <f>L572*('College Schedule'!$L$10)*(1+'Government Figures'!$B$8/12)^B572</f>
        <v>6887.1867847141439</v>
      </c>
      <c r="O572" s="304">
        <f t="shared" si="80"/>
        <v>786.75867471129095</v>
      </c>
      <c r="P572" s="304">
        <f t="shared" si="81"/>
        <v>123.26573600516221</v>
      </c>
      <c r="Q572" s="274"/>
      <c r="R572" s="281"/>
      <c r="S572" s="281"/>
      <c r="T572" s="281"/>
      <c r="U572" s="281"/>
      <c r="V572" s="281"/>
      <c r="W572" s="281"/>
      <c r="X572" s="281"/>
      <c r="Y572" s="281"/>
      <c r="Z572" s="281"/>
      <c r="AA572" s="281"/>
      <c r="AB572" s="281"/>
      <c r="AC572" s="281"/>
      <c r="AD572" s="281"/>
    </row>
    <row r="573" spans="1:30" s="288" customFormat="1" x14ac:dyDescent="0.25">
      <c r="A573" s="287"/>
      <c r="B573" s="274">
        <f t="shared" si="69"/>
        <v>558</v>
      </c>
      <c r="C573" s="304">
        <f t="shared" ca="1" si="77"/>
        <v>0</v>
      </c>
      <c r="D573" s="304">
        <f ca="1">IF(ROUND(E572,0)&lt;&gt;0, IF(ROUND(D572,0)&lt;&gt;0, 'Career Comparison'!$F$28-C573, 0), 0)</f>
        <v>0</v>
      </c>
      <c r="E573" s="304">
        <f ca="1">IF(G$7&gt;=B573, E572*(1+'Government Figures'!$D$8/12)-'Career Comparison'!$F$28, 0)</f>
        <v>0</v>
      </c>
      <c r="F573" s="312">
        <f>'College Schedule'!$L$8*(1+'Government Figures'!$B$8/12)^B573</f>
        <v>5163.0096862843975</v>
      </c>
      <c r="G573" s="278">
        <v>1</v>
      </c>
      <c r="H573" s="279">
        <f t="shared" ca="1" si="70"/>
        <v>0.17320110972991043</v>
      </c>
      <c r="I573" s="304">
        <f>G573*('College Schedule'!$L$9)*(1+'Government Figures'!$B$8/12)^B573</f>
        <v>11497.775715592223</v>
      </c>
      <c r="J573" s="304">
        <f t="shared" ca="1" si="78"/>
        <v>4343.3385159416366</v>
      </c>
      <c r="K573" s="304">
        <f t="shared" ca="1" si="79"/>
        <v>678.23355360776884</v>
      </c>
      <c r="L573" s="278">
        <v>1</v>
      </c>
      <c r="M573" s="279">
        <f t="shared" si="71"/>
        <v>0.13735784313725496</v>
      </c>
      <c r="N573" s="304">
        <f>L573*('College Schedule'!$L$10)*(1+'Government Figures'!$B$8/12)^B573</f>
        <v>6898.6654293553347</v>
      </c>
      <c r="O573" s="304">
        <f t="shared" si="80"/>
        <v>788.06993916914325</v>
      </c>
      <c r="P573" s="304">
        <f t="shared" si="81"/>
        <v>123.06097564634966</v>
      </c>
      <c r="Q573" s="274"/>
      <c r="R573" s="281"/>
      <c r="S573" s="281"/>
      <c r="T573" s="281"/>
      <c r="U573" s="281"/>
      <c r="V573" s="281"/>
      <c r="W573" s="281"/>
      <c r="X573" s="281"/>
      <c r="Y573" s="281"/>
      <c r="Z573" s="281"/>
      <c r="AA573" s="281"/>
      <c r="AB573" s="281"/>
      <c r="AC573" s="281"/>
      <c r="AD573" s="281"/>
    </row>
    <row r="574" spans="1:30" s="288" customFormat="1" x14ac:dyDescent="0.25">
      <c r="A574" s="287"/>
      <c r="B574" s="274">
        <f t="shared" si="69"/>
        <v>559</v>
      </c>
      <c r="C574" s="304">
        <f t="shared" ca="1" si="77"/>
        <v>0</v>
      </c>
      <c r="D574" s="304">
        <f ca="1">IF(ROUND(E573,0)&lt;&gt;0, IF(ROUND(D573,0)&lt;&gt;0, 'Career Comparison'!$F$28-C574, 0), 0)</f>
        <v>0</v>
      </c>
      <c r="E574" s="304">
        <f ca="1">IF(G$7&gt;=B574, E573*(1+'Government Figures'!$D$8/12)-'Career Comparison'!$F$28, 0)</f>
        <v>0</v>
      </c>
      <c r="F574" s="312">
        <f>'College Schedule'!$L$8*(1+'Government Figures'!$B$8/12)^B574</f>
        <v>5171.6147024282054</v>
      </c>
      <c r="G574" s="278">
        <v>1</v>
      </c>
      <c r="H574" s="279">
        <f t="shared" ca="1" si="70"/>
        <v>0.17320110972991043</v>
      </c>
      <c r="I574" s="304">
        <f>G574*('College Schedule'!$L$9)*(1+'Government Figures'!$B$8/12)^B574</f>
        <v>11516.938675118212</v>
      </c>
      <c r="J574" s="304">
        <f t="shared" ca="1" si="78"/>
        <v>4350.5774134682069</v>
      </c>
      <c r="K574" s="304">
        <f t="shared" ca="1" si="79"/>
        <v>677.10691979778915</v>
      </c>
      <c r="L574" s="278">
        <v>1</v>
      </c>
      <c r="M574" s="279">
        <f t="shared" si="71"/>
        <v>0.13735784313725496</v>
      </c>
      <c r="N574" s="304">
        <f>L574*('College Schedule'!$L$10)*(1+'Government Figures'!$B$8/12)^B574</f>
        <v>6910.1632050709286</v>
      </c>
      <c r="O574" s="304">
        <f t="shared" si="80"/>
        <v>789.38338906775971</v>
      </c>
      <c r="P574" s="304">
        <f t="shared" si="81"/>
        <v>122.85655542102366</v>
      </c>
      <c r="Q574" s="274"/>
      <c r="R574" s="281"/>
      <c r="S574" s="281"/>
      <c r="T574" s="281"/>
      <c r="U574" s="281"/>
      <c r="V574" s="281"/>
      <c r="W574" s="281"/>
      <c r="X574" s="281"/>
      <c r="Y574" s="281"/>
      <c r="Z574" s="281"/>
      <c r="AA574" s="281"/>
      <c r="AB574" s="281"/>
      <c r="AC574" s="281"/>
      <c r="AD574" s="281"/>
    </row>
    <row r="575" spans="1:30" s="288" customFormat="1" x14ac:dyDescent="0.25">
      <c r="A575" s="287"/>
      <c r="B575" s="274">
        <f t="shared" si="69"/>
        <v>560</v>
      </c>
      <c r="C575" s="304">
        <f t="shared" ca="1" si="77"/>
        <v>0</v>
      </c>
      <c r="D575" s="304">
        <f ca="1">IF(ROUND(E574,0)&lt;&gt;0, IF(ROUND(D574,0)&lt;&gt;0, 'Career Comparison'!$F$28-C575, 0), 0)</f>
        <v>0</v>
      </c>
      <c r="E575" s="304">
        <f ca="1">IF(G$7&gt;=B575, E574*(1+'Government Figures'!$D$8/12)-'Career Comparison'!$F$28, 0)</f>
        <v>0</v>
      </c>
      <c r="F575" s="312">
        <f>'College Schedule'!$L$8*(1+'Government Figures'!$B$8/12)^B575</f>
        <v>5180.2340602655868</v>
      </c>
      <c r="G575" s="278">
        <v>1</v>
      </c>
      <c r="H575" s="279">
        <f t="shared" ca="1" si="70"/>
        <v>0.17320110972991043</v>
      </c>
      <c r="I575" s="304">
        <f>G575*('College Schedule'!$L$9)*(1+'Government Figures'!$B$8/12)^B575</f>
        <v>11536.133572910077</v>
      </c>
      <c r="J575" s="304">
        <f t="shared" ca="1" si="78"/>
        <v>4357.8283758239895</v>
      </c>
      <c r="K575" s="304">
        <f t="shared" ca="1" si="79"/>
        <v>675.98215747254392</v>
      </c>
      <c r="L575" s="278">
        <v>1</v>
      </c>
      <c r="M575" s="279">
        <f t="shared" si="71"/>
        <v>0.13735784313725496</v>
      </c>
      <c r="N575" s="304">
        <f>L575*('College Schedule'!$L$10)*(1+'Government Figures'!$B$8/12)^B575</f>
        <v>6921.6801437460472</v>
      </c>
      <c r="O575" s="304">
        <f t="shared" si="80"/>
        <v>790.69902804953836</v>
      </c>
      <c r="P575" s="304">
        <f t="shared" si="81"/>
        <v>122.65247476417794</v>
      </c>
      <c r="Q575" s="274"/>
      <c r="R575" s="281"/>
      <c r="S575" s="281"/>
      <c r="T575" s="281"/>
      <c r="U575" s="281"/>
      <c r="V575" s="281"/>
      <c r="W575" s="281"/>
      <c r="X575" s="281"/>
      <c r="Y575" s="281"/>
      <c r="Z575" s="281"/>
      <c r="AA575" s="281"/>
      <c r="AB575" s="281"/>
      <c r="AC575" s="281"/>
      <c r="AD575" s="281"/>
    </row>
    <row r="576" spans="1:30" s="288" customFormat="1" x14ac:dyDescent="0.25">
      <c r="A576" s="287"/>
      <c r="B576" s="274">
        <f t="shared" si="69"/>
        <v>561</v>
      </c>
      <c r="C576" s="304">
        <f t="shared" ca="1" si="77"/>
        <v>0</v>
      </c>
      <c r="D576" s="304">
        <f ca="1">IF(ROUND(E575,0)&lt;&gt;0, IF(ROUND(D575,0)&lt;&gt;0, 'Career Comparison'!$F$28-C576, 0), 0)</f>
        <v>0</v>
      </c>
      <c r="E576" s="304">
        <f ca="1">IF(G$7&gt;=B576, E575*(1+'Government Figures'!$D$8/12)-'Career Comparison'!$F$28, 0)</f>
        <v>0</v>
      </c>
      <c r="F576" s="312">
        <f>'College Schedule'!$L$8*(1+'Government Figures'!$B$8/12)^B576</f>
        <v>5188.8677836993629</v>
      </c>
      <c r="G576" s="278">
        <v>1</v>
      </c>
      <c r="H576" s="279">
        <f t="shared" ca="1" si="70"/>
        <v>0.17320110972991043</v>
      </c>
      <c r="I576" s="304">
        <f>G576*('College Schedule'!$L$9)*(1+'Government Figures'!$B$8/12)^B576</f>
        <v>11555.360462198261</v>
      </c>
      <c r="J576" s="304">
        <f t="shared" ca="1" si="78"/>
        <v>4365.0914231170282</v>
      </c>
      <c r="K576" s="304">
        <f t="shared" ca="1" si="79"/>
        <v>674.85926352325373</v>
      </c>
      <c r="L576" s="278">
        <v>1</v>
      </c>
      <c r="M576" s="279">
        <f t="shared" si="71"/>
        <v>0.13735784313725496</v>
      </c>
      <c r="N576" s="304">
        <f>L576*('College Schedule'!$L$10)*(1+'Government Figures'!$B$8/12)^B576</f>
        <v>6933.2162773189575</v>
      </c>
      <c r="O576" s="304">
        <f t="shared" si="80"/>
        <v>792.01685976295448</v>
      </c>
      <c r="P576" s="304">
        <f t="shared" si="81"/>
        <v>122.44873311174578</v>
      </c>
      <c r="Q576" s="274"/>
      <c r="R576" s="281"/>
      <c r="S576" s="281"/>
      <c r="T576" s="281"/>
      <c r="U576" s="281"/>
      <c r="V576" s="281"/>
      <c r="W576" s="281"/>
      <c r="X576" s="281"/>
      <c r="Y576" s="281"/>
      <c r="Z576" s="281"/>
      <c r="AA576" s="281"/>
      <c r="AB576" s="281"/>
      <c r="AC576" s="281"/>
      <c r="AD576" s="281"/>
    </row>
    <row r="577" spans="1:30" s="288" customFormat="1" x14ac:dyDescent="0.25">
      <c r="A577" s="287"/>
      <c r="B577" s="274">
        <f t="shared" si="69"/>
        <v>562</v>
      </c>
      <c r="C577" s="304">
        <f t="shared" ca="1" si="77"/>
        <v>0</v>
      </c>
      <c r="D577" s="304">
        <f ca="1">IF(ROUND(E576,0)&lt;&gt;0, IF(ROUND(D576,0)&lt;&gt;0, 'Career Comparison'!$F$28-C577, 0), 0)</f>
        <v>0</v>
      </c>
      <c r="E577" s="304">
        <f ca="1">IF(G$7&gt;=B577, E576*(1+'Government Figures'!$D$8/12)-'Career Comparison'!$F$28, 0)</f>
        <v>0</v>
      </c>
      <c r="F577" s="312">
        <f>'College Schedule'!$L$8*(1+'Government Figures'!$B$8/12)^B577</f>
        <v>5197.5158966721947</v>
      </c>
      <c r="G577" s="278">
        <v>1</v>
      </c>
      <c r="H577" s="279">
        <f t="shared" ca="1" si="70"/>
        <v>0.17320110972991043</v>
      </c>
      <c r="I577" s="304">
        <f>G577*('College Schedule'!$L$9)*(1+'Government Figures'!$B$8/12)^B577</f>
        <v>11574.619396301925</v>
      </c>
      <c r="J577" s="304">
        <f t="shared" ca="1" si="78"/>
        <v>4372.3665754888907</v>
      </c>
      <c r="K577" s="304">
        <f t="shared" ca="1" si="79"/>
        <v>673.73823484630486</v>
      </c>
      <c r="L577" s="278">
        <v>1</v>
      </c>
      <c r="M577" s="279">
        <f t="shared" si="71"/>
        <v>0.13735784313725496</v>
      </c>
      <c r="N577" s="304">
        <f>L577*('College Schedule'!$L$10)*(1+'Government Figures'!$B$8/12)^B577</f>
        <v>6944.7716377811557</v>
      </c>
      <c r="O577" s="304">
        <f t="shared" si="80"/>
        <v>793.33688786255971</v>
      </c>
      <c r="P577" s="304">
        <f t="shared" si="81"/>
        <v>122.24532990059674</v>
      </c>
      <c r="Q577" s="274"/>
      <c r="R577" s="281"/>
      <c r="S577" s="281"/>
      <c r="T577" s="281"/>
      <c r="U577" s="281"/>
      <c r="V577" s="281"/>
      <c r="W577" s="281"/>
      <c r="X577" s="281"/>
      <c r="Y577" s="281"/>
      <c r="Z577" s="281"/>
      <c r="AA577" s="281"/>
      <c r="AB577" s="281"/>
      <c r="AC577" s="281"/>
      <c r="AD577" s="281"/>
    </row>
    <row r="578" spans="1:30" s="288" customFormat="1" x14ac:dyDescent="0.25">
      <c r="A578" s="287"/>
      <c r="B578" s="274">
        <f t="shared" si="69"/>
        <v>563</v>
      </c>
      <c r="C578" s="304">
        <f t="shared" ca="1" si="77"/>
        <v>0</v>
      </c>
      <c r="D578" s="304">
        <f ca="1">IF(ROUND(E577,0)&lt;&gt;0, IF(ROUND(D577,0)&lt;&gt;0, 'Career Comparison'!$F$28-C578, 0), 0)</f>
        <v>0</v>
      </c>
      <c r="E578" s="304">
        <f ca="1">IF(G$7&gt;=B578, E577*(1+'Government Figures'!$D$8/12)-'Career Comparison'!$F$28, 0)</f>
        <v>0</v>
      </c>
      <c r="F578" s="312">
        <f>'College Schedule'!$L$8*(1+'Government Figures'!$B$8/12)^B578</f>
        <v>5206.1784231666488</v>
      </c>
      <c r="G578" s="278">
        <v>1</v>
      </c>
      <c r="H578" s="279">
        <f t="shared" ca="1" si="70"/>
        <v>0.17320110972991043</v>
      </c>
      <c r="I578" s="304">
        <f>G578*('College Schedule'!$L$9)*(1+'Government Figures'!$B$8/12)^B578</f>
        <v>11593.910428629095</v>
      </c>
      <c r="J578" s="304">
        <f t="shared" ca="1" si="78"/>
        <v>4379.6538531147062</v>
      </c>
      <c r="K578" s="304">
        <f t="shared" ca="1" si="79"/>
        <v>672.61906834323781</v>
      </c>
      <c r="L578" s="278">
        <v>1</v>
      </c>
      <c r="M578" s="279">
        <f t="shared" si="71"/>
        <v>0.13735784313725496</v>
      </c>
      <c r="N578" s="304">
        <f>L578*('College Schedule'!$L$10)*(1+'Government Figures'!$B$8/12)^B578</f>
        <v>6956.3462571774589</v>
      </c>
      <c r="O578" s="304">
        <f t="shared" si="80"/>
        <v>794.65911600899835</v>
      </c>
      <c r="P578" s="304">
        <f t="shared" si="81"/>
        <v>122.04226456853608</v>
      </c>
      <c r="Q578" s="274"/>
      <c r="R578" s="281"/>
      <c r="S578" s="281"/>
      <c r="T578" s="281"/>
      <c r="U578" s="281"/>
      <c r="V578" s="281"/>
      <c r="W578" s="281"/>
      <c r="X578" s="281"/>
      <c r="Y578" s="281"/>
      <c r="Z578" s="281"/>
      <c r="AA578" s="281"/>
      <c r="AB578" s="281"/>
      <c r="AC578" s="281"/>
      <c r="AD578" s="281"/>
    </row>
    <row r="579" spans="1:30" s="288" customFormat="1" x14ac:dyDescent="0.25">
      <c r="A579" s="287"/>
      <c r="B579" s="274">
        <f t="shared" si="69"/>
        <v>564</v>
      </c>
      <c r="C579" s="304">
        <f t="shared" ca="1" si="77"/>
        <v>0</v>
      </c>
      <c r="D579" s="304">
        <f ca="1">IF(ROUND(E578,0)&lt;&gt;0, IF(ROUND(D578,0)&lt;&gt;0, 'Career Comparison'!$F$28-C579, 0), 0)</f>
        <v>0</v>
      </c>
      <c r="E579" s="304">
        <f ca="1">IF(G$7&gt;=B579, E578*(1+'Government Figures'!$D$8/12)-'Career Comparison'!$F$28, 0)</f>
        <v>0</v>
      </c>
      <c r="F579" s="312">
        <f>'College Schedule'!$L$8*(1+'Government Figures'!$B$8/12)^B579</f>
        <v>5214.8553872052598</v>
      </c>
      <c r="G579" s="278">
        <v>1</v>
      </c>
      <c r="H579" s="279">
        <f t="shared" ca="1" si="70"/>
        <v>0.17320110972991043</v>
      </c>
      <c r="I579" s="304">
        <f>G579*('College Schedule'!$L$9)*(1+'Government Figures'!$B$8/12)^B579</f>
        <v>11613.23361267681</v>
      </c>
      <c r="J579" s="304">
        <f t="shared" ca="1" si="78"/>
        <v>4386.9532762032304</v>
      </c>
      <c r="K579" s="304">
        <f t="shared" ca="1" si="79"/>
        <v>671.50176092074071</v>
      </c>
      <c r="L579" s="278">
        <v>1</v>
      </c>
      <c r="M579" s="279">
        <f t="shared" si="71"/>
        <v>0.13735784313725496</v>
      </c>
      <c r="N579" s="304">
        <f>L579*('College Schedule'!$L$10)*(1+'Government Figures'!$B$8/12)^B579</f>
        <v>6967.940167606087</v>
      </c>
      <c r="O579" s="304">
        <f t="shared" si="80"/>
        <v>795.983547869012</v>
      </c>
      <c r="P579" s="304">
        <f t="shared" si="81"/>
        <v>121.83953655430243</v>
      </c>
      <c r="Q579" s="274"/>
      <c r="R579" s="281"/>
      <c r="S579" s="281"/>
      <c r="T579" s="281"/>
      <c r="U579" s="281"/>
      <c r="V579" s="281"/>
      <c r="W579" s="281"/>
      <c r="X579" s="281"/>
      <c r="Y579" s="281"/>
      <c r="Z579" s="281"/>
      <c r="AA579" s="281"/>
      <c r="AB579" s="281"/>
      <c r="AC579" s="281"/>
      <c r="AD579" s="281"/>
    </row>
    <row r="580" spans="1:30" s="288" customFormat="1" x14ac:dyDescent="0.25">
      <c r="A580" s="287"/>
      <c r="B580" s="274">
        <f t="shared" si="69"/>
        <v>565</v>
      </c>
      <c r="C580" s="304">
        <f t="shared" ca="1" si="77"/>
        <v>0</v>
      </c>
      <c r="D580" s="304">
        <f ca="1">IF(ROUND(E579,0)&lt;&gt;0, IF(ROUND(D579,0)&lt;&gt;0, 'Career Comparison'!$F$28-C580, 0), 0)</f>
        <v>0</v>
      </c>
      <c r="E580" s="304">
        <f ca="1">IF(G$7&gt;=B580, E579*(1+'Government Figures'!$D$8/12)-'Career Comparison'!$F$28, 0)</f>
        <v>0</v>
      </c>
      <c r="F580" s="312">
        <f>'College Schedule'!$L$8*(1+'Government Figures'!$B$8/12)^B580</f>
        <v>5223.5468128506027</v>
      </c>
      <c r="G580" s="278">
        <v>1</v>
      </c>
      <c r="H580" s="279">
        <f t="shared" ca="1" si="70"/>
        <v>0.17320110972991043</v>
      </c>
      <c r="I580" s="304">
        <f>G580*('College Schedule'!$L$9)*(1+'Government Figures'!$B$8/12)^B580</f>
        <v>11632.589002031273</v>
      </c>
      <c r="J580" s="304">
        <f t="shared" ca="1" si="78"/>
        <v>4394.2648649969024</v>
      </c>
      <c r="K580" s="304">
        <f t="shared" ca="1" si="79"/>
        <v>670.38630949063986</v>
      </c>
      <c r="L580" s="278">
        <v>1</v>
      </c>
      <c r="M580" s="279">
        <f t="shared" si="71"/>
        <v>0.13735784313725496</v>
      </c>
      <c r="N580" s="304">
        <f>L580*('College Schedule'!$L$10)*(1+'Government Figures'!$B$8/12)^B580</f>
        <v>6979.5534012187654</v>
      </c>
      <c r="O580" s="304">
        <f t="shared" si="80"/>
        <v>797.3101871154613</v>
      </c>
      <c r="P580" s="304">
        <f t="shared" si="81"/>
        <v>121.63714529756786</v>
      </c>
      <c r="Q580" s="274"/>
      <c r="R580" s="281"/>
      <c r="S580" s="281"/>
      <c r="T580" s="281"/>
      <c r="U580" s="281"/>
      <c r="V580" s="281"/>
      <c r="W580" s="281"/>
      <c r="X580" s="281"/>
      <c r="Y580" s="281"/>
      <c r="Z580" s="281"/>
      <c r="AA580" s="281"/>
      <c r="AB580" s="281"/>
      <c r="AC580" s="281"/>
      <c r="AD580" s="281"/>
    </row>
    <row r="581" spans="1:30" s="288" customFormat="1" x14ac:dyDescent="0.25">
      <c r="A581" s="287"/>
      <c r="B581" s="274">
        <f t="shared" si="69"/>
        <v>566</v>
      </c>
      <c r="C581" s="304">
        <f t="shared" ca="1" si="77"/>
        <v>0</v>
      </c>
      <c r="D581" s="304">
        <f ca="1">IF(ROUND(E580,0)&lt;&gt;0, IF(ROUND(D580,0)&lt;&gt;0, 'Career Comparison'!$F$28-C581, 0), 0)</f>
        <v>0</v>
      </c>
      <c r="E581" s="304">
        <f ca="1">IF(G$7&gt;=B581, E580*(1+'Government Figures'!$D$8/12)-'Career Comparison'!$F$28, 0)</f>
        <v>0</v>
      </c>
      <c r="F581" s="312">
        <f>'College Schedule'!$L$8*(1+'Government Figures'!$B$8/12)^B581</f>
        <v>5232.2527242053548</v>
      </c>
      <c r="G581" s="278">
        <v>1</v>
      </c>
      <c r="H581" s="279">
        <f t="shared" ca="1" si="70"/>
        <v>0.17320110972991043</v>
      </c>
      <c r="I581" s="304">
        <f>G581*('College Schedule'!$L$9)*(1+'Government Figures'!$B$8/12)^B581</f>
        <v>11651.976650367993</v>
      </c>
      <c r="J581" s="304">
        <f t="shared" ca="1" si="78"/>
        <v>4401.5886397718969</v>
      </c>
      <c r="K581" s="304">
        <f t="shared" ca="1" si="79"/>
        <v>669.27271096989102</v>
      </c>
      <c r="L581" s="278">
        <v>1</v>
      </c>
      <c r="M581" s="279">
        <f t="shared" si="71"/>
        <v>0.13735784313725496</v>
      </c>
      <c r="N581" s="304">
        <f>L581*('College Schedule'!$L$10)*(1+'Government Figures'!$B$8/12)^B581</f>
        <v>6991.1859902207971</v>
      </c>
      <c r="O581" s="304">
        <f t="shared" si="80"/>
        <v>798.63903742731964</v>
      </c>
      <c r="P581" s="304">
        <f t="shared" si="81"/>
        <v>121.43509023893388</v>
      </c>
      <c r="Q581" s="274"/>
      <c r="R581" s="281"/>
      <c r="S581" s="281"/>
      <c r="T581" s="281"/>
      <c r="U581" s="281"/>
      <c r="V581" s="281"/>
      <c r="W581" s="281"/>
      <c r="X581" s="281"/>
      <c r="Y581" s="281"/>
      <c r="Z581" s="281"/>
      <c r="AA581" s="281"/>
      <c r="AB581" s="281"/>
      <c r="AC581" s="281"/>
      <c r="AD581" s="281"/>
    </row>
    <row r="582" spans="1:30" s="288" customFormat="1" x14ac:dyDescent="0.25">
      <c r="A582" s="287"/>
      <c r="B582" s="274">
        <f t="shared" si="69"/>
        <v>567</v>
      </c>
      <c r="C582" s="304">
        <f t="shared" ca="1" si="77"/>
        <v>0</v>
      </c>
      <c r="D582" s="304">
        <f ca="1">IF(ROUND(E581,0)&lt;&gt;0, IF(ROUND(D581,0)&lt;&gt;0, 'Career Comparison'!$F$28-C582, 0), 0)</f>
        <v>0</v>
      </c>
      <c r="E582" s="304">
        <f ca="1">IF(G$7&gt;=B582, E581*(1+'Government Figures'!$D$8/12)-'Career Comparison'!$F$28, 0)</f>
        <v>0</v>
      </c>
      <c r="F582" s="312">
        <f>'College Schedule'!$L$8*(1+'Government Figures'!$B$8/12)^B582</f>
        <v>5240.973145412363</v>
      </c>
      <c r="G582" s="278">
        <v>1</v>
      </c>
      <c r="H582" s="279">
        <f t="shared" ca="1" si="70"/>
        <v>0.17320110972991043</v>
      </c>
      <c r="I582" s="304">
        <f>G582*('College Schedule'!$L$9)*(1+'Government Figures'!$B$8/12)^B582</f>
        <v>11671.396611451939</v>
      </c>
      <c r="J582" s="304">
        <f t="shared" ca="1" si="78"/>
        <v>4408.9246208381846</v>
      </c>
      <c r="K582" s="304">
        <f t="shared" ca="1" si="79"/>
        <v>668.16096228057245</v>
      </c>
      <c r="L582" s="278">
        <v>1</v>
      </c>
      <c r="M582" s="279">
        <f t="shared" si="71"/>
        <v>0.13735784313725496</v>
      </c>
      <c r="N582" s="304">
        <f>L582*('College Schedule'!$L$10)*(1+'Government Figures'!$B$8/12)^B582</f>
        <v>7002.837966871165</v>
      </c>
      <c r="O582" s="304">
        <f t="shared" si="80"/>
        <v>799.97010248969946</v>
      </c>
      <c r="P582" s="304">
        <f t="shared" si="81"/>
        <v>121.23337081993246</v>
      </c>
      <c r="Q582" s="274"/>
      <c r="R582" s="281"/>
      <c r="S582" s="281"/>
      <c r="T582" s="281"/>
      <c r="U582" s="281"/>
      <c r="V582" s="281"/>
      <c r="W582" s="281"/>
      <c r="X582" s="281"/>
      <c r="Y582" s="281"/>
      <c r="Z582" s="281"/>
      <c r="AA582" s="281"/>
      <c r="AB582" s="281"/>
      <c r="AC582" s="281"/>
      <c r="AD582" s="281"/>
    </row>
    <row r="583" spans="1:30" s="288" customFormat="1" x14ac:dyDescent="0.25">
      <c r="A583" s="287"/>
      <c r="B583" s="274">
        <f t="shared" si="69"/>
        <v>568</v>
      </c>
      <c r="C583" s="304">
        <f t="shared" ca="1" si="77"/>
        <v>0</v>
      </c>
      <c r="D583" s="304">
        <f ca="1">IF(ROUND(E582,0)&lt;&gt;0, IF(ROUND(D582,0)&lt;&gt;0, 'Career Comparison'!$F$28-C583, 0), 0)</f>
        <v>0</v>
      </c>
      <c r="E583" s="304">
        <f ca="1">IF(G$7&gt;=B583, E582*(1+'Government Figures'!$D$8/12)-'Career Comparison'!$F$28, 0)</f>
        <v>0</v>
      </c>
      <c r="F583" s="312">
        <f>'College Schedule'!$L$8*(1+'Government Figures'!$B$8/12)^B583</f>
        <v>5249.7081006547187</v>
      </c>
      <c r="G583" s="278">
        <v>1</v>
      </c>
      <c r="H583" s="279">
        <f t="shared" ca="1" si="70"/>
        <v>0.17320110972991043</v>
      </c>
      <c r="I583" s="304">
        <f>G583*('College Schedule'!$L$9)*(1+'Government Figures'!$B$8/12)^B583</f>
        <v>11690.848939137697</v>
      </c>
      <c r="J583" s="304">
        <f t="shared" ca="1" si="78"/>
        <v>4416.2728285395833</v>
      </c>
      <c r="K583" s="304">
        <f t="shared" ca="1" si="79"/>
        <v>667.05106034987398</v>
      </c>
      <c r="L583" s="278">
        <v>1</v>
      </c>
      <c r="M583" s="279">
        <f t="shared" si="71"/>
        <v>0.13735784313725496</v>
      </c>
      <c r="N583" s="304">
        <f>L583*('College Schedule'!$L$10)*(1+'Government Figures'!$B$8/12)^B583</f>
        <v>7014.5093634826189</v>
      </c>
      <c r="O583" s="304">
        <f t="shared" si="80"/>
        <v>801.30338599384868</v>
      </c>
      <c r="P583" s="304">
        <f t="shared" si="81"/>
        <v>121.03198648302222</v>
      </c>
      <c r="Q583" s="274"/>
      <c r="R583" s="281"/>
      <c r="S583" s="281"/>
      <c r="T583" s="281"/>
      <c r="U583" s="281"/>
      <c r="V583" s="281"/>
      <c r="W583" s="281"/>
      <c r="X583" s="281"/>
      <c r="Y583" s="281"/>
      <c r="Z583" s="281"/>
      <c r="AA583" s="281"/>
      <c r="AB583" s="281"/>
      <c r="AC583" s="281"/>
      <c r="AD583" s="281"/>
    </row>
    <row r="584" spans="1:30" s="288" customFormat="1" x14ac:dyDescent="0.25">
      <c r="A584" s="287"/>
      <c r="B584" s="274">
        <f t="shared" si="69"/>
        <v>569</v>
      </c>
      <c r="C584" s="304">
        <f t="shared" ca="1" si="77"/>
        <v>0</v>
      </c>
      <c r="D584" s="304">
        <f ca="1">IF(ROUND(E583,0)&lt;&gt;0, IF(ROUND(D583,0)&lt;&gt;0, 'Career Comparison'!$F$28-C584, 0), 0)</f>
        <v>0</v>
      </c>
      <c r="E584" s="304">
        <f ca="1">IF(G$7&gt;=B584, E583*(1+'Government Figures'!$D$8/12)-'Career Comparison'!$F$28, 0)</f>
        <v>0</v>
      </c>
      <c r="F584" s="312">
        <f>'College Schedule'!$L$8*(1+'Government Figures'!$B$8/12)^B584</f>
        <v>5258.4576141558091</v>
      </c>
      <c r="G584" s="278">
        <v>1</v>
      </c>
      <c r="H584" s="279">
        <f t="shared" ca="1" si="70"/>
        <v>0.17320110972991043</v>
      </c>
      <c r="I584" s="304">
        <f>G584*('College Schedule'!$L$9)*(1+'Government Figures'!$B$8/12)^B584</f>
        <v>11710.333687369592</v>
      </c>
      <c r="J584" s="304">
        <f t="shared" ca="1" si="78"/>
        <v>4423.6332832538146</v>
      </c>
      <c r="K584" s="304">
        <f t="shared" ca="1" si="79"/>
        <v>665.94300211008999</v>
      </c>
      <c r="L584" s="278">
        <v>1</v>
      </c>
      <c r="M584" s="279">
        <f t="shared" si="71"/>
        <v>0.13735784313725496</v>
      </c>
      <c r="N584" s="304">
        <f>L584*('College Schedule'!$L$10)*(1+'Government Figures'!$B$8/12)^B584</f>
        <v>7026.2002124217561</v>
      </c>
      <c r="O584" s="304">
        <f t="shared" si="80"/>
        <v>802.63889163717158</v>
      </c>
      <c r="P584" s="304">
        <f t="shared" si="81"/>
        <v>120.8309366715886</v>
      </c>
      <c r="Q584" s="274"/>
      <c r="R584" s="281"/>
      <c r="S584" s="281"/>
      <c r="T584" s="281"/>
      <c r="U584" s="281"/>
      <c r="V584" s="281"/>
      <c r="W584" s="281"/>
      <c r="X584" s="281"/>
      <c r="Y584" s="281"/>
      <c r="Z584" s="281"/>
      <c r="AA584" s="281"/>
      <c r="AB584" s="281"/>
      <c r="AC584" s="281"/>
      <c r="AD584" s="281"/>
    </row>
    <row r="585" spans="1:30" s="288" customFormat="1" x14ac:dyDescent="0.25">
      <c r="A585" s="287"/>
      <c r="B585" s="274">
        <f t="shared" si="69"/>
        <v>570</v>
      </c>
      <c r="C585" s="304">
        <f t="shared" ca="1" si="77"/>
        <v>0</v>
      </c>
      <c r="D585" s="304">
        <f ca="1">IF(ROUND(E584,0)&lt;&gt;0, IF(ROUND(D584,0)&lt;&gt;0, 'Career Comparison'!$F$28-C585, 0), 0)</f>
        <v>0</v>
      </c>
      <c r="E585" s="304">
        <f ca="1">IF(G$7&gt;=B585, E584*(1+'Government Figures'!$D$8/12)-'Career Comparison'!$F$28, 0)</f>
        <v>0</v>
      </c>
      <c r="F585" s="312">
        <f>'College Schedule'!$L$8*(1+'Government Figures'!$B$8/12)^B585</f>
        <v>5267.2217101794031</v>
      </c>
      <c r="G585" s="278">
        <v>1</v>
      </c>
      <c r="H585" s="279">
        <f t="shared" ca="1" si="70"/>
        <v>0.17320110972991043</v>
      </c>
      <c r="I585" s="304">
        <f>G585*('College Schedule'!$L$9)*(1+'Government Figures'!$B$8/12)^B585</f>
        <v>11729.850910181874</v>
      </c>
      <c r="J585" s="304">
        <f t="shared" ca="1" si="78"/>
        <v>4431.0060053925699</v>
      </c>
      <c r="K585" s="304">
        <f t="shared" ca="1" si="79"/>
        <v>664.83678449861122</v>
      </c>
      <c r="L585" s="278">
        <v>1</v>
      </c>
      <c r="M585" s="279">
        <f t="shared" si="71"/>
        <v>0.13735784313725496</v>
      </c>
      <c r="N585" s="304">
        <f>L585*('College Schedule'!$L$10)*(1+'Government Figures'!$B$8/12)^B585</f>
        <v>7037.9105461091258</v>
      </c>
      <c r="O585" s="304">
        <f t="shared" si="80"/>
        <v>803.97662312323337</v>
      </c>
      <c r="P585" s="304">
        <f t="shared" si="81"/>
        <v>120.63022082994141</v>
      </c>
      <c r="Q585" s="274"/>
      <c r="R585" s="281"/>
      <c r="S585" s="281"/>
      <c r="T585" s="281"/>
      <c r="U585" s="281"/>
      <c r="V585" s="281"/>
      <c r="W585" s="281"/>
      <c r="X585" s="281"/>
      <c r="Y585" s="281"/>
      <c r="Z585" s="281"/>
      <c r="AA585" s="281"/>
      <c r="AB585" s="281"/>
      <c r="AC585" s="281"/>
      <c r="AD585" s="281"/>
    </row>
    <row r="586" spans="1:30" s="288" customFormat="1" x14ac:dyDescent="0.25">
      <c r="A586" s="287"/>
      <c r="B586" s="274">
        <f t="shared" si="69"/>
        <v>571</v>
      </c>
      <c r="C586" s="304">
        <f t="shared" ca="1" si="77"/>
        <v>0</v>
      </c>
      <c r="D586" s="304">
        <f ca="1">IF(ROUND(E585,0)&lt;&gt;0, IF(ROUND(D585,0)&lt;&gt;0, 'Career Comparison'!$F$28-C586, 0), 0)</f>
        <v>0</v>
      </c>
      <c r="E586" s="304">
        <f ca="1">IF(G$7&gt;=B586, E585*(1+'Government Figures'!$D$8/12)-'Career Comparison'!$F$28, 0)</f>
        <v>0</v>
      </c>
      <c r="F586" s="312">
        <f>'College Schedule'!$L$8*(1+'Government Figures'!$B$8/12)^B586</f>
        <v>5276.000413029702</v>
      </c>
      <c r="G586" s="278">
        <v>1</v>
      </c>
      <c r="H586" s="279">
        <f t="shared" ca="1" si="70"/>
        <v>0.17320110972991043</v>
      </c>
      <c r="I586" s="304">
        <f>G586*('College Schedule'!$L$9)*(1+'Government Figures'!$B$8/12)^B586</f>
        <v>11749.400661698844</v>
      </c>
      <c r="J586" s="304">
        <f t="shared" ca="1" si="78"/>
        <v>4438.3910154015593</v>
      </c>
      <c r="K586" s="304">
        <f t="shared" ca="1" si="79"/>
        <v>663.732404457916</v>
      </c>
      <c r="L586" s="278">
        <v>1</v>
      </c>
      <c r="M586" s="279">
        <f t="shared" si="71"/>
        <v>0.13735784313725496</v>
      </c>
      <c r="N586" s="304">
        <f>L586*('College Schedule'!$L$10)*(1+'Government Figures'!$B$8/12)^B586</f>
        <v>7049.6403970193078</v>
      </c>
      <c r="O586" s="304">
        <f t="shared" si="80"/>
        <v>805.31658416177197</v>
      </c>
      <c r="P586" s="304">
        <f t="shared" si="81"/>
        <v>120.42983840331357</v>
      </c>
      <c r="Q586" s="274"/>
      <c r="R586" s="281"/>
      <c r="S586" s="281"/>
      <c r="T586" s="281"/>
      <c r="U586" s="281"/>
      <c r="V586" s="281"/>
      <c r="W586" s="281"/>
      <c r="X586" s="281"/>
      <c r="Y586" s="281"/>
      <c r="Z586" s="281"/>
      <c r="AA586" s="281"/>
      <c r="AB586" s="281"/>
      <c r="AC586" s="281"/>
      <c r="AD586" s="281"/>
    </row>
    <row r="587" spans="1:30" s="288" customFormat="1" x14ac:dyDescent="0.25">
      <c r="A587" s="287"/>
      <c r="B587" s="274">
        <f t="shared" si="69"/>
        <v>572</v>
      </c>
      <c r="C587" s="304">
        <f t="shared" ca="1" si="77"/>
        <v>0</v>
      </c>
      <c r="D587" s="304">
        <f ca="1">IF(ROUND(E586,0)&lt;&gt;0, IF(ROUND(D586,0)&lt;&gt;0, 'Career Comparison'!$F$28-C587, 0), 0)</f>
        <v>0</v>
      </c>
      <c r="E587" s="304">
        <f ca="1">IF(G$7&gt;=B587, E586*(1+'Government Figures'!$D$8/12)-'Career Comparison'!$F$28, 0)</f>
        <v>0</v>
      </c>
      <c r="F587" s="312">
        <f>'College Schedule'!$L$8*(1+'Government Figures'!$B$8/12)^B587</f>
        <v>5284.7937470514189</v>
      </c>
      <c r="G587" s="278">
        <v>1</v>
      </c>
      <c r="H587" s="279">
        <f t="shared" ca="1" si="70"/>
        <v>0.17320110972991043</v>
      </c>
      <c r="I587" s="304">
        <f>G587*('College Schedule'!$L$9)*(1+'Government Figures'!$B$8/12)^B587</f>
        <v>11768.982996135011</v>
      </c>
      <c r="J587" s="304">
        <f t="shared" ca="1" si="78"/>
        <v>4445.7883337605617</v>
      </c>
      <c r="K587" s="304">
        <f t="shared" ca="1" si="79"/>
        <v>662.62985893556061</v>
      </c>
      <c r="L587" s="278">
        <v>1</v>
      </c>
      <c r="M587" s="279">
        <f t="shared" si="71"/>
        <v>0.13735784313725496</v>
      </c>
      <c r="N587" s="304">
        <f>L587*('College Schedule'!$L$10)*(1+'Government Figures'!$B$8/12)^B587</f>
        <v>7061.3897976810076</v>
      </c>
      <c r="O587" s="304">
        <f t="shared" si="80"/>
        <v>806.65877846870808</v>
      </c>
      <c r="P587" s="304">
        <f t="shared" si="81"/>
        <v>120.22978883785953</v>
      </c>
      <c r="Q587" s="274"/>
      <c r="R587" s="281"/>
      <c r="S587" s="281"/>
      <c r="T587" s="281"/>
      <c r="U587" s="281"/>
      <c r="V587" s="281"/>
      <c r="W587" s="281"/>
      <c r="X587" s="281"/>
      <c r="Y587" s="281"/>
      <c r="Z587" s="281"/>
      <c r="AA587" s="281"/>
      <c r="AB587" s="281"/>
      <c r="AC587" s="281"/>
      <c r="AD587" s="281"/>
    </row>
    <row r="588" spans="1:30" s="288" customFormat="1" x14ac:dyDescent="0.25">
      <c r="A588" s="287"/>
      <c r="B588" s="274">
        <f t="shared" si="69"/>
        <v>573</v>
      </c>
      <c r="C588" s="304">
        <f t="shared" ca="1" si="77"/>
        <v>0</v>
      </c>
      <c r="D588" s="304">
        <f ca="1">IF(ROUND(E587,0)&lt;&gt;0, IF(ROUND(D587,0)&lt;&gt;0, 'Career Comparison'!$F$28-C588, 0), 0)</f>
        <v>0</v>
      </c>
      <c r="E588" s="304">
        <f ca="1">IF(G$7&gt;=B588, E587*(1+'Government Figures'!$D$8/12)-'Career Comparison'!$F$28, 0)</f>
        <v>0</v>
      </c>
      <c r="F588" s="312">
        <f>'College Schedule'!$L$8*(1+'Government Figures'!$B$8/12)^B588</f>
        <v>5293.6017366298383</v>
      </c>
      <c r="G588" s="278">
        <v>1</v>
      </c>
      <c r="H588" s="279">
        <f t="shared" ca="1" si="70"/>
        <v>0.17320110972991043</v>
      </c>
      <c r="I588" s="304">
        <f>G588*('College Schedule'!$L$9)*(1+'Government Figures'!$B$8/12)^B588</f>
        <v>11788.597967795238</v>
      </c>
      <c r="J588" s="304">
        <f t="shared" ca="1" si="78"/>
        <v>4453.1979809834975</v>
      </c>
      <c r="K588" s="304">
        <f t="shared" ca="1" si="79"/>
        <v>661.52914488417298</v>
      </c>
      <c r="L588" s="278">
        <v>1</v>
      </c>
      <c r="M588" s="279">
        <f t="shared" si="71"/>
        <v>0.13735784313725496</v>
      </c>
      <c r="N588" s="304">
        <f>L588*('College Schedule'!$L$10)*(1+'Government Figures'!$B$8/12)^B588</f>
        <v>7073.158780677144</v>
      </c>
      <c r="O588" s="304">
        <f t="shared" si="80"/>
        <v>808.00320976615694</v>
      </c>
      <c r="P588" s="304">
        <f t="shared" si="81"/>
        <v>120.03007158065395</v>
      </c>
      <c r="Q588" s="274"/>
      <c r="R588" s="281"/>
      <c r="S588" s="281"/>
      <c r="T588" s="281"/>
      <c r="U588" s="281"/>
      <c r="V588" s="281"/>
      <c r="W588" s="281"/>
      <c r="X588" s="281"/>
      <c r="Y588" s="281"/>
      <c r="Z588" s="281"/>
      <c r="AA588" s="281"/>
      <c r="AB588" s="281"/>
      <c r="AC588" s="281"/>
      <c r="AD588" s="281"/>
    </row>
    <row r="589" spans="1:30" s="288" customFormat="1" x14ac:dyDescent="0.25">
      <c r="A589" s="287"/>
      <c r="B589" s="274">
        <f t="shared" si="69"/>
        <v>574</v>
      </c>
      <c r="C589" s="304">
        <f t="shared" ca="1" si="77"/>
        <v>0</v>
      </c>
      <c r="D589" s="304">
        <f ca="1">IF(ROUND(E588,0)&lt;&gt;0, IF(ROUND(D588,0)&lt;&gt;0, 'Career Comparison'!$F$28-C589, 0), 0)</f>
        <v>0</v>
      </c>
      <c r="E589" s="304">
        <f ca="1">IF(G$7&gt;=B589, E588*(1+'Government Figures'!$D$8/12)-'Career Comparison'!$F$28, 0)</f>
        <v>0</v>
      </c>
      <c r="F589" s="312">
        <f>'College Schedule'!$L$8*(1+'Government Figures'!$B$8/12)^B589</f>
        <v>5302.4244061908876</v>
      </c>
      <c r="G589" s="278">
        <v>1</v>
      </c>
      <c r="H589" s="279">
        <f t="shared" ca="1" si="70"/>
        <v>0.17320110972991043</v>
      </c>
      <c r="I589" s="304">
        <f>G589*('College Schedule'!$L$9)*(1+'Government Figures'!$B$8/12)^B589</f>
        <v>11808.245631074897</v>
      </c>
      <c r="J589" s="304">
        <f t="shared" ca="1" si="78"/>
        <v>4460.6199776184703</v>
      </c>
      <c r="K589" s="304">
        <f t="shared" ca="1" si="79"/>
        <v>660.43025926144173</v>
      </c>
      <c r="L589" s="278">
        <v>1</v>
      </c>
      <c r="M589" s="279">
        <f t="shared" si="71"/>
        <v>0.13735784313725496</v>
      </c>
      <c r="N589" s="304">
        <f>L589*('College Schedule'!$L$10)*(1+'Government Figures'!$B$8/12)^B589</f>
        <v>7084.9473786449389</v>
      </c>
      <c r="O589" s="304">
        <f t="shared" si="80"/>
        <v>809.34988178243384</v>
      </c>
      <c r="P589" s="304">
        <f t="shared" si="81"/>
        <v>119.83068607968939</v>
      </c>
      <c r="Q589" s="274"/>
      <c r="R589" s="281"/>
      <c r="S589" s="281"/>
      <c r="T589" s="281"/>
      <c r="U589" s="281"/>
      <c r="V589" s="281"/>
      <c r="W589" s="281"/>
      <c r="X589" s="281"/>
      <c r="Y589" s="281"/>
      <c r="Z589" s="281"/>
      <c r="AA589" s="281"/>
      <c r="AB589" s="281"/>
      <c r="AC589" s="281"/>
      <c r="AD589" s="281"/>
    </row>
    <row r="590" spans="1:30" s="288" customFormat="1" x14ac:dyDescent="0.25">
      <c r="A590" s="287"/>
      <c r="B590" s="274">
        <f t="shared" si="69"/>
        <v>575</v>
      </c>
      <c r="C590" s="304">
        <f t="shared" ca="1" si="77"/>
        <v>0</v>
      </c>
      <c r="D590" s="304">
        <f ca="1">IF(ROUND(E589,0)&lt;&gt;0, IF(ROUND(D589,0)&lt;&gt;0, 'Career Comparison'!$F$28-C590, 0), 0)</f>
        <v>0</v>
      </c>
      <c r="E590" s="304">
        <f ca="1">IF(G$7&gt;=B590, E589*(1+'Government Figures'!$D$8/12)-'Career Comparison'!$F$28, 0)</f>
        <v>0</v>
      </c>
      <c r="F590" s="312">
        <f>'College Schedule'!$L$8*(1+'Government Figures'!$B$8/12)^B590</f>
        <v>5311.2617802012073</v>
      </c>
      <c r="G590" s="278">
        <v>1</v>
      </c>
      <c r="H590" s="279">
        <f t="shared" ca="1" si="70"/>
        <v>0.17320110972991043</v>
      </c>
      <c r="I590" s="304">
        <f>G590*('College Schedule'!$L$9)*(1+'Government Figures'!$B$8/12)^B590</f>
        <v>11827.926040460023</v>
      </c>
      <c r="J590" s="304">
        <f t="shared" ca="1" si="78"/>
        <v>4468.0543442478347</v>
      </c>
      <c r="K590" s="304">
        <f t="shared" ca="1" si="79"/>
        <v>659.33319903011022</v>
      </c>
      <c r="L590" s="278">
        <v>1</v>
      </c>
      <c r="M590" s="279">
        <f t="shared" si="71"/>
        <v>0.13735784313725496</v>
      </c>
      <c r="N590" s="304">
        <f>L590*('College Schedule'!$L$10)*(1+'Government Figures'!$B$8/12)^B590</f>
        <v>7096.7556242760147</v>
      </c>
      <c r="O590" s="304">
        <f t="shared" si="80"/>
        <v>810.69879825207045</v>
      </c>
      <c r="P590" s="304">
        <f t="shared" si="81"/>
        <v>119.63163178387579</v>
      </c>
      <c r="Q590" s="274"/>
      <c r="R590" s="281"/>
      <c r="S590" s="281"/>
      <c r="T590" s="281"/>
      <c r="U590" s="281"/>
      <c r="V590" s="281"/>
      <c r="W590" s="281"/>
      <c r="X590" s="281"/>
      <c r="Y590" s="281"/>
      <c r="Z590" s="281"/>
      <c r="AA590" s="281"/>
      <c r="AB590" s="281"/>
      <c r="AC590" s="281"/>
      <c r="AD590" s="281"/>
    </row>
    <row r="591" spans="1:30" s="288" customFormat="1" x14ac:dyDescent="0.25">
      <c r="A591" s="287"/>
      <c r="B591" s="274">
        <f t="shared" si="69"/>
        <v>576</v>
      </c>
      <c r="C591" s="304">
        <f t="shared" ca="1" si="77"/>
        <v>0</v>
      </c>
      <c r="D591" s="304">
        <f ca="1">IF(ROUND(E590,0)&lt;&gt;0, IF(ROUND(D590,0)&lt;&gt;0, 'Career Comparison'!$F$28-C591, 0), 0)</f>
        <v>0</v>
      </c>
      <c r="E591" s="304">
        <f ca="1">IF(G$7&gt;=B591, E590*(1+'Government Figures'!$D$8/12)-'Career Comparison'!$F$28, 0)</f>
        <v>0</v>
      </c>
      <c r="F591" s="312">
        <f>'College Schedule'!$L$8*(1+'Government Figures'!$B$8/12)^B591</f>
        <v>5320.1138831682092</v>
      </c>
      <c r="G591" s="278">
        <v>1</v>
      </c>
      <c r="H591" s="279">
        <f t="shared" ca="1" si="70"/>
        <v>0.17320110972991043</v>
      </c>
      <c r="I591" s="304">
        <f>G591*('College Schedule'!$L$9)*(1+'Government Figures'!$B$8/12)^B591</f>
        <v>11847.639250527456</v>
      </c>
      <c r="J591" s="304">
        <f t="shared" ca="1" si="78"/>
        <v>4475.5011014882475</v>
      </c>
      <c r="K591" s="304">
        <f t="shared" ca="1" si="79"/>
        <v>658.23796115796722</v>
      </c>
      <c r="L591" s="278">
        <v>1</v>
      </c>
      <c r="M591" s="279">
        <f t="shared" si="71"/>
        <v>0.13735784313725496</v>
      </c>
      <c r="N591" s="304">
        <f>L591*('College Schedule'!$L$10)*(1+'Government Figures'!$B$8/12)^B591</f>
        <v>7108.5835503164753</v>
      </c>
      <c r="O591" s="304">
        <f t="shared" si="80"/>
        <v>812.04996291582484</v>
      </c>
      <c r="P591" s="304">
        <f t="shared" si="81"/>
        <v>119.43290814303893</v>
      </c>
      <c r="Q591" s="274"/>
      <c r="R591" s="281"/>
      <c r="S591" s="281"/>
      <c r="T591" s="281"/>
      <c r="U591" s="281"/>
      <c r="V591" s="281"/>
      <c r="W591" s="281"/>
      <c r="X591" s="281"/>
      <c r="Y591" s="281"/>
      <c r="Z591" s="281"/>
      <c r="AA591" s="281"/>
      <c r="AB591" s="281"/>
      <c r="AC591" s="281"/>
      <c r="AD591" s="281"/>
    </row>
    <row r="592" spans="1:30" s="288" customFormat="1" x14ac:dyDescent="0.25">
      <c r="A592" s="287"/>
      <c r="B592" s="274">
        <f t="shared" ref="B592:B655" si="82">B591+1</f>
        <v>577</v>
      </c>
      <c r="C592" s="304">
        <f t="shared" ca="1" si="77"/>
        <v>0</v>
      </c>
      <c r="D592" s="304">
        <f ca="1">IF(ROUND(E591,0)&lt;&gt;0, IF(ROUND(D591,0)&lt;&gt;0, 'Career Comparison'!$F$28-C592, 0), 0)</f>
        <v>0</v>
      </c>
      <c r="E592" s="304">
        <f ca="1">IF(G$7&gt;=B592, E591*(1+'Government Figures'!$D$8/12)-'Career Comparison'!$F$28, 0)</f>
        <v>0</v>
      </c>
      <c r="F592" s="312">
        <f>'College Schedule'!$L$8*(1+'Government Figures'!$B$8/12)^B592</f>
        <v>5328.9807396401575</v>
      </c>
      <c r="G592" s="278">
        <v>1</v>
      </c>
      <c r="H592" s="279">
        <f t="shared" ca="1" si="70"/>
        <v>0.17320110972991043</v>
      </c>
      <c r="I592" s="304">
        <f>G592*('College Schedule'!$L$9)*(1+'Government Figures'!$B$8/12)^B592</f>
        <v>11867.385315945005</v>
      </c>
      <c r="J592" s="304">
        <f t="shared" ca="1" si="78"/>
        <v>4482.9602699907282</v>
      </c>
      <c r="K592" s="304">
        <f t="shared" ca="1" si="79"/>
        <v>657.14454261783771</v>
      </c>
      <c r="L592" s="278">
        <v>1</v>
      </c>
      <c r="M592" s="279">
        <f t="shared" si="71"/>
        <v>0.13735784313725496</v>
      </c>
      <c r="N592" s="304">
        <f>L592*('College Schedule'!$L$10)*(1+'Government Figures'!$B$8/12)^B592</f>
        <v>7120.4311895670044</v>
      </c>
      <c r="O592" s="304">
        <f t="shared" si="80"/>
        <v>813.40337952068421</v>
      </c>
      <c r="P592" s="304">
        <f t="shared" si="81"/>
        <v>119.23451460791755</v>
      </c>
      <c r="Q592" s="274"/>
      <c r="R592" s="281"/>
      <c r="S592" s="281"/>
      <c r="T592" s="281"/>
      <c r="U592" s="281"/>
      <c r="V592" s="281"/>
      <c r="W592" s="281"/>
      <c r="X592" s="281"/>
      <c r="Y592" s="281"/>
      <c r="Z592" s="281"/>
      <c r="AA592" s="281"/>
      <c r="AB592" s="281"/>
      <c r="AC592" s="281"/>
      <c r="AD592" s="281"/>
    </row>
    <row r="593" spans="1:30" s="288" customFormat="1" x14ac:dyDescent="0.25">
      <c r="A593" s="287"/>
      <c r="B593" s="274">
        <f t="shared" si="82"/>
        <v>578</v>
      </c>
      <c r="C593" s="304">
        <f t="shared" ca="1" si="77"/>
        <v>0</v>
      </c>
      <c r="D593" s="304">
        <f ca="1">IF(ROUND(E592,0)&lt;&gt;0, IF(ROUND(D592,0)&lt;&gt;0, 'Career Comparison'!$F$28-C593, 0), 0)</f>
        <v>0</v>
      </c>
      <c r="E593" s="304">
        <f ca="1">IF(G$7&gt;=B593, E592*(1+'Government Figures'!$D$8/12)-'Career Comparison'!$F$28, 0)</f>
        <v>0</v>
      </c>
      <c r="F593" s="312">
        <f>'College Schedule'!$L$8*(1+'Government Figures'!$B$8/12)^B593</f>
        <v>5337.8623742062236</v>
      </c>
      <c r="G593" s="278">
        <v>1</v>
      </c>
      <c r="H593" s="279">
        <f t="shared" ca="1" si="70"/>
        <v>0.17320110972991043</v>
      </c>
      <c r="I593" s="304">
        <f>G593*('College Schedule'!$L$9)*(1+'Government Figures'!$B$8/12)^B593</f>
        <v>11887.164291471579</v>
      </c>
      <c r="J593" s="304">
        <f t="shared" ca="1" si="78"/>
        <v>4490.4318704407133</v>
      </c>
      <c r="K593" s="304">
        <f t="shared" ca="1" si="79"/>
        <v>656.0529403875754</v>
      </c>
      <c r="L593" s="278">
        <v>1</v>
      </c>
      <c r="M593" s="279">
        <f t="shared" si="71"/>
        <v>0.13735784313725496</v>
      </c>
      <c r="N593" s="304">
        <f>L593*('College Schedule'!$L$10)*(1+'Government Figures'!$B$8/12)^B593</f>
        <v>7132.2985748829487</v>
      </c>
      <c r="O593" s="304">
        <f t="shared" si="80"/>
        <v>814.75905181988583</v>
      </c>
      <c r="P593" s="304">
        <f t="shared" si="81"/>
        <v>119.03645063016357</v>
      </c>
      <c r="Q593" s="274"/>
      <c r="R593" s="281"/>
      <c r="S593" s="281"/>
      <c r="T593" s="281"/>
      <c r="U593" s="281"/>
      <c r="V593" s="281"/>
      <c r="W593" s="281"/>
      <c r="X593" s="281"/>
      <c r="Y593" s="281"/>
      <c r="Z593" s="281"/>
      <c r="AA593" s="281"/>
      <c r="AB593" s="281"/>
      <c r="AC593" s="281"/>
      <c r="AD593" s="281"/>
    </row>
    <row r="594" spans="1:30" s="288" customFormat="1" x14ac:dyDescent="0.25">
      <c r="A594" s="287"/>
      <c r="B594" s="274">
        <f t="shared" si="82"/>
        <v>579</v>
      </c>
      <c r="C594" s="304">
        <f t="shared" ca="1" si="77"/>
        <v>0</v>
      </c>
      <c r="D594" s="304">
        <f ca="1">IF(ROUND(E593,0)&lt;&gt;0, IF(ROUND(D593,0)&lt;&gt;0, 'Career Comparison'!$F$28-C594, 0), 0)</f>
        <v>0</v>
      </c>
      <c r="E594" s="304">
        <f ca="1">IF(G$7&gt;=B594, E593*(1+'Government Figures'!$D$8/12)-'Career Comparison'!$F$28, 0)</f>
        <v>0</v>
      </c>
      <c r="F594" s="312">
        <f>'College Schedule'!$L$8*(1+'Government Figures'!$B$8/12)^B594</f>
        <v>5346.7588114965683</v>
      </c>
      <c r="G594" s="278">
        <v>1</v>
      </c>
      <c r="H594" s="279">
        <f t="shared" ref="H594:H657" ca="1" si="83">H593</f>
        <v>0.17320110972991043</v>
      </c>
      <c r="I594" s="304">
        <f>G594*('College Schedule'!$L$9)*(1+'Government Figures'!$B$8/12)^B594</f>
        <v>11906.976231957366</v>
      </c>
      <c r="J594" s="304">
        <f t="shared" ca="1" si="78"/>
        <v>4497.9159235581146</v>
      </c>
      <c r="K594" s="304">
        <f t="shared" ca="1" si="79"/>
        <v>654.9631514500544</v>
      </c>
      <c r="L594" s="278">
        <v>1</v>
      </c>
      <c r="M594" s="279">
        <f t="shared" ref="M594:M657" si="84">M593</f>
        <v>0.13735784313725496</v>
      </c>
      <c r="N594" s="304">
        <f>L594*('College Schedule'!$L$10)*(1+'Government Figures'!$B$8/12)^B594</f>
        <v>7144.1857391744206</v>
      </c>
      <c r="O594" s="304">
        <f t="shared" si="80"/>
        <v>816.11698357291789</v>
      </c>
      <c r="P594" s="304">
        <f t="shared" si="81"/>
        <v>118.8387156623392</v>
      </c>
      <c r="Q594" s="274"/>
      <c r="R594" s="281"/>
      <c r="S594" s="281"/>
      <c r="T594" s="281"/>
      <c r="U594" s="281"/>
      <c r="V594" s="281"/>
      <c r="W594" s="281"/>
      <c r="X594" s="281"/>
      <c r="Y594" s="281"/>
      <c r="Z594" s="281"/>
      <c r="AA594" s="281"/>
      <c r="AB594" s="281"/>
      <c r="AC594" s="281"/>
      <c r="AD594" s="281"/>
    </row>
    <row r="595" spans="1:30" s="288" customFormat="1" x14ac:dyDescent="0.25">
      <c r="A595" s="287"/>
      <c r="B595" s="274">
        <f t="shared" si="82"/>
        <v>580</v>
      </c>
      <c r="C595" s="304">
        <f t="shared" ca="1" si="77"/>
        <v>0</v>
      </c>
      <c r="D595" s="304">
        <f ca="1">IF(ROUND(E594,0)&lt;&gt;0, IF(ROUND(D594,0)&lt;&gt;0, 'Career Comparison'!$F$28-C595, 0), 0)</f>
        <v>0</v>
      </c>
      <c r="E595" s="304">
        <f ca="1">IF(G$7&gt;=B595, E594*(1+'Government Figures'!$D$8/12)-'Career Comparison'!$F$28, 0)</f>
        <v>0</v>
      </c>
      <c r="F595" s="312">
        <f>'College Schedule'!$L$8*(1+'Government Figures'!$B$8/12)^B595</f>
        <v>5355.6700761823959</v>
      </c>
      <c r="G595" s="278">
        <v>1</v>
      </c>
      <c r="H595" s="279">
        <f t="shared" ca="1" si="83"/>
        <v>0.17320110972991043</v>
      </c>
      <c r="I595" s="304">
        <f>G595*('College Schedule'!$L$9)*(1+'Government Figures'!$B$8/12)^B595</f>
        <v>11926.821192343961</v>
      </c>
      <c r="J595" s="304">
        <f t="shared" ca="1" si="78"/>
        <v>4505.4124500973776</v>
      </c>
      <c r="K595" s="304">
        <f t="shared" ca="1" si="79"/>
        <v>653.87517279316069</v>
      </c>
      <c r="L595" s="278">
        <v>1</v>
      </c>
      <c r="M595" s="279">
        <f t="shared" si="84"/>
        <v>0.13735784313725496</v>
      </c>
      <c r="N595" s="304">
        <f>L595*('College Schedule'!$L$10)*(1+'Government Figures'!$B$8/12)^B595</f>
        <v>7156.0927154063784</v>
      </c>
      <c r="O595" s="304">
        <f t="shared" si="80"/>
        <v>817.47717854554048</v>
      </c>
      <c r="P595" s="304">
        <f t="shared" si="81"/>
        <v>118.64130915791688</v>
      </c>
      <c r="Q595" s="274"/>
      <c r="R595" s="281"/>
      <c r="S595" s="281"/>
      <c r="T595" s="281"/>
      <c r="U595" s="281"/>
      <c r="V595" s="281"/>
      <c r="W595" s="281"/>
      <c r="X595" s="281"/>
      <c r="Y595" s="281"/>
      <c r="Z595" s="281"/>
      <c r="AA595" s="281"/>
      <c r="AB595" s="281"/>
      <c r="AC595" s="281"/>
      <c r="AD595" s="281"/>
    </row>
    <row r="596" spans="1:30" s="288" customFormat="1" x14ac:dyDescent="0.25">
      <c r="A596" s="287"/>
      <c r="B596" s="274">
        <f t="shared" si="82"/>
        <v>581</v>
      </c>
      <c r="C596" s="304">
        <f t="shared" ca="1" si="77"/>
        <v>0</v>
      </c>
      <c r="D596" s="304">
        <f ca="1">IF(ROUND(E595,0)&lt;&gt;0, IF(ROUND(D595,0)&lt;&gt;0, 'Career Comparison'!$F$28-C596, 0), 0)</f>
        <v>0</v>
      </c>
      <c r="E596" s="304">
        <f ca="1">IF(G$7&gt;=B596, E595*(1+'Government Figures'!$D$8/12)-'Career Comparison'!$F$28, 0)</f>
        <v>0</v>
      </c>
      <c r="F596" s="312">
        <f>'College Schedule'!$L$8*(1+'Government Figures'!$B$8/12)^B596</f>
        <v>5364.5961929760333</v>
      </c>
      <c r="G596" s="278">
        <v>1</v>
      </c>
      <c r="H596" s="279">
        <f t="shared" ca="1" si="83"/>
        <v>0.17320110972991043</v>
      </c>
      <c r="I596" s="304">
        <f>G596*('College Schedule'!$L$9)*(1+'Government Figures'!$B$8/12)^B596</f>
        <v>11946.699227664536</v>
      </c>
      <c r="J596" s="304">
        <f t="shared" ca="1" si="78"/>
        <v>4512.921470847542</v>
      </c>
      <c r="K596" s="304">
        <f t="shared" ca="1" si="79"/>
        <v>652.78900140978362</v>
      </c>
      <c r="L596" s="278">
        <v>1</v>
      </c>
      <c r="M596" s="279">
        <f t="shared" si="84"/>
        <v>0.13735784313725496</v>
      </c>
      <c r="N596" s="304">
        <f>L596*('College Schedule'!$L$10)*(1+'Government Figures'!$B$8/12)^B596</f>
        <v>7168.019536598722</v>
      </c>
      <c r="O596" s="304">
        <f t="shared" si="80"/>
        <v>818.83964050978284</v>
      </c>
      <c r="P596" s="304">
        <f t="shared" si="81"/>
        <v>118.4442305712758</v>
      </c>
      <c r="Q596" s="274"/>
      <c r="R596" s="281"/>
      <c r="S596" s="281"/>
      <c r="T596" s="281"/>
      <c r="U596" s="281"/>
      <c r="V596" s="281"/>
      <c r="W596" s="281"/>
      <c r="X596" s="281"/>
      <c r="Y596" s="281"/>
      <c r="Z596" s="281"/>
      <c r="AA596" s="281"/>
      <c r="AB596" s="281"/>
      <c r="AC596" s="281"/>
      <c r="AD596" s="281"/>
    </row>
    <row r="597" spans="1:30" s="288" customFormat="1" x14ac:dyDescent="0.25">
      <c r="A597" s="287"/>
      <c r="B597" s="274">
        <f t="shared" si="82"/>
        <v>582</v>
      </c>
      <c r="C597" s="304">
        <f t="shared" ca="1" si="77"/>
        <v>0</v>
      </c>
      <c r="D597" s="304">
        <f ca="1">IF(ROUND(E596,0)&lt;&gt;0, IF(ROUND(D596,0)&lt;&gt;0, 'Career Comparison'!$F$28-C597, 0), 0)</f>
        <v>0</v>
      </c>
      <c r="E597" s="304">
        <f ca="1">IF(G$7&gt;=B597, E596*(1+'Government Figures'!$D$8/12)-'Career Comparison'!$F$28, 0)</f>
        <v>0</v>
      </c>
      <c r="F597" s="312">
        <f>'College Schedule'!$L$8*(1+'Government Figures'!$B$8/12)^B597</f>
        <v>5373.5371866309924</v>
      </c>
      <c r="G597" s="278">
        <v>1</v>
      </c>
      <c r="H597" s="279">
        <f t="shared" ca="1" si="83"/>
        <v>0.17320110972991043</v>
      </c>
      <c r="I597" s="304">
        <f>G597*('College Schedule'!$L$9)*(1+'Government Figures'!$B$8/12)^B597</f>
        <v>11966.610393043975</v>
      </c>
      <c r="J597" s="304">
        <f t="shared" ca="1" si="78"/>
        <v>4520.4430066322857</v>
      </c>
      <c r="K597" s="304">
        <f t="shared" ca="1" si="79"/>
        <v>651.70463429780671</v>
      </c>
      <c r="L597" s="278">
        <v>1</v>
      </c>
      <c r="M597" s="279">
        <f t="shared" si="84"/>
        <v>0.13735784313725496</v>
      </c>
      <c r="N597" s="304">
        <f>L597*('College Schedule'!$L$10)*(1+'Government Figures'!$B$8/12)^B597</f>
        <v>7179.9662358263868</v>
      </c>
      <c r="O597" s="304">
        <f t="shared" si="80"/>
        <v>820.20437324396607</v>
      </c>
      <c r="P597" s="304">
        <f t="shared" si="81"/>
        <v>118.24747935770225</v>
      </c>
      <c r="Q597" s="274"/>
      <c r="R597" s="281"/>
      <c r="S597" s="281"/>
      <c r="T597" s="281"/>
      <c r="U597" s="281"/>
      <c r="V597" s="281"/>
      <c r="W597" s="281"/>
      <c r="X597" s="281"/>
      <c r="Y597" s="281"/>
      <c r="Z597" s="281"/>
      <c r="AA597" s="281"/>
      <c r="AB597" s="281"/>
      <c r="AC597" s="281"/>
      <c r="AD597" s="281"/>
    </row>
    <row r="598" spans="1:30" s="288" customFormat="1" x14ac:dyDescent="0.25">
      <c r="A598" s="287"/>
      <c r="B598" s="274">
        <f t="shared" si="82"/>
        <v>583</v>
      </c>
      <c r="C598" s="304">
        <f t="shared" ca="1" si="77"/>
        <v>0</v>
      </c>
      <c r="D598" s="304">
        <f ca="1">IF(ROUND(E597,0)&lt;&gt;0, IF(ROUND(D597,0)&lt;&gt;0, 'Career Comparison'!$F$28-C598, 0), 0)</f>
        <v>0</v>
      </c>
      <c r="E598" s="304">
        <f ca="1">IF(G$7&gt;=B598, E597*(1+'Government Figures'!$D$8/12)-'Career Comparison'!$F$28, 0)</f>
        <v>0</v>
      </c>
      <c r="F598" s="312">
        <f>'College Schedule'!$L$8*(1+'Government Figures'!$B$8/12)^B598</f>
        <v>5382.4930819420451</v>
      </c>
      <c r="G598" s="278">
        <v>1</v>
      </c>
      <c r="H598" s="279">
        <f t="shared" ca="1" si="83"/>
        <v>0.17320110972991043</v>
      </c>
      <c r="I598" s="304">
        <f>G598*('College Schedule'!$L$9)*(1+'Government Figures'!$B$8/12)^B598</f>
        <v>11986.554743699049</v>
      </c>
      <c r="J598" s="304">
        <f t="shared" ca="1" si="78"/>
        <v>4527.9770783100057</v>
      </c>
      <c r="K598" s="304">
        <f t="shared" ca="1" si="79"/>
        <v>650.62206846010247</v>
      </c>
      <c r="L598" s="278">
        <v>1</v>
      </c>
      <c r="M598" s="279">
        <f t="shared" si="84"/>
        <v>0.13735784313725496</v>
      </c>
      <c r="N598" s="304">
        <f>L598*('College Schedule'!$L$10)*(1+'Government Figures'!$B$8/12)^B598</f>
        <v>7191.9328462194308</v>
      </c>
      <c r="O598" s="304">
        <f t="shared" si="80"/>
        <v>821.57138053270501</v>
      </c>
      <c r="P598" s="304">
        <f t="shared" si="81"/>
        <v>118.05105497338695</v>
      </c>
      <c r="Q598" s="274"/>
      <c r="R598" s="281"/>
      <c r="S598" s="281"/>
      <c r="T598" s="281"/>
      <c r="U598" s="281"/>
      <c r="V598" s="281"/>
      <c r="W598" s="281"/>
      <c r="X598" s="281"/>
      <c r="Y598" s="281"/>
      <c r="Z598" s="281"/>
      <c r="AA598" s="281"/>
      <c r="AB598" s="281"/>
      <c r="AC598" s="281"/>
      <c r="AD598" s="281"/>
    </row>
    <row r="599" spans="1:30" s="288" customFormat="1" x14ac:dyDescent="0.25">
      <c r="A599" s="287"/>
      <c r="B599" s="274">
        <f t="shared" si="82"/>
        <v>584</v>
      </c>
      <c r="C599" s="304">
        <f t="shared" ca="1" si="77"/>
        <v>0</v>
      </c>
      <c r="D599" s="304">
        <f ca="1">IF(ROUND(E598,0)&lt;&gt;0, IF(ROUND(D598,0)&lt;&gt;0, 'Career Comparison'!$F$28-C599, 0), 0)</f>
        <v>0</v>
      </c>
      <c r="E599" s="304">
        <f ca="1">IF(G$7&gt;=B599, E598*(1+'Government Figures'!$D$8/12)-'Career Comparison'!$F$28, 0)</f>
        <v>0</v>
      </c>
      <c r="F599" s="312">
        <f>'College Schedule'!$L$8*(1+'Government Figures'!$B$8/12)^B599</f>
        <v>5391.4639037452835</v>
      </c>
      <c r="G599" s="278">
        <v>1</v>
      </c>
      <c r="H599" s="279">
        <f t="shared" ca="1" si="83"/>
        <v>0.17320110972991043</v>
      </c>
      <c r="I599" s="304">
        <f>G599*('College Schedule'!$L$9)*(1+'Government Figures'!$B$8/12)^B599</f>
        <v>12006.532334938553</v>
      </c>
      <c r="J599" s="304">
        <f t="shared" ca="1" si="78"/>
        <v>4535.5237067738599</v>
      </c>
      <c r="K599" s="304">
        <f t="shared" ca="1" si="79"/>
        <v>649.54130090452156</v>
      </c>
      <c r="L599" s="278">
        <v>1</v>
      </c>
      <c r="M599" s="279">
        <f t="shared" si="84"/>
        <v>0.13735784313725496</v>
      </c>
      <c r="N599" s="304">
        <f>L599*('College Schedule'!$L$10)*(1+'Government Figures'!$B$8/12)^B599</f>
        <v>7203.9194009631319</v>
      </c>
      <c r="O599" s="304">
        <f t="shared" si="80"/>
        <v>822.94066616692726</v>
      </c>
      <c r="P599" s="304">
        <f t="shared" si="81"/>
        <v>117.85495687542468</v>
      </c>
      <c r="Q599" s="274"/>
      <c r="R599" s="281"/>
      <c r="S599" s="281"/>
      <c r="T599" s="281"/>
      <c r="U599" s="281"/>
      <c r="V599" s="281"/>
      <c r="W599" s="281"/>
      <c r="X599" s="281"/>
      <c r="Y599" s="281"/>
      <c r="Z599" s="281"/>
      <c r="AA599" s="281"/>
      <c r="AB599" s="281"/>
      <c r="AC599" s="281"/>
      <c r="AD599" s="281"/>
    </row>
    <row r="600" spans="1:30" s="288" customFormat="1" x14ac:dyDescent="0.25">
      <c r="A600" s="287"/>
      <c r="B600" s="274">
        <f t="shared" si="82"/>
        <v>585</v>
      </c>
      <c r="C600" s="304">
        <f t="shared" ca="1" si="77"/>
        <v>0</v>
      </c>
      <c r="D600" s="304">
        <f ca="1">IF(ROUND(E599,0)&lt;&gt;0, IF(ROUND(D599,0)&lt;&gt;0, 'Career Comparison'!$F$28-C600, 0), 0)</f>
        <v>0</v>
      </c>
      <c r="E600" s="304">
        <f ca="1">IF(G$7&gt;=B600, E599*(1+'Government Figures'!$D$8/12)-'Career Comparison'!$F$28, 0)</f>
        <v>0</v>
      </c>
      <c r="F600" s="312">
        <f>'College Schedule'!$L$8*(1+'Government Figures'!$B$8/12)^B600</f>
        <v>5400.4496769181915</v>
      </c>
      <c r="G600" s="278">
        <v>1</v>
      </c>
      <c r="H600" s="279">
        <f t="shared" ca="1" si="83"/>
        <v>0.17320110972991043</v>
      </c>
      <c r="I600" s="304">
        <f>G600*('College Schedule'!$L$9)*(1+'Government Figures'!$B$8/12)^B600</f>
        <v>12026.543222163447</v>
      </c>
      <c r="J600" s="304">
        <f t="shared" ca="1" si="78"/>
        <v>4543.0829129518133</v>
      </c>
      <c r="K600" s="304">
        <f t="shared" ca="1" si="79"/>
        <v>648.46232864388242</v>
      </c>
      <c r="L600" s="278">
        <v>1</v>
      </c>
      <c r="M600" s="279">
        <f t="shared" si="84"/>
        <v>0.13735784313725496</v>
      </c>
      <c r="N600" s="304">
        <f>L600*('College Schedule'!$L$10)*(1+'Government Figures'!$B$8/12)^B600</f>
        <v>7215.92593329807</v>
      </c>
      <c r="O600" s="304">
        <f t="shared" si="80"/>
        <v>824.31223394387234</v>
      </c>
      <c r="P600" s="304">
        <f t="shared" si="81"/>
        <v>117.65918452181106</v>
      </c>
      <c r="Q600" s="274"/>
      <c r="R600" s="281"/>
      <c r="S600" s="281"/>
      <c r="T600" s="281"/>
      <c r="U600" s="281"/>
      <c r="V600" s="281"/>
      <c r="W600" s="281"/>
      <c r="X600" s="281"/>
      <c r="Y600" s="281"/>
      <c r="Z600" s="281"/>
      <c r="AA600" s="281"/>
      <c r="AB600" s="281"/>
      <c r="AC600" s="281"/>
      <c r="AD600" s="281"/>
    </row>
    <row r="601" spans="1:30" s="288" customFormat="1" x14ac:dyDescent="0.25">
      <c r="A601" s="287"/>
      <c r="B601" s="274">
        <f t="shared" si="82"/>
        <v>586</v>
      </c>
      <c r="C601" s="304">
        <f t="shared" ca="1" si="77"/>
        <v>0</v>
      </c>
      <c r="D601" s="304">
        <f ca="1">IF(ROUND(E600,0)&lt;&gt;0, IF(ROUND(D600,0)&lt;&gt;0, 'Career Comparison'!$F$28-C601, 0), 0)</f>
        <v>0</v>
      </c>
      <c r="E601" s="304">
        <f ca="1">IF(G$7&gt;=B601, E600*(1+'Government Figures'!$D$8/12)-'Career Comparison'!$F$28, 0)</f>
        <v>0</v>
      </c>
      <c r="F601" s="312">
        <f>'College Schedule'!$L$8*(1+'Government Figures'!$B$8/12)^B601</f>
        <v>5409.4504263797226</v>
      </c>
      <c r="G601" s="278">
        <v>1</v>
      </c>
      <c r="H601" s="279">
        <f t="shared" ca="1" si="83"/>
        <v>0.17320110972991043</v>
      </c>
      <c r="I601" s="304">
        <f>G601*('College Schedule'!$L$9)*(1+'Government Figures'!$B$8/12)^B601</f>
        <v>12046.587460867057</v>
      </c>
      <c r="J601" s="304">
        <f t="shared" ca="1" si="78"/>
        <v>4550.6547178067358</v>
      </c>
      <c r="K601" s="304">
        <f t="shared" ca="1" si="79"/>
        <v>647.38514869596929</v>
      </c>
      <c r="L601" s="278">
        <v>1</v>
      </c>
      <c r="M601" s="279">
        <f t="shared" si="84"/>
        <v>0.13735784313725496</v>
      </c>
      <c r="N601" s="304">
        <f>L601*('College Schedule'!$L$10)*(1+'Government Figures'!$B$8/12)^B601</f>
        <v>7227.952476520235</v>
      </c>
      <c r="O601" s="304">
        <f t="shared" si="80"/>
        <v>825.68608766711259</v>
      </c>
      <c r="P601" s="304">
        <f t="shared" si="81"/>
        <v>117.46373737144263</v>
      </c>
      <c r="Q601" s="274"/>
      <c r="R601" s="281"/>
      <c r="S601" s="281"/>
      <c r="T601" s="281"/>
      <c r="U601" s="281"/>
      <c r="V601" s="281"/>
      <c r="W601" s="281"/>
      <c r="X601" s="281"/>
      <c r="Y601" s="281"/>
      <c r="Z601" s="281"/>
      <c r="AA601" s="281"/>
      <c r="AB601" s="281"/>
      <c r="AC601" s="281"/>
      <c r="AD601" s="281"/>
    </row>
    <row r="602" spans="1:30" s="288" customFormat="1" x14ac:dyDescent="0.25">
      <c r="A602" s="287"/>
      <c r="B602" s="274">
        <f t="shared" si="82"/>
        <v>587</v>
      </c>
      <c r="C602" s="304">
        <f t="shared" ca="1" si="77"/>
        <v>0</v>
      </c>
      <c r="D602" s="304">
        <f ca="1">IF(ROUND(E601,0)&lt;&gt;0, IF(ROUND(D601,0)&lt;&gt;0, 'Career Comparison'!$F$28-C602, 0), 0)</f>
        <v>0</v>
      </c>
      <c r="E602" s="304">
        <f ca="1">IF(G$7&gt;=B602, E601*(1+'Government Figures'!$D$8/12)-'Career Comparison'!$F$28, 0)</f>
        <v>0</v>
      </c>
      <c r="F602" s="312">
        <f>'College Schedule'!$L$8*(1+'Government Figures'!$B$8/12)^B602</f>
        <v>5418.4661770903567</v>
      </c>
      <c r="G602" s="278">
        <v>1</v>
      </c>
      <c r="H602" s="279">
        <f t="shared" ca="1" si="83"/>
        <v>0.17320110972991043</v>
      </c>
      <c r="I602" s="304">
        <f>G602*('College Schedule'!$L$9)*(1+'Government Figures'!$B$8/12)^B602</f>
        <v>12066.66510663517</v>
      </c>
      <c r="J602" s="304">
        <f t="shared" ca="1" si="78"/>
        <v>4558.2391423364134</v>
      </c>
      <c r="K602" s="304">
        <f t="shared" ca="1" si="79"/>
        <v>646.30975808351741</v>
      </c>
      <c r="L602" s="278">
        <v>1</v>
      </c>
      <c r="M602" s="279">
        <f t="shared" si="84"/>
        <v>0.13735784313725496</v>
      </c>
      <c r="N602" s="304">
        <f>L602*('College Schedule'!$L$10)*(1+'Government Figures'!$B$8/12)^B602</f>
        <v>7239.9990639811031</v>
      </c>
      <c r="O602" s="304">
        <f t="shared" si="80"/>
        <v>827.06223114655677</v>
      </c>
      <c r="P602" s="304">
        <f t="shared" si="81"/>
        <v>117.2686148841145</v>
      </c>
      <c r="Q602" s="274"/>
      <c r="R602" s="281"/>
      <c r="S602" s="281"/>
      <c r="T602" s="281"/>
      <c r="U602" s="281"/>
      <c r="V602" s="281"/>
      <c r="W602" s="281"/>
      <c r="X602" s="281"/>
      <c r="Y602" s="281"/>
      <c r="Z602" s="281"/>
      <c r="AA602" s="281"/>
      <c r="AB602" s="281"/>
      <c r="AC602" s="281"/>
      <c r="AD602" s="281"/>
    </row>
    <row r="603" spans="1:30" s="288" customFormat="1" x14ac:dyDescent="0.25">
      <c r="A603" s="287"/>
      <c r="B603" s="274">
        <f t="shared" si="82"/>
        <v>588</v>
      </c>
      <c r="C603" s="304">
        <f t="shared" ca="1" si="77"/>
        <v>0</v>
      </c>
      <c r="D603" s="304">
        <f ca="1">IF(ROUND(E602,0)&lt;&gt;0, IF(ROUND(D602,0)&lt;&gt;0, 'Career Comparison'!$F$28-C603, 0), 0)</f>
        <v>0</v>
      </c>
      <c r="E603" s="304">
        <f ca="1">IF(G$7&gt;=B603, E602*(1+'Government Figures'!$D$8/12)-'Career Comparison'!$F$28, 0)</f>
        <v>0</v>
      </c>
      <c r="F603" s="312">
        <f>'College Schedule'!$L$8*(1+'Government Figures'!$B$8/12)^B603</f>
        <v>5427.4969540521743</v>
      </c>
      <c r="G603" s="278">
        <v>1</v>
      </c>
      <c r="H603" s="279">
        <f t="shared" ca="1" si="83"/>
        <v>0.17320110972991043</v>
      </c>
      <c r="I603" s="304">
        <f>G603*('College Schedule'!$L$9)*(1+'Government Figures'!$B$8/12)^B603</f>
        <v>12086.776215146228</v>
      </c>
      <c r="J603" s="304">
        <f t="shared" ca="1" si="78"/>
        <v>4565.8362075736404</v>
      </c>
      <c r="K603" s="304">
        <f t="shared" ca="1" si="79"/>
        <v>645.23615383420918</v>
      </c>
      <c r="L603" s="278">
        <v>1</v>
      </c>
      <c r="M603" s="279">
        <f t="shared" si="84"/>
        <v>0.13735784313725496</v>
      </c>
      <c r="N603" s="304">
        <f>L603*('College Schedule'!$L$10)*(1+'Government Figures'!$B$8/12)^B603</f>
        <v>7252.065729087738</v>
      </c>
      <c r="O603" s="304">
        <f t="shared" si="80"/>
        <v>828.44066819846739</v>
      </c>
      <c r="P603" s="304">
        <f t="shared" si="81"/>
        <v>117.07381652051959</v>
      </c>
      <c r="Q603" s="274"/>
      <c r="R603" s="281"/>
      <c r="S603" s="281"/>
      <c r="T603" s="281"/>
      <c r="U603" s="281"/>
      <c r="V603" s="281"/>
      <c r="W603" s="281"/>
      <c r="X603" s="281"/>
      <c r="Y603" s="281"/>
      <c r="Z603" s="281"/>
      <c r="AA603" s="281"/>
      <c r="AB603" s="281"/>
      <c r="AC603" s="281"/>
      <c r="AD603" s="281"/>
    </row>
    <row r="604" spans="1:30" s="288" customFormat="1" x14ac:dyDescent="0.25">
      <c r="A604" s="287"/>
      <c r="B604" s="274">
        <f t="shared" si="82"/>
        <v>589</v>
      </c>
      <c r="C604" s="304">
        <f t="shared" ca="1" si="77"/>
        <v>0</v>
      </c>
      <c r="D604" s="304">
        <f ca="1">IF(ROUND(E603,0)&lt;&gt;0, IF(ROUND(D603,0)&lt;&gt;0, 'Career Comparison'!$F$28-C604, 0), 0)</f>
        <v>0</v>
      </c>
      <c r="E604" s="304">
        <f ca="1">IF(G$7&gt;=B604, E603*(1+'Government Figures'!$D$8/12)-'Career Comparison'!$F$28, 0)</f>
        <v>0</v>
      </c>
      <c r="F604" s="312">
        <f>'College Schedule'!$L$8*(1+'Government Figures'!$B$8/12)^B604</f>
        <v>5436.5427823089285</v>
      </c>
      <c r="G604" s="278">
        <v>1</v>
      </c>
      <c r="H604" s="279">
        <f t="shared" ca="1" si="83"/>
        <v>0.17320110972991043</v>
      </c>
      <c r="I604" s="304">
        <f>G604*('College Schedule'!$L$9)*(1+'Government Figures'!$B$8/12)^B604</f>
        <v>12106.920842171474</v>
      </c>
      <c r="J604" s="304">
        <f t="shared" ca="1" si="78"/>
        <v>4573.4459345862651</v>
      </c>
      <c r="K604" s="304">
        <f t="shared" ca="1" si="79"/>
        <v>644.16433298066431</v>
      </c>
      <c r="L604" s="278">
        <v>1</v>
      </c>
      <c r="M604" s="279">
        <f t="shared" si="84"/>
        <v>0.13735784313725496</v>
      </c>
      <c r="N604" s="304">
        <f>L604*('College Schedule'!$L$10)*(1+'Government Figures'!$B$8/12)^B604</f>
        <v>7264.1525053028854</v>
      </c>
      <c r="O604" s="304">
        <f t="shared" si="80"/>
        <v>829.82140264546524</v>
      </c>
      <c r="P604" s="304">
        <f t="shared" si="81"/>
        <v>116.87934174224635</v>
      </c>
      <c r="Q604" s="274"/>
      <c r="R604" s="281"/>
      <c r="S604" s="281"/>
      <c r="T604" s="281"/>
      <c r="U604" s="281"/>
      <c r="V604" s="281"/>
      <c r="W604" s="281"/>
      <c r="X604" s="281"/>
      <c r="Y604" s="281"/>
      <c r="Z604" s="281"/>
      <c r="AA604" s="281"/>
      <c r="AB604" s="281"/>
      <c r="AC604" s="281"/>
      <c r="AD604" s="281"/>
    </row>
    <row r="605" spans="1:30" s="288" customFormat="1" x14ac:dyDescent="0.25">
      <c r="A605" s="287"/>
      <c r="B605" s="274">
        <f t="shared" si="82"/>
        <v>590</v>
      </c>
      <c r="C605" s="304">
        <f t="shared" ca="1" si="77"/>
        <v>0</v>
      </c>
      <c r="D605" s="304">
        <f ca="1">IF(ROUND(E604,0)&lt;&gt;0, IF(ROUND(D604,0)&lt;&gt;0, 'Career Comparison'!$F$28-C605, 0), 0)</f>
        <v>0</v>
      </c>
      <c r="E605" s="304">
        <f ca="1">IF(G$7&gt;=B605, E604*(1+'Government Figures'!$D$8/12)-'Career Comparison'!$F$28, 0)</f>
        <v>0</v>
      </c>
      <c r="F605" s="312">
        <f>'College Schedule'!$L$8*(1+'Government Figures'!$B$8/12)^B605</f>
        <v>5445.6036869461104</v>
      </c>
      <c r="G605" s="278">
        <v>1</v>
      </c>
      <c r="H605" s="279">
        <f t="shared" ca="1" si="83"/>
        <v>0.17320110972991043</v>
      </c>
      <c r="I605" s="304">
        <f>G605*('College Schedule'!$L$9)*(1+'Government Figures'!$B$8/12)^B605</f>
        <v>12127.099043575094</v>
      </c>
      <c r="J605" s="304">
        <f t="shared" ca="1" si="78"/>
        <v>4581.0683444772412</v>
      </c>
      <c r="K605" s="304">
        <f t="shared" ca="1" si="79"/>
        <v>643.0942925604304</v>
      </c>
      <c r="L605" s="278">
        <v>1</v>
      </c>
      <c r="M605" s="279">
        <f t="shared" si="84"/>
        <v>0.13735784313725496</v>
      </c>
      <c r="N605" s="304">
        <f>L605*('College Schedule'!$L$10)*(1+'Government Figures'!$B$8/12)^B605</f>
        <v>7276.2594261450568</v>
      </c>
      <c r="O605" s="304">
        <f t="shared" si="80"/>
        <v>831.2044383165412</v>
      </c>
      <c r="P605" s="304">
        <f t="shared" si="81"/>
        <v>116.68519001177752</v>
      </c>
      <c r="Q605" s="274"/>
      <c r="R605" s="281"/>
      <c r="S605" s="281"/>
      <c r="T605" s="281"/>
      <c r="U605" s="281"/>
      <c r="V605" s="281"/>
      <c r="W605" s="281"/>
      <c r="X605" s="281"/>
      <c r="Y605" s="281"/>
      <c r="Z605" s="281"/>
      <c r="AA605" s="281"/>
      <c r="AB605" s="281"/>
      <c r="AC605" s="281"/>
      <c r="AD605" s="281"/>
    </row>
    <row r="606" spans="1:30" s="288" customFormat="1" x14ac:dyDescent="0.25">
      <c r="A606" s="287"/>
      <c r="B606" s="274">
        <f t="shared" si="82"/>
        <v>591</v>
      </c>
      <c r="C606" s="304">
        <f t="shared" ca="1" si="77"/>
        <v>0</v>
      </c>
      <c r="D606" s="304">
        <f ca="1">IF(ROUND(E605,0)&lt;&gt;0, IF(ROUND(D605,0)&lt;&gt;0, 'Career Comparison'!$F$28-C606, 0), 0)</f>
        <v>0</v>
      </c>
      <c r="E606" s="304">
        <f ca="1">IF(G$7&gt;=B606, E605*(1+'Government Figures'!$D$8/12)-'Career Comparison'!$F$28, 0)</f>
        <v>0</v>
      </c>
      <c r="F606" s="312">
        <f>'College Schedule'!$L$8*(1+'Government Figures'!$B$8/12)^B606</f>
        <v>5454.6796930910195</v>
      </c>
      <c r="G606" s="278">
        <v>1</v>
      </c>
      <c r="H606" s="279">
        <f t="shared" ca="1" si="83"/>
        <v>0.17320110972991043</v>
      </c>
      <c r="I606" s="304">
        <f>G606*('College Schedule'!$L$9)*(1+'Government Figures'!$B$8/12)^B606</f>
        <v>12147.310875314384</v>
      </c>
      <c r="J606" s="304">
        <f t="shared" ca="1" si="78"/>
        <v>4588.7034583847044</v>
      </c>
      <c r="K606" s="304">
        <f t="shared" ca="1" si="79"/>
        <v>642.02602961597779</v>
      </c>
      <c r="L606" s="278">
        <v>1</v>
      </c>
      <c r="M606" s="279">
        <f t="shared" si="84"/>
        <v>0.13735784313725496</v>
      </c>
      <c r="N606" s="304">
        <f>L606*('College Schedule'!$L$10)*(1+'Government Figures'!$B$8/12)^B606</f>
        <v>7288.3865251886318</v>
      </c>
      <c r="O606" s="304">
        <f t="shared" si="80"/>
        <v>832.58977904706899</v>
      </c>
      <c r="P606" s="304">
        <f t="shared" si="81"/>
        <v>116.49136079248883</v>
      </c>
      <c r="Q606" s="274"/>
      <c r="R606" s="281"/>
      <c r="S606" s="281"/>
      <c r="T606" s="281"/>
      <c r="U606" s="281"/>
      <c r="V606" s="281"/>
      <c r="W606" s="281"/>
      <c r="X606" s="281"/>
      <c r="Y606" s="281"/>
      <c r="Z606" s="281"/>
      <c r="AA606" s="281"/>
      <c r="AB606" s="281"/>
      <c r="AC606" s="281"/>
      <c r="AD606" s="281"/>
    </row>
    <row r="607" spans="1:30" s="288" customFormat="1" x14ac:dyDescent="0.25">
      <c r="A607" s="287"/>
      <c r="B607" s="274">
        <f t="shared" si="82"/>
        <v>592</v>
      </c>
      <c r="C607" s="304">
        <f t="shared" ca="1" si="77"/>
        <v>0</v>
      </c>
      <c r="D607" s="304">
        <f ca="1">IF(ROUND(E606,0)&lt;&gt;0, IF(ROUND(D606,0)&lt;&gt;0, 'Career Comparison'!$F$28-C607, 0), 0)</f>
        <v>0</v>
      </c>
      <c r="E607" s="304">
        <f ca="1">IF(G$7&gt;=B607, E606*(1+'Government Figures'!$D$8/12)-'Career Comparison'!$F$28, 0)</f>
        <v>0</v>
      </c>
      <c r="F607" s="312">
        <f>'College Schedule'!$L$8*(1+'Government Figures'!$B$8/12)^B607</f>
        <v>5463.7708259128394</v>
      </c>
      <c r="G607" s="278">
        <v>1</v>
      </c>
      <c r="H607" s="279">
        <f t="shared" ca="1" si="83"/>
        <v>0.17320110972991043</v>
      </c>
      <c r="I607" s="304">
        <f>G607*('College Schedule'!$L$9)*(1+'Government Figures'!$B$8/12)^B607</f>
        <v>12167.556393439911</v>
      </c>
      <c r="J607" s="304">
        <f t="shared" ca="1" si="78"/>
        <v>4596.3512974820114</v>
      </c>
      <c r="K607" s="304">
        <f t="shared" ca="1" si="79"/>
        <v>640.95954119468865</v>
      </c>
      <c r="L607" s="278">
        <v>1</v>
      </c>
      <c r="M607" s="279">
        <f t="shared" si="84"/>
        <v>0.13735784313725496</v>
      </c>
      <c r="N607" s="304">
        <f>L607*('College Schedule'!$L$10)*(1+'Government Figures'!$B$8/12)^B607</f>
        <v>7300.533836063948</v>
      </c>
      <c r="O607" s="304">
        <f t="shared" si="80"/>
        <v>833.97742867881425</v>
      </c>
      <c r="P607" s="304">
        <f t="shared" si="81"/>
        <v>116.29785354864751</v>
      </c>
      <c r="Q607" s="274"/>
      <c r="R607" s="281"/>
      <c r="S607" s="281"/>
      <c r="T607" s="281"/>
      <c r="U607" s="281"/>
      <c r="V607" s="281"/>
      <c r="W607" s="281"/>
      <c r="X607" s="281"/>
      <c r="Y607" s="281"/>
      <c r="Z607" s="281"/>
      <c r="AA607" s="281"/>
      <c r="AB607" s="281"/>
      <c r="AC607" s="281"/>
      <c r="AD607" s="281"/>
    </row>
    <row r="608" spans="1:30" s="288" customFormat="1" x14ac:dyDescent="0.25">
      <c r="A608" s="287"/>
      <c r="B608" s="274">
        <f t="shared" si="82"/>
        <v>593</v>
      </c>
      <c r="C608" s="304">
        <f t="shared" ca="1" si="77"/>
        <v>0</v>
      </c>
      <c r="D608" s="304">
        <f ca="1">IF(ROUND(E607,0)&lt;&gt;0, IF(ROUND(D607,0)&lt;&gt;0, 'Career Comparison'!$F$28-C608, 0), 0)</f>
        <v>0</v>
      </c>
      <c r="E608" s="304">
        <f ca="1">IF(G$7&gt;=B608, E607*(1+'Government Figures'!$D$8/12)-'Career Comparison'!$F$28, 0)</f>
        <v>0</v>
      </c>
      <c r="F608" s="312">
        <f>'College Schedule'!$L$8*(1+'Government Figures'!$B$8/12)^B608</f>
        <v>5472.8771106226932</v>
      </c>
      <c r="G608" s="278">
        <v>1</v>
      </c>
      <c r="H608" s="279">
        <f t="shared" ca="1" si="83"/>
        <v>0.17320110972991043</v>
      </c>
      <c r="I608" s="304">
        <f>G608*('College Schedule'!$L$9)*(1+'Government Figures'!$B$8/12)^B608</f>
        <v>12187.835654095643</v>
      </c>
      <c r="J608" s="304">
        <f t="shared" ca="1" si="78"/>
        <v>4604.0118829778157</v>
      </c>
      <c r="K608" s="304">
        <f t="shared" ca="1" si="79"/>
        <v>639.89482434885031</v>
      </c>
      <c r="L608" s="278">
        <v>1</v>
      </c>
      <c r="M608" s="279">
        <f t="shared" si="84"/>
        <v>0.13735784313725496</v>
      </c>
      <c r="N608" s="304">
        <f>L608*('College Schedule'!$L$10)*(1+'Government Figures'!$B$8/12)^B608</f>
        <v>7312.7013924573866</v>
      </c>
      <c r="O608" s="304">
        <f t="shared" si="80"/>
        <v>835.36739105994548</v>
      </c>
      <c r="P608" s="304">
        <f t="shared" si="81"/>
        <v>116.10466774541052</v>
      </c>
      <c r="Q608" s="274"/>
      <c r="R608" s="281"/>
      <c r="S608" s="281"/>
      <c r="T608" s="281"/>
      <c r="U608" s="281"/>
      <c r="V608" s="281"/>
      <c r="W608" s="281"/>
      <c r="X608" s="281"/>
      <c r="Y608" s="281"/>
      <c r="Z608" s="281"/>
      <c r="AA608" s="281"/>
      <c r="AB608" s="281"/>
      <c r="AC608" s="281"/>
      <c r="AD608" s="281"/>
    </row>
    <row r="609" spans="1:30" s="288" customFormat="1" x14ac:dyDescent="0.25">
      <c r="A609" s="287"/>
      <c r="B609" s="274">
        <f t="shared" si="82"/>
        <v>594</v>
      </c>
      <c r="C609" s="304">
        <f t="shared" ca="1" si="77"/>
        <v>0</v>
      </c>
      <c r="D609" s="304">
        <f ca="1">IF(ROUND(E608,0)&lt;&gt;0, IF(ROUND(D608,0)&lt;&gt;0, 'Career Comparison'!$F$28-C609, 0), 0)</f>
        <v>0</v>
      </c>
      <c r="E609" s="304">
        <f ca="1">IF(G$7&gt;=B609, E608*(1+'Government Figures'!$D$8/12)-'Career Comparison'!$F$28, 0)</f>
        <v>0</v>
      </c>
      <c r="F609" s="312">
        <f>'College Schedule'!$L$8*(1+'Government Figures'!$B$8/12)^B609</f>
        <v>5481.9985724737317</v>
      </c>
      <c r="G609" s="278">
        <v>1</v>
      </c>
      <c r="H609" s="279">
        <f t="shared" ca="1" si="83"/>
        <v>0.17320110972991043</v>
      </c>
      <c r="I609" s="304">
        <f>G609*('College Schedule'!$L$9)*(1+'Government Figures'!$B$8/12)^B609</f>
        <v>12208.148713519136</v>
      </c>
      <c r="J609" s="304">
        <f t="shared" ca="1" si="78"/>
        <v>4611.6852361161118</v>
      </c>
      <c r="K609" s="304">
        <f t="shared" ca="1" si="79"/>
        <v>638.83187613564621</v>
      </c>
      <c r="L609" s="278">
        <v>1</v>
      </c>
      <c r="M609" s="279">
        <f t="shared" si="84"/>
        <v>0.13735784313725496</v>
      </c>
      <c r="N609" s="304">
        <f>L609*('College Schedule'!$L$10)*(1+'Government Figures'!$B$8/12)^B609</f>
        <v>7324.8892281114831</v>
      </c>
      <c r="O609" s="304">
        <f t="shared" si="80"/>
        <v>836.75967004504582</v>
      </c>
      <c r="P609" s="304">
        <f t="shared" si="81"/>
        <v>115.91180284882353</v>
      </c>
      <c r="Q609" s="274"/>
      <c r="R609" s="281"/>
      <c r="S609" s="281"/>
      <c r="T609" s="281"/>
      <c r="U609" s="281"/>
      <c r="V609" s="281"/>
      <c r="W609" s="281"/>
      <c r="X609" s="281"/>
      <c r="Y609" s="281"/>
      <c r="Z609" s="281"/>
      <c r="AA609" s="281"/>
      <c r="AB609" s="281"/>
      <c r="AC609" s="281"/>
      <c r="AD609" s="281"/>
    </row>
    <row r="610" spans="1:30" s="288" customFormat="1" x14ac:dyDescent="0.25">
      <c r="A610" s="287"/>
      <c r="B610" s="274">
        <f t="shared" si="82"/>
        <v>595</v>
      </c>
      <c r="C610" s="304">
        <f t="shared" ca="1" si="77"/>
        <v>0</v>
      </c>
      <c r="D610" s="304">
        <f ca="1">IF(ROUND(E609,0)&lt;&gt;0, IF(ROUND(D609,0)&lt;&gt;0, 'Career Comparison'!$F$28-C610, 0), 0)</f>
        <v>0</v>
      </c>
      <c r="E610" s="304">
        <f ca="1">IF(G$7&gt;=B610, E609*(1+'Government Figures'!$D$8/12)-'Career Comparison'!$F$28, 0)</f>
        <v>0</v>
      </c>
      <c r="F610" s="312">
        <f>'College Schedule'!$L$8*(1+'Government Figures'!$B$8/12)^B610</f>
        <v>5491.1352367611889</v>
      </c>
      <c r="G610" s="278">
        <v>1</v>
      </c>
      <c r="H610" s="279">
        <f t="shared" ca="1" si="83"/>
        <v>0.17320110972991043</v>
      </c>
      <c r="I610" s="304">
        <f>G610*('College Schedule'!$L$9)*(1+'Government Figures'!$B$8/12)^B610</f>
        <v>12228.49562804167</v>
      </c>
      <c r="J610" s="304">
        <f t="shared" ca="1" si="78"/>
        <v>4619.3713781763054</v>
      </c>
      <c r="K610" s="304">
        <f t="shared" ca="1" si="79"/>
        <v>637.77069361714837</v>
      </c>
      <c r="L610" s="278">
        <v>1</v>
      </c>
      <c r="M610" s="279">
        <f t="shared" si="84"/>
        <v>0.13735784313725496</v>
      </c>
      <c r="N610" s="304">
        <f>L610*('College Schedule'!$L$10)*(1+'Government Figures'!$B$8/12)^B610</f>
        <v>7337.0973768250033</v>
      </c>
      <c r="O610" s="304">
        <f t="shared" si="80"/>
        <v>838.15426949512039</v>
      </c>
      <c r="P610" s="304">
        <f t="shared" si="81"/>
        <v>115.71925832581874</v>
      </c>
      <c r="Q610" s="274"/>
      <c r="R610" s="281"/>
      <c r="S610" s="281"/>
      <c r="T610" s="281"/>
      <c r="U610" s="281"/>
      <c r="V610" s="281"/>
      <c r="W610" s="281"/>
      <c r="X610" s="281"/>
      <c r="Y610" s="281"/>
      <c r="Z610" s="281"/>
      <c r="AA610" s="281"/>
      <c r="AB610" s="281"/>
      <c r="AC610" s="281"/>
      <c r="AD610" s="281"/>
    </row>
    <row r="611" spans="1:30" s="288" customFormat="1" x14ac:dyDescent="0.25">
      <c r="A611" s="287"/>
      <c r="B611" s="274">
        <f t="shared" si="82"/>
        <v>596</v>
      </c>
      <c r="C611" s="304">
        <f t="shared" ca="1" si="77"/>
        <v>0</v>
      </c>
      <c r="D611" s="304">
        <f ca="1">IF(ROUND(E610,0)&lt;&gt;0, IF(ROUND(D610,0)&lt;&gt;0, 'Career Comparison'!$F$28-C611, 0), 0)</f>
        <v>0</v>
      </c>
      <c r="E611" s="304">
        <f ca="1">IF(G$7&gt;=B611, E610*(1+'Government Figures'!$D$8/12)-'Career Comparison'!$F$28, 0)</f>
        <v>0</v>
      </c>
      <c r="F611" s="312">
        <f>'College Schedule'!$L$8*(1+'Government Figures'!$B$8/12)^B611</f>
        <v>5500.2871288224587</v>
      </c>
      <c r="G611" s="278">
        <v>1</v>
      </c>
      <c r="H611" s="279">
        <f t="shared" ca="1" si="83"/>
        <v>0.17320110972991043</v>
      </c>
      <c r="I611" s="304">
        <f>G611*('College Schedule'!$L$9)*(1+'Government Figures'!$B$8/12)^B611</f>
        <v>12248.876454088408</v>
      </c>
      <c r="J611" s="304">
        <f t="shared" ca="1" si="78"/>
        <v>4627.070330473266</v>
      </c>
      <c r="K611" s="304">
        <f t="shared" ca="1" si="79"/>
        <v>636.71127386030923</v>
      </c>
      <c r="L611" s="278">
        <v>1</v>
      </c>
      <c r="M611" s="279">
        <f t="shared" si="84"/>
        <v>0.13735784313725496</v>
      </c>
      <c r="N611" s="304">
        <f>L611*('College Schedule'!$L$10)*(1+'Government Figures'!$B$8/12)^B611</f>
        <v>7349.325872453046</v>
      </c>
      <c r="O611" s="304">
        <f t="shared" si="80"/>
        <v>839.55119327761258</v>
      </c>
      <c r="P611" s="304">
        <f t="shared" si="81"/>
        <v>115.52703364421443</v>
      </c>
      <c r="Q611" s="274"/>
      <c r="R611" s="281"/>
      <c r="S611" s="281"/>
      <c r="T611" s="281"/>
      <c r="U611" s="281"/>
      <c r="V611" s="281"/>
      <c r="W611" s="281"/>
      <c r="X611" s="281"/>
      <c r="Y611" s="281"/>
      <c r="Z611" s="281"/>
      <c r="AA611" s="281"/>
      <c r="AB611" s="281"/>
      <c r="AC611" s="281"/>
      <c r="AD611" s="281"/>
    </row>
    <row r="612" spans="1:30" s="288" customFormat="1" x14ac:dyDescent="0.25">
      <c r="A612" s="287"/>
      <c r="B612" s="274">
        <f t="shared" si="82"/>
        <v>597</v>
      </c>
      <c r="C612" s="304">
        <f t="shared" ca="1" si="77"/>
        <v>0</v>
      </c>
      <c r="D612" s="304">
        <f ca="1">IF(ROUND(E611,0)&lt;&gt;0, IF(ROUND(D611,0)&lt;&gt;0, 'Career Comparison'!$F$28-C612, 0), 0)</f>
        <v>0</v>
      </c>
      <c r="E612" s="304">
        <f ca="1">IF(G$7&gt;=B612, E611*(1+'Government Figures'!$D$8/12)-'Career Comparison'!$F$28, 0)</f>
        <v>0</v>
      </c>
      <c r="F612" s="312">
        <f>'College Schedule'!$L$8*(1+'Government Figures'!$B$8/12)^B612</f>
        <v>5509.4542740371635</v>
      </c>
      <c r="G612" s="278">
        <v>1</v>
      </c>
      <c r="H612" s="279">
        <f t="shared" ca="1" si="83"/>
        <v>0.17320110972991043</v>
      </c>
      <c r="I612" s="304">
        <f>G612*('College Schedule'!$L$9)*(1+'Government Figures'!$B$8/12)^B612</f>
        <v>12269.291248178557</v>
      </c>
      <c r="J612" s="304">
        <f t="shared" ca="1" si="78"/>
        <v>4634.7821143573892</v>
      </c>
      <c r="K612" s="304">
        <f t="shared" ca="1" si="79"/>
        <v>635.65361393695343</v>
      </c>
      <c r="L612" s="278">
        <v>1</v>
      </c>
      <c r="M612" s="279">
        <f t="shared" si="84"/>
        <v>0.13735784313725496</v>
      </c>
      <c r="N612" s="304">
        <f>L612*('College Schedule'!$L$10)*(1+'Government Figures'!$B$8/12)^B612</f>
        <v>7361.5747489071355</v>
      </c>
      <c r="O612" s="304">
        <f t="shared" si="80"/>
        <v>840.95044526640868</v>
      </c>
      <c r="P612" s="304">
        <f t="shared" si="81"/>
        <v>115.33512827271244</v>
      </c>
      <c r="Q612" s="274"/>
      <c r="R612" s="281"/>
      <c r="S612" s="281"/>
      <c r="T612" s="281"/>
      <c r="U612" s="281"/>
      <c r="V612" s="281"/>
      <c r="W612" s="281"/>
      <c r="X612" s="281"/>
      <c r="Y612" s="281"/>
      <c r="Z612" s="281"/>
      <c r="AA612" s="281"/>
      <c r="AB612" s="281"/>
      <c r="AC612" s="281"/>
      <c r="AD612" s="281"/>
    </row>
    <row r="613" spans="1:30" s="288" customFormat="1" x14ac:dyDescent="0.25">
      <c r="A613" s="287"/>
      <c r="B613" s="274">
        <f t="shared" si="82"/>
        <v>598</v>
      </c>
      <c r="C613" s="304">
        <f t="shared" ca="1" si="77"/>
        <v>0</v>
      </c>
      <c r="D613" s="304">
        <f ca="1">IF(ROUND(E612,0)&lt;&gt;0, IF(ROUND(D612,0)&lt;&gt;0, 'Career Comparison'!$F$28-C613, 0), 0)</f>
        <v>0</v>
      </c>
      <c r="E613" s="304">
        <f ca="1">IF(G$7&gt;=B613, E612*(1+'Government Figures'!$D$8/12)-'Career Comparison'!$F$28, 0)</f>
        <v>0</v>
      </c>
      <c r="F613" s="312">
        <f>'College Schedule'!$L$8*(1+'Government Figures'!$B$8/12)^B613</f>
        <v>5518.6366978272235</v>
      </c>
      <c r="G613" s="278">
        <v>1</v>
      </c>
      <c r="H613" s="279">
        <f t="shared" ca="1" si="83"/>
        <v>0.17320110972991043</v>
      </c>
      <c r="I613" s="304">
        <f>G613*('College Schedule'!$L$9)*(1+'Government Figures'!$B$8/12)^B613</f>
        <v>12289.740066925518</v>
      </c>
      <c r="J613" s="304">
        <f t="shared" ca="1" si="78"/>
        <v>4642.5067512146506</v>
      </c>
      <c r="K613" s="304">
        <f t="shared" ca="1" si="79"/>
        <v>634.59771092376889</v>
      </c>
      <c r="L613" s="278">
        <v>1</v>
      </c>
      <c r="M613" s="279">
        <f t="shared" si="84"/>
        <v>0.13735784313725496</v>
      </c>
      <c r="N613" s="304">
        <f>L613*('College Schedule'!$L$10)*(1+'Government Figures'!$B$8/12)^B613</f>
        <v>7373.8440401553125</v>
      </c>
      <c r="O613" s="304">
        <f t="shared" si="80"/>
        <v>842.35202934185327</v>
      </c>
      <c r="P613" s="304">
        <f t="shared" si="81"/>
        <v>115.14354168089736</v>
      </c>
      <c r="Q613" s="274"/>
      <c r="R613" s="281"/>
      <c r="S613" s="281"/>
      <c r="T613" s="281"/>
      <c r="U613" s="281"/>
      <c r="V613" s="281"/>
      <c r="W613" s="281"/>
      <c r="X613" s="281"/>
      <c r="Y613" s="281"/>
      <c r="Z613" s="281"/>
      <c r="AA613" s="281"/>
      <c r="AB613" s="281"/>
      <c r="AC613" s="281"/>
      <c r="AD613" s="281"/>
    </row>
    <row r="614" spans="1:30" s="288" customFormat="1" x14ac:dyDescent="0.25">
      <c r="A614" s="287"/>
      <c r="B614" s="274">
        <f t="shared" si="82"/>
        <v>599</v>
      </c>
      <c r="C614" s="304">
        <f t="shared" ca="1" si="77"/>
        <v>0</v>
      </c>
      <c r="D614" s="304">
        <f ca="1">IF(ROUND(E613,0)&lt;&gt;0, IF(ROUND(D613,0)&lt;&gt;0, 'Career Comparison'!$F$28-C614, 0), 0)</f>
        <v>0</v>
      </c>
      <c r="E614" s="304">
        <f ca="1">IF(G$7&gt;=B614, E613*(1+'Government Figures'!$D$8/12)-'Career Comparison'!$F$28, 0)</f>
        <v>0</v>
      </c>
      <c r="F614" s="312">
        <f>'College Schedule'!$L$8*(1+'Government Figures'!$B$8/12)^B614</f>
        <v>5527.8344256569371</v>
      </c>
      <c r="G614" s="278">
        <v>1</v>
      </c>
      <c r="H614" s="279">
        <f t="shared" ca="1" si="83"/>
        <v>0.17320110972991043</v>
      </c>
      <c r="I614" s="304">
        <f>G614*('College Schedule'!$L$9)*(1+'Government Figures'!$B$8/12)^B614</f>
        <v>12310.222967037065</v>
      </c>
      <c r="J614" s="304">
        <f t="shared" ca="1" si="78"/>
        <v>4650.2442624666774</v>
      </c>
      <c r="K614" s="304">
        <f t="shared" ca="1" si="79"/>
        <v>633.54356190230101</v>
      </c>
      <c r="L614" s="278">
        <v>1</v>
      </c>
      <c r="M614" s="279">
        <f t="shared" si="84"/>
        <v>0.13735784313725496</v>
      </c>
      <c r="N614" s="304">
        <f>L614*('College Schedule'!$L$10)*(1+'Government Figures'!$B$8/12)^B614</f>
        <v>7386.1337802222397</v>
      </c>
      <c r="O614" s="304">
        <f t="shared" si="80"/>
        <v>843.75594939075654</v>
      </c>
      <c r="P614" s="304">
        <f t="shared" si="81"/>
        <v>114.95227333923474</v>
      </c>
      <c r="Q614" s="274"/>
      <c r="R614" s="281"/>
      <c r="S614" s="281"/>
      <c r="T614" s="281"/>
      <c r="U614" s="281"/>
      <c r="V614" s="281"/>
      <c r="W614" s="281"/>
      <c r="X614" s="281"/>
      <c r="Y614" s="281"/>
      <c r="Z614" s="281"/>
      <c r="AA614" s="281"/>
      <c r="AB614" s="281"/>
      <c r="AC614" s="281"/>
      <c r="AD614" s="281"/>
    </row>
    <row r="615" spans="1:30" s="288" customFormat="1" x14ac:dyDescent="0.25">
      <c r="A615" s="287"/>
      <c r="B615" s="274">
        <f t="shared" si="82"/>
        <v>600</v>
      </c>
      <c r="C615" s="304">
        <f t="shared" ca="1" si="77"/>
        <v>0</v>
      </c>
      <c r="D615" s="304">
        <f ca="1">IF(ROUND(E614,0)&lt;&gt;0, IF(ROUND(D614,0)&lt;&gt;0, 'Career Comparison'!$F$28-C615, 0), 0)</f>
        <v>0</v>
      </c>
      <c r="E615" s="304">
        <f ca="1">IF(G$7&gt;=B615, E614*(1+'Government Figures'!$D$8/12)-'Career Comparison'!$F$28, 0)</f>
        <v>0</v>
      </c>
      <c r="F615" s="312">
        <f>'College Schedule'!$L$8*(1+'Government Figures'!$B$8/12)^B615</f>
        <v>5537.047483033034</v>
      </c>
      <c r="G615" s="278">
        <v>1</v>
      </c>
      <c r="H615" s="279">
        <f t="shared" ca="1" si="83"/>
        <v>0.17320110972991043</v>
      </c>
      <c r="I615" s="304">
        <f>G615*('College Schedule'!$L$9)*(1+'Government Figures'!$B$8/12)^B615</f>
        <v>12330.740005315463</v>
      </c>
      <c r="J615" s="304">
        <f t="shared" ca="1" si="78"/>
        <v>4657.9946695707886</v>
      </c>
      <c r="K615" s="304">
        <f t="shared" ca="1" si="79"/>
        <v>632.4911639589418</v>
      </c>
      <c r="L615" s="278">
        <v>1</v>
      </c>
      <c r="M615" s="279">
        <f t="shared" si="84"/>
        <v>0.13735784313725496</v>
      </c>
      <c r="N615" s="304">
        <f>L615*('College Schedule'!$L$10)*(1+'Government Figures'!$B$8/12)^B615</f>
        <v>7398.4440031892791</v>
      </c>
      <c r="O615" s="304">
        <f t="shared" si="80"/>
        <v>845.16220930640702</v>
      </c>
      <c r="P615" s="304">
        <f t="shared" si="81"/>
        <v>114.76132271906981</v>
      </c>
      <c r="Q615" s="274"/>
      <c r="R615" s="281"/>
      <c r="S615" s="281"/>
      <c r="T615" s="281"/>
      <c r="U615" s="281"/>
      <c r="V615" s="281"/>
      <c r="W615" s="281"/>
      <c r="X615" s="281"/>
      <c r="Y615" s="281"/>
      <c r="Z615" s="281"/>
      <c r="AA615" s="281"/>
      <c r="AB615" s="281"/>
      <c r="AC615" s="281"/>
      <c r="AD615" s="281"/>
    </row>
    <row r="616" spans="1:30" s="288" customFormat="1" x14ac:dyDescent="0.25">
      <c r="A616" s="287"/>
      <c r="B616" s="274">
        <f t="shared" si="82"/>
        <v>601</v>
      </c>
      <c r="C616" s="304">
        <f t="shared" ca="1" si="77"/>
        <v>0</v>
      </c>
      <c r="D616" s="304">
        <f ca="1">IF(ROUND(E615,0)&lt;&gt;0, IF(ROUND(D615,0)&lt;&gt;0, 'Career Comparison'!$F$28-C616, 0), 0)</f>
        <v>0</v>
      </c>
      <c r="E616" s="304">
        <f ca="1">IF(G$7&gt;=B616, E615*(1+'Government Figures'!$D$8/12)-'Career Comparison'!$F$28, 0)</f>
        <v>0</v>
      </c>
      <c r="F616" s="312">
        <f>'College Schedule'!$L$8*(1+'Government Figures'!$B$8/12)^B616</f>
        <v>5546.2758955047539</v>
      </c>
      <c r="G616" s="278">
        <v>1</v>
      </c>
      <c r="H616" s="279">
        <f t="shared" ca="1" si="83"/>
        <v>0.17320110972991043</v>
      </c>
      <c r="I616" s="304">
        <f>G616*('College Schedule'!$L$9)*(1+'Government Figures'!$B$8/12)^B616</f>
        <v>12351.291238657652</v>
      </c>
      <c r="J616" s="304">
        <f t="shared" ca="1" si="78"/>
        <v>4665.7579940200721</v>
      </c>
      <c r="K616" s="304">
        <f t="shared" ca="1" si="79"/>
        <v>631.44051418492336</v>
      </c>
      <c r="L616" s="278">
        <v>1</v>
      </c>
      <c r="M616" s="279">
        <f t="shared" si="84"/>
        <v>0.13735784313725496</v>
      </c>
      <c r="N616" s="304">
        <f>L616*('College Schedule'!$L$10)*(1+'Government Figures'!$B$8/12)^B616</f>
        <v>7410.7747431945927</v>
      </c>
      <c r="O616" s="304">
        <f t="shared" si="80"/>
        <v>846.5708129885852</v>
      </c>
      <c r="P616" s="304">
        <f t="shared" si="81"/>
        <v>114.57068929262626</v>
      </c>
      <c r="Q616" s="274"/>
      <c r="R616" s="281"/>
      <c r="S616" s="281"/>
      <c r="T616" s="281"/>
      <c r="U616" s="281"/>
      <c r="V616" s="281"/>
      <c r="W616" s="281"/>
      <c r="X616" s="281"/>
      <c r="Y616" s="281"/>
      <c r="Z616" s="281"/>
      <c r="AA616" s="281"/>
      <c r="AB616" s="281"/>
      <c r="AC616" s="281"/>
      <c r="AD616" s="281"/>
    </row>
    <row r="617" spans="1:30" s="288" customFormat="1" x14ac:dyDescent="0.25">
      <c r="A617" s="287"/>
      <c r="B617" s="274">
        <f t="shared" si="82"/>
        <v>602</v>
      </c>
      <c r="C617" s="304">
        <f t="shared" ca="1" si="77"/>
        <v>0</v>
      </c>
      <c r="D617" s="304">
        <f ca="1">IF(ROUND(E616,0)&lt;&gt;0, IF(ROUND(D616,0)&lt;&gt;0, 'Career Comparison'!$F$28-C617, 0), 0)</f>
        <v>0</v>
      </c>
      <c r="E617" s="304">
        <f ca="1">IF(G$7&gt;=B617, E616*(1+'Government Figures'!$D$8/12)-'Career Comparison'!$F$28, 0)</f>
        <v>0</v>
      </c>
      <c r="F617" s="312">
        <f>'College Schedule'!$L$8*(1+'Government Figures'!$B$8/12)^B617</f>
        <v>5555.5196886639287</v>
      </c>
      <c r="G617" s="278">
        <v>1</v>
      </c>
      <c r="H617" s="279">
        <f t="shared" ca="1" si="83"/>
        <v>0.17320110972991043</v>
      </c>
      <c r="I617" s="304">
        <f>G617*('College Schedule'!$L$9)*(1+'Government Figures'!$B$8/12)^B617</f>
        <v>12371.876724055415</v>
      </c>
      <c r="J617" s="304">
        <f t="shared" ca="1" si="78"/>
        <v>4673.53425734344</v>
      </c>
      <c r="K617" s="304">
        <f t="shared" ca="1" si="79"/>
        <v>630.39160967631074</v>
      </c>
      <c r="L617" s="278">
        <v>1</v>
      </c>
      <c r="M617" s="279">
        <f t="shared" si="84"/>
        <v>0.13735784313725496</v>
      </c>
      <c r="N617" s="304">
        <f>L617*('College Schedule'!$L$10)*(1+'Government Figures'!$B$8/12)^B617</f>
        <v>7423.1260344332504</v>
      </c>
      <c r="O617" s="304">
        <f t="shared" si="80"/>
        <v>847.98176434356537</v>
      </c>
      <c r="P617" s="304">
        <f t="shared" si="81"/>
        <v>114.38037253300386</v>
      </c>
      <c r="Q617" s="274"/>
      <c r="R617" s="281"/>
      <c r="S617" s="281"/>
      <c r="T617" s="281"/>
      <c r="U617" s="281"/>
      <c r="V617" s="281"/>
      <c r="W617" s="281"/>
      <c r="X617" s="281"/>
      <c r="Y617" s="281"/>
      <c r="Z617" s="281"/>
      <c r="AA617" s="281"/>
      <c r="AB617" s="281"/>
      <c r="AC617" s="281"/>
      <c r="AD617" s="281"/>
    </row>
    <row r="618" spans="1:30" s="288" customFormat="1" x14ac:dyDescent="0.25">
      <c r="A618" s="287"/>
      <c r="B618" s="274">
        <f t="shared" si="82"/>
        <v>603</v>
      </c>
      <c r="C618" s="304">
        <f t="shared" ca="1" si="77"/>
        <v>0</v>
      </c>
      <c r="D618" s="304">
        <f ca="1">IF(ROUND(E617,0)&lt;&gt;0, IF(ROUND(D617,0)&lt;&gt;0, 'Career Comparison'!$F$28-C618, 0), 0)</f>
        <v>0</v>
      </c>
      <c r="E618" s="304">
        <f ca="1">IF(G$7&gt;=B618, E617*(1+'Government Figures'!$D$8/12)-'Career Comparison'!$F$28, 0)</f>
        <v>0</v>
      </c>
      <c r="F618" s="312">
        <f>'College Schedule'!$L$8*(1+'Government Figures'!$B$8/12)^B618</f>
        <v>5564.778888145036</v>
      </c>
      <c r="G618" s="278">
        <v>1</v>
      </c>
      <c r="H618" s="279">
        <f t="shared" ca="1" si="83"/>
        <v>0.17320110972991043</v>
      </c>
      <c r="I618" s="304">
        <f>G618*('College Schedule'!$L$9)*(1+'Government Figures'!$B$8/12)^B618</f>
        <v>12392.496518595508</v>
      </c>
      <c r="J618" s="304">
        <f t="shared" ca="1" si="78"/>
        <v>4681.3234811056791</v>
      </c>
      <c r="K618" s="304">
        <f t="shared" ca="1" si="79"/>
        <v>629.34444753399112</v>
      </c>
      <c r="L618" s="278">
        <v>1</v>
      </c>
      <c r="M618" s="279">
        <f t="shared" si="84"/>
        <v>0.13735784313725496</v>
      </c>
      <c r="N618" s="304">
        <f>L618*('College Schedule'!$L$10)*(1+'Government Figures'!$B$8/12)^B618</f>
        <v>7435.4979111573066</v>
      </c>
      <c r="O618" s="304">
        <f t="shared" si="80"/>
        <v>849.39506728413835</v>
      </c>
      <c r="P618" s="304">
        <f t="shared" si="81"/>
        <v>114.19037191417829</v>
      </c>
      <c r="Q618" s="274"/>
      <c r="R618" s="281"/>
      <c r="S618" s="281"/>
      <c r="T618" s="281"/>
      <c r="U618" s="281"/>
      <c r="V618" s="281"/>
      <c r="W618" s="281"/>
      <c r="X618" s="281"/>
      <c r="Y618" s="281"/>
      <c r="Z618" s="281"/>
      <c r="AA618" s="281"/>
      <c r="AB618" s="281"/>
      <c r="AC618" s="281"/>
      <c r="AD618" s="281"/>
    </row>
    <row r="619" spans="1:30" s="288" customFormat="1" x14ac:dyDescent="0.25">
      <c r="A619" s="287"/>
      <c r="B619" s="274">
        <f t="shared" si="82"/>
        <v>604</v>
      </c>
      <c r="C619" s="304">
        <f t="shared" ca="1" si="77"/>
        <v>0</v>
      </c>
      <c r="D619" s="304">
        <f ca="1">IF(ROUND(E618,0)&lt;&gt;0, IF(ROUND(D618,0)&lt;&gt;0, 'Career Comparison'!$F$28-C619, 0), 0)</f>
        <v>0</v>
      </c>
      <c r="E619" s="304">
        <f ca="1">IF(G$7&gt;=B619, E618*(1+'Government Figures'!$D$8/12)-'Career Comparison'!$F$28, 0)</f>
        <v>0</v>
      </c>
      <c r="F619" s="312">
        <f>'College Schedule'!$L$8*(1+'Government Figures'!$B$8/12)^B619</f>
        <v>5574.0535196252795</v>
      </c>
      <c r="G619" s="278">
        <v>1</v>
      </c>
      <c r="H619" s="279">
        <f t="shared" ca="1" si="83"/>
        <v>0.17320110972991043</v>
      </c>
      <c r="I619" s="304">
        <f>G619*('College Schedule'!$L$9)*(1+'Government Figures'!$B$8/12)^B619</f>
        <v>12413.150679459837</v>
      </c>
      <c r="J619" s="304">
        <f t="shared" ca="1" si="78"/>
        <v>4689.1256869075214</v>
      </c>
      <c r="K619" s="304">
        <f t="shared" ca="1" si="79"/>
        <v>628.29902486366871</v>
      </c>
      <c r="L619" s="278">
        <v>1</v>
      </c>
      <c r="M619" s="279">
        <f t="shared" si="84"/>
        <v>0.13735784313725496</v>
      </c>
      <c r="N619" s="304">
        <f>L619*('College Schedule'!$L$10)*(1+'Government Figures'!$B$8/12)^B619</f>
        <v>7447.8904076759036</v>
      </c>
      <c r="O619" s="304">
        <f t="shared" si="80"/>
        <v>850.81072572961148</v>
      </c>
      <c r="P619" s="304">
        <f t="shared" si="81"/>
        <v>114.00068691099851</v>
      </c>
      <c r="Q619" s="274"/>
      <c r="R619" s="281"/>
      <c r="S619" s="281"/>
      <c r="T619" s="281"/>
      <c r="U619" s="281"/>
      <c r="V619" s="281"/>
      <c r="W619" s="281"/>
      <c r="X619" s="281"/>
      <c r="Y619" s="281"/>
      <c r="Z619" s="281"/>
      <c r="AA619" s="281"/>
      <c r="AB619" s="281"/>
      <c r="AC619" s="281"/>
      <c r="AD619" s="281"/>
    </row>
    <row r="620" spans="1:30" s="288" customFormat="1" x14ac:dyDescent="0.25">
      <c r="A620" s="287"/>
      <c r="B620" s="274">
        <f t="shared" si="82"/>
        <v>605</v>
      </c>
      <c r="C620" s="304">
        <f t="shared" ca="1" si="77"/>
        <v>0</v>
      </c>
      <c r="D620" s="304">
        <f ca="1">IF(ROUND(E619,0)&lt;&gt;0, IF(ROUND(D619,0)&lt;&gt;0, 'Career Comparison'!$F$28-C620, 0), 0)</f>
        <v>0</v>
      </c>
      <c r="E620" s="304">
        <f ca="1">IF(G$7&gt;=B620, E619*(1+'Government Figures'!$D$8/12)-'Career Comparison'!$F$28, 0)</f>
        <v>0</v>
      </c>
      <c r="F620" s="312">
        <f>'College Schedule'!$L$8*(1+'Government Figures'!$B$8/12)^B620</f>
        <v>5583.3436088246544</v>
      </c>
      <c r="G620" s="278">
        <v>1</v>
      </c>
      <c r="H620" s="279">
        <f t="shared" ca="1" si="83"/>
        <v>0.17320110972991043</v>
      </c>
      <c r="I620" s="304">
        <f>G620*('College Schedule'!$L$9)*(1+'Government Figures'!$B$8/12)^B620</f>
        <v>12433.839263925605</v>
      </c>
      <c r="J620" s="304">
        <f t="shared" ca="1" si="78"/>
        <v>4696.940896385704</v>
      </c>
      <c r="K620" s="304">
        <f t="shared" ca="1" si="79"/>
        <v>627.25533877585588</v>
      </c>
      <c r="L620" s="278">
        <v>1</v>
      </c>
      <c r="M620" s="279">
        <f t="shared" si="84"/>
        <v>0.13735784313725496</v>
      </c>
      <c r="N620" s="304">
        <f>L620*('College Schedule'!$L$10)*(1+'Government Figures'!$B$8/12)^B620</f>
        <v>7460.3035583553637</v>
      </c>
      <c r="O620" s="304">
        <f t="shared" si="80"/>
        <v>852.22874360582864</v>
      </c>
      <c r="P620" s="304">
        <f t="shared" si="81"/>
        <v>113.81131699918639</v>
      </c>
      <c r="Q620" s="274"/>
      <c r="R620" s="281"/>
      <c r="S620" s="281"/>
      <c r="T620" s="281"/>
      <c r="U620" s="281"/>
      <c r="V620" s="281"/>
      <c r="W620" s="281"/>
      <c r="X620" s="281"/>
      <c r="Y620" s="281"/>
      <c r="Z620" s="281"/>
      <c r="AA620" s="281"/>
      <c r="AB620" s="281"/>
      <c r="AC620" s="281"/>
      <c r="AD620" s="281"/>
    </row>
    <row r="621" spans="1:30" s="288" customFormat="1" x14ac:dyDescent="0.25">
      <c r="A621" s="287"/>
      <c r="B621" s="274">
        <f t="shared" si="82"/>
        <v>606</v>
      </c>
      <c r="C621" s="304">
        <f t="shared" ca="1" si="77"/>
        <v>0</v>
      </c>
      <c r="D621" s="304">
        <f ca="1">IF(ROUND(E620,0)&lt;&gt;0, IF(ROUND(D620,0)&lt;&gt;0, 'Career Comparison'!$F$28-C621, 0), 0)</f>
        <v>0</v>
      </c>
      <c r="E621" s="304">
        <f ca="1">IF(G$7&gt;=B621, E620*(1+'Government Figures'!$D$8/12)-'Career Comparison'!$F$28, 0)</f>
        <v>0</v>
      </c>
      <c r="F621" s="312">
        <f>'College Schedule'!$L$8*(1+'Government Figures'!$B$8/12)^B621</f>
        <v>5592.6491815060281</v>
      </c>
      <c r="G621" s="278">
        <v>1</v>
      </c>
      <c r="H621" s="279">
        <f t="shared" ca="1" si="83"/>
        <v>0.17320110972991043</v>
      </c>
      <c r="I621" s="304">
        <f>G621*('College Schedule'!$L$9)*(1+'Government Figures'!$B$8/12)^B621</f>
        <v>12454.562329365479</v>
      </c>
      <c r="J621" s="304">
        <f t="shared" ca="1" si="78"/>
        <v>4704.769131213011</v>
      </c>
      <c r="K621" s="304">
        <f t="shared" ca="1" si="79"/>
        <v>626.21338638586235</v>
      </c>
      <c r="L621" s="278">
        <v>1</v>
      </c>
      <c r="M621" s="279">
        <f t="shared" si="84"/>
        <v>0.13735784313725496</v>
      </c>
      <c r="N621" s="304">
        <f>L621*('College Schedule'!$L$10)*(1+'Government Figures'!$B$8/12)^B621</f>
        <v>7472.7373976192885</v>
      </c>
      <c r="O621" s="304">
        <f t="shared" si="80"/>
        <v>853.64912484517117</v>
      </c>
      <c r="P621" s="304">
        <f t="shared" si="81"/>
        <v>113.62226165533384</v>
      </c>
      <c r="Q621" s="274"/>
      <c r="R621" s="281"/>
      <c r="S621" s="281"/>
      <c r="T621" s="281"/>
      <c r="U621" s="281"/>
      <c r="V621" s="281"/>
      <c r="W621" s="281"/>
      <c r="X621" s="281"/>
      <c r="Y621" s="281"/>
      <c r="Z621" s="281"/>
      <c r="AA621" s="281"/>
      <c r="AB621" s="281"/>
      <c r="AC621" s="281"/>
      <c r="AD621" s="281"/>
    </row>
    <row r="622" spans="1:30" s="288" customFormat="1" x14ac:dyDescent="0.25">
      <c r="A622" s="287"/>
      <c r="B622" s="274">
        <f t="shared" si="82"/>
        <v>607</v>
      </c>
      <c r="C622" s="304">
        <f t="shared" ca="1" si="77"/>
        <v>0</v>
      </c>
      <c r="D622" s="304">
        <f ca="1">IF(ROUND(E621,0)&lt;&gt;0, IF(ROUND(D621,0)&lt;&gt;0, 'Career Comparison'!$F$28-C622, 0), 0)</f>
        <v>0</v>
      </c>
      <c r="E622" s="304">
        <f ca="1">IF(G$7&gt;=B622, E621*(1+'Government Figures'!$D$8/12)-'Career Comparison'!$F$28, 0)</f>
        <v>0</v>
      </c>
      <c r="F622" s="312">
        <f>'College Schedule'!$L$8*(1+'Government Figures'!$B$8/12)^B622</f>
        <v>5601.9702634752066</v>
      </c>
      <c r="G622" s="278">
        <v>1</v>
      </c>
      <c r="H622" s="279">
        <f t="shared" ca="1" si="83"/>
        <v>0.17320110972991043</v>
      </c>
      <c r="I622" s="304">
        <f>G622*('College Schedule'!$L$9)*(1+'Government Figures'!$B$8/12)^B622</f>
        <v>12475.319933247758</v>
      </c>
      <c r="J622" s="304">
        <f t="shared" ca="1" si="78"/>
        <v>4712.6104130983676</v>
      </c>
      <c r="K622" s="304">
        <f t="shared" ca="1" si="79"/>
        <v>625.17316481379294</v>
      </c>
      <c r="L622" s="278">
        <v>1</v>
      </c>
      <c r="M622" s="279">
        <f t="shared" si="84"/>
        <v>0.13735784313725496</v>
      </c>
      <c r="N622" s="304">
        <f>L622*('College Schedule'!$L$10)*(1+'Government Figures'!$B$8/12)^B622</f>
        <v>7485.1919599486555</v>
      </c>
      <c r="O622" s="304">
        <f t="shared" si="80"/>
        <v>855.07187338657968</v>
      </c>
      <c r="P622" s="304">
        <f t="shared" si="81"/>
        <v>113.43352035690303</v>
      </c>
      <c r="Q622" s="274"/>
      <c r="R622" s="281"/>
      <c r="S622" s="281"/>
      <c r="T622" s="281"/>
      <c r="U622" s="281"/>
      <c r="V622" s="281"/>
      <c r="W622" s="281"/>
      <c r="X622" s="281"/>
      <c r="Y622" s="281"/>
      <c r="Z622" s="281"/>
      <c r="AA622" s="281"/>
      <c r="AB622" s="281"/>
      <c r="AC622" s="281"/>
      <c r="AD622" s="281"/>
    </row>
    <row r="623" spans="1:30" s="288" customFormat="1" x14ac:dyDescent="0.25">
      <c r="A623" s="287"/>
      <c r="B623" s="274">
        <f t="shared" si="82"/>
        <v>608</v>
      </c>
      <c r="C623" s="304">
        <f t="shared" ca="1" si="77"/>
        <v>0</v>
      </c>
      <c r="D623" s="304">
        <f ca="1">IF(ROUND(E622,0)&lt;&gt;0, IF(ROUND(D622,0)&lt;&gt;0, 'Career Comparison'!$F$28-C623, 0), 0)</f>
        <v>0</v>
      </c>
      <c r="E623" s="304">
        <f ca="1">IF(G$7&gt;=B623, E622*(1+'Government Figures'!$D$8/12)-'Career Comparison'!$F$28, 0)</f>
        <v>0</v>
      </c>
      <c r="F623" s="312">
        <f>'College Schedule'!$L$8*(1+'Government Figures'!$B$8/12)^B623</f>
        <v>5611.3068805809989</v>
      </c>
      <c r="G623" s="278">
        <v>1</v>
      </c>
      <c r="H623" s="279">
        <f t="shared" ca="1" si="83"/>
        <v>0.17320110972991043</v>
      </c>
      <c r="I623" s="304">
        <f>G623*('College Schedule'!$L$9)*(1+'Government Figures'!$B$8/12)^B623</f>
        <v>12496.112133136505</v>
      </c>
      <c r="J623" s="304">
        <f t="shared" ca="1" si="78"/>
        <v>4720.4647637868648</v>
      </c>
      <c r="K623" s="304">
        <f t="shared" ca="1" si="79"/>
        <v>624.134671184534</v>
      </c>
      <c r="L623" s="278">
        <v>1</v>
      </c>
      <c r="M623" s="279">
        <f t="shared" si="84"/>
        <v>0.13735784313725496</v>
      </c>
      <c r="N623" s="304">
        <f>L623*('College Schedule'!$L$10)*(1+'Government Figures'!$B$8/12)^B623</f>
        <v>7497.6672798819045</v>
      </c>
      <c r="O623" s="304">
        <f t="shared" si="80"/>
        <v>856.49699317555769</v>
      </c>
      <c r="P623" s="304">
        <f t="shared" si="81"/>
        <v>113.2450925822238</v>
      </c>
      <c r="Q623" s="274"/>
      <c r="R623" s="281"/>
      <c r="S623" s="281"/>
      <c r="T623" s="281"/>
      <c r="U623" s="281"/>
      <c r="V623" s="281"/>
      <c r="W623" s="281"/>
      <c r="X623" s="281"/>
      <c r="Y623" s="281"/>
      <c r="Z623" s="281"/>
      <c r="AA623" s="281"/>
      <c r="AB623" s="281"/>
      <c r="AC623" s="281"/>
      <c r="AD623" s="281"/>
    </row>
    <row r="624" spans="1:30" s="288" customFormat="1" x14ac:dyDescent="0.25">
      <c r="A624" s="287"/>
      <c r="B624" s="274">
        <f t="shared" si="82"/>
        <v>609</v>
      </c>
      <c r="C624" s="304">
        <f t="shared" ca="1" si="77"/>
        <v>0</v>
      </c>
      <c r="D624" s="304">
        <f ca="1">IF(ROUND(E623,0)&lt;&gt;0, IF(ROUND(D623,0)&lt;&gt;0, 'Career Comparison'!$F$28-C624, 0), 0)</f>
        <v>0</v>
      </c>
      <c r="E624" s="304">
        <f ca="1">IF(G$7&gt;=B624, E623*(1+'Government Figures'!$D$8/12)-'Career Comparison'!$F$28, 0)</f>
        <v>0</v>
      </c>
      <c r="F624" s="312">
        <f>'College Schedule'!$L$8*(1+'Government Figures'!$B$8/12)^B624</f>
        <v>5620.6590587153014</v>
      </c>
      <c r="G624" s="278">
        <v>1</v>
      </c>
      <c r="H624" s="279">
        <f t="shared" ca="1" si="83"/>
        <v>0.17320110972991043</v>
      </c>
      <c r="I624" s="304">
        <f>G624*('College Schedule'!$L$9)*(1+'Government Figures'!$B$8/12)^B624</f>
        <v>12516.938986691735</v>
      </c>
      <c r="J624" s="304">
        <f t="shared" ca="1" si="78"/>
        <v>4728.3322050598445</v>
      </c>
      <c r="K624" s="304">
        <f t="shared" ca="1" si="79"/>
        <v>623.09790262774925</v>
      </c>
      <c r="L624" s="278">
        <v>1</v>
      </c>
      <c r="M624" s="279">
        <f t="shared" si="84"/>
        <v>0.13735784313725496</v>
      </c>
      <c r="N624" s="304">
        <f>L624*('College Schedule'!$L$10)*(1+'Government Figures'!$B$8/12)^B624</f>
        <v>7510.1633920150425</v>
      </c>
      <c r="O624" s="304">
        <f t="shared" si="80"/>
        <v>857.92448816418437</v>
      </c>
      <c r="P624" s="304">
        <f t="shared" si="81"/>
        <v>113.05697781049264</v>
      </c>
      <c r="Q624" s="274"/>
      <c r="R624" s="281"/>
      <c r="S624" s="281"/>
      <c r="T624" s="281"/>
      <c r="U624" s="281"/>
      <c r="V624" s="281"/>
      <c r="W624" s="281"/>
      <c r="X624" s="281"/>
      <c r="Y624" s="281"/>
      <c r="Z624" s="281"/>
      <c r="AA624" s="281"/>
      <c r="AB624" s="281"/>
      <c r="AC624" s="281"/>
      <c r="AD624" s="281"/>
    </row>
    <row r="625" spans="1:30" s="288" customFormat="1" x14ac:dyDescent="0.25">
      <c r="A625" s="287"/>
      <c r="B625" s="274">
        <f t="shared" si="82"/>
        <v>610</v>
      </c>
      <c r="C625" s="304">
        <f t="shared" ref="C625:C688" ca="1" si="85">E624-E625</f>
        <v>0</v>
      </c>
      <c r="D625" s="304">
        <f ca="1">IF(ROUND(E624,0)&lt;&gt;0, IF(ROUND(D624,0)&lt;&gt;0, 'Career Comparison'!$F$28-C625, 0), 0)</f>
        <v>0</v>
      </c>
      <c r="E625" s="304">
        <f ca="1">IF(G$7&gt;=B625, E624*(1+'Government Figures'!$D$8/12)-'Career Comparison'!$F$28, 0)</f>
        <v>0</v>
      </c>
      <c r="F625" s="312">
        <f>'College Schedule'!$L$8*(1+'Government Figures'!$B$8/12)^B625</f>
        <v>5630.0268238131603</v>
      </c>
      <c r="G625" s="278">
        <v>1</v>
      </c>
      <c r="H625" s="279">
        <f t="shared" ca="1" si="83"/>
        <v>0.17320110972991043</v>
      </c>
      <c r="I625" s="304">
        <f>G625*('College Schedule'!$L$9)*(1+'Government Figures'!$B$8/12)^B625</f>
        <v>12537.800551669554</v>
      </c>
      <c r="J625" s="304">
        <f t="shared" ref="J625:J688" ca="1" si="86">I625*(1-H625)-F625-C625-D625</f>
        <v>4736.2127587349432</v>
      </c>
      <c r="K625" s="304">
        <f t="shared" ref="K625:K688" ca="1" si="87">J625/(1+($G$9/12))^B625</f>
        <v>622.06285627786906</v>
      </c>
      <c r="L625" s="278">
        <v>1</v>
      </c>
      <c r="M625" s="279">
        <f t="shared" si="84"/>
        <v>0.13735784313725496</v>
      </c>
      <c r="N625" s="304">
        <f>L625*('College Schedule'!$L$10)*(1+'Government Figures'!$B$8/12)^B625</f>
        <v>7522.6803310017331</v>
      </c>
      <c r="O625" s="304">
        <f t="shared" ref="O625:O688" si="88">N625*(1-M625)-F625</f>
        <v>859.35436231112362</v>
      </c>
      <c r="P625" s="304">
        <f t="shared" ref="P625:P688" si="89">O625/(1+($G$9/12))^B625</f>
        <v>112.86917552177073</v>
      </c>
      <c r="Q625" s="274"/>
      <c r="R625" s="281"/>
      <c r="S625" s="281"/>
      <c r="T625" s="281"/>
      <c r="U625" s="281"/>
      <c r="V625" s="281"/>
      <c r="W625" s="281"/>
      <c r="X625" s="281"/>
      <c r="Y625" s="281"/>
      <c r="Z625" s="281"/>
      <c r="AA625" s="281"/>
      <c r="AB625" s="281"/>
      <c r="AC625" s="281"/>
      <c r="AD625" s="281"/>
    </row>
    <row r="626" spans="1:30" s="288" customFormat="1" x14ac:dyDescent="0.25">
      <c r="A626" s="287"/>
      <c r="B626" s="274">
        <f t="shared" si="82"/>
        <v>611</v>
      </c>
      <c r="C626" s="304">
        <f t="shared" ca="1" si="85"/>
        <v>0</v>
      </c>
      <c r="D626" s="304">
        <f ca="1">IF(ROUND(E625,0)&lt;&gt;0, IF(ROUND(D625,0)&lt;&gt;0, 'Career Comparison'!$F$28-C626, 0), 0)</f>
        <v>0</v>
      </c>
      <c r="E626" s="304">
        <f ca="1">IF(G$7&gt;=B626, E625*(1+'Government Figures'!$D$8/12)-'Career Comparison'!$F$28, 0)</f>
        <v>0</v>
      </c>
      <c r="F626" s="312">
        <f>'College Schedule'!$L$8*(1+'Government Figures'!$B$8/12)^B626</f>
        <v>5639.4102018528492</v>
      </c>
      <c r="G626" s="278">
        <v>1</v>
      </c>
      <c r="H626" s="279">
        <f t="shared" ca="1" si="83"/>
        <v>0.17320110972991043</v>
      </c>
      <c r="I626" s="304">
        <f>G626*('College Schedule'!$L$9)*(1+'Government Figures'!$B$8/12)^B626</f>
        <v>12558.696885922336</v>
      </c>
      <c r="J626" s="304">
        <f t="shared" ca="1" si="86"/>
        <v>4744.1064466661674</v>
      </c>
      <c r="K626" s="304">
        <f t="shared" ca="1" si="87"/>
        <v>621.02952927408489</v>
      </c>
      <c r="L626" s="278">
        <v>1</v>
      </c>
      <c r="M626" s="279">
        <f t="shared" si="84"/>
        <v>0.13735784313725496</v>
      </c>
      <c r="N626" s="304">
        <f>L626*('College Schedule'!$L$10)*(1+'Government Figures'!$B$8/12)^B626</f>
        <v>7535.2181315534035</v>
      </c>
      <c r="O626" s="304">
        <f t="shared" si="88"/>
        <v>860.7866195816423</v>
      </c>
      <c r="P626" s="304">
        <f t="shared" si="89"/>
        <v>112.68168519698372</v>
      </c>
      <c r="Q626" s="274"/>
      <c r="R626" s="281"/>
      <c r="S626" s="281"/>
      <c r="T626" s="281"/>
      <c r="U626" s="281"/>
      <c r="V626" s="281"/>
      <c r="W626" s="281"/>
      <c r="X626" s="281"/>
      <c r="Y626" s="281"/>
      <c r="Z626" s="281"/>
      <c r="AA626" s="281"/>
      <c r="AB626" s="281"/>
      <c r="AC626" s="281"/>
      <c r="AD626" s="281"/>
    </row>
    <row r="627" spans="1:30" s="288" customFormat="1" x14ac:dyDescent="0.25">
      <c r="A627" s="287"/>
      <c r="B627" s="274">
        <f t="shared" si="82"/>
        <v>612</v>
      </c>
      <c r="C627" s="304">
        <f t="shared" ca="1" si="85"/>
        <v>0</v>
      </c>
      <c r="D627" s="304">
        <f ca="1">IF(ROUND(E626,0)&lt;&gt;0, IF(ROUND(D626,0)&lt;&gt;0, 'Career Comparison'!$F$28-C627, 0), 0)</f>
        <v>0</v>
      </c>
      <c r="E627" s="304">
        <f ca="1">IF(G$7&gt;=B627, E626*(1+'Government Figures'!$D$8/12)-'Career Comparison'!$F$28, 0)</f>
        <v>0</v>
      </c>
      <c r="F627" s="312">
        <f>'College Schedule'!$L$8*(1+'Government Figures'!$B$8/12)^B627</f>
        <v>5648.8092188559385</v>
      </c>
      <c r="G627" s="278">
        <v>1</v>
      </c>
      <c r="H627" s="279">
        <f t="shared" ca="1" si="83"/>
        <v>0.17320110972991043</v>
      </c>
      <c r="I627" s="304">
        <f>G627*('College Schedule'!$L$9)*(1+'Government Figures'!$B$8/12)^B627</f>
        <v>12579.628047398875</v>
      </c>
      <c r="J627" s="304">
        <f t="shared" ca="1" si="86"/>
        <v>4752.0132907439456</v>
      </c>
      <c r="K627" s="304">
        <f t="shared" ca="1" si="87"/>
        <v>619.99791876034089</v>
      </c>
      <c r="L627" s="278">
        <v>1</v>
      </c>
      <c r="M627" s="279">
        <f t="shared" si="84"/>
        <v>0.13735784313725496</v>
      </c>
      <c r="N627" s="304">
        <f>L627*('College Schedule'!$L$10)*(1+'Government Figures'!$B$8/12)^B627</f>
        <v>7547.7768284393269</v>
      </c>
      <c r="O627" s="304">
        <f t="shared" si="88"/>
        <v>862.22126394761108</v>
      </c>
      <c r="P627" s="304">
        <f t="shared" si="89"/>
        <v>112.49450631791892</v>
      </c>
      <c r="Q627" s="274"/>
      <c r="R627" s="281"/>
      <c r="S627" s="281"/>
      <c r="T627" s="281"/>
      <c r="U627" s="281"/>
      <c r="V627" s="281"/>
      <c r="W627" s="281"/>
      <c r="X627" s="281"/>
      <c r="Y627" s="281"/>
      <c r="Z627" s="281"/>
      <c r="AA627" s="281"/>
      <c r="AB627" s="281"/>
      <c r="AC627" s="281"/>
      <c r="AD627" s="281"/>
    </row>
    <row r="628" spans="1:30" s="288" customFormat="1" x14ac:dyDescent="0.25">
      <c r="A628" s="287"/>
      <c r="B628" s="274">
        <f t="shared" si="82"/>
        <v>613</v>
      </c>
      <c r="C628" s="304">
        <f t="shared" ca="1" si="85"/>
        <v>0</v>
      </c>
      <c r="D628" s="304">
        <f ca="1">IF(ROUND(E627,0)&lt;&gt;0, IF(ROUND(D627,0)&lt;&gt;0, 'Career Comparison'!$F$28-C628, 0), 0)</f>
        <v>0</v>
      </c>
      <c r="E628" s="304">
        <f ca="1">IF(G$7&gt;=B628, E627*(1+'Government Figures'!$D$8/12)-'Career Comparison'!$F$28, 0)</f>
        <v>0</v>
      </c>
      <c r="F628" s="312">
        <f>'College Schedule'!$L$8*(1+'Government Figures'!$B$8/12)^B628</f>
        <v>5658.2239008873648</v>
      </c>
      <c r="G628" s="278">
        <v>1</v>
      </c>
      <c r="H628" s="279">
        <f t="shared" ca="1" si="83"/>
        <v>0.17320110972991043</v>
      </c>
      <c r="I628" s="304">
        <f>G628*('College Schedule'!$L$9)*(1+'Government Figures'!$B$8/12)^B628</f>
        <v>12600.594094144542</v>
      </c>
      <c r="J628" s="304">
        <f t="shared" ca="1" si="86"/>
        <v>4759.9333128951866</v>
      </c>
      <c r="K628" s="304">
        <f t="shared" ca="1" si="87"/>
        <v>618.96802188532388</v>
      </c>
      <c r="L628" s="278">
        <v>1</v>
      </c>
      <c r="M628" s="279">
        <f t="shared" si="84"/>
        <v>0.13735784313725496</v>
      </c>
      <c r="N628" s="304">
        <f>L628*('College Schedule'!$L$10)*(1+'Government Figures'!$B$8/12)^B628</f>
        <v>7560.3564564867265</v>
      </c>
      <c r="O628" s="304">
        <f t="shared" si="88"/>
        <v>863.6582993875254</v>
      </c>
      <c r="P628" s="304">
        <f t="shared" si="89"/>
        <v>112.30763836722491</v>
      </c>
      <c r="Q628" s="274"/>
      <c r="R628" s="281"/>
      <c r="S628" s="281"/>
      <c r="T628" s="281"/>
      <c r="U628" s="281"/>
      <c r="V628" s="281"/>
      <c r="W628" s="281"/>
      <c r="X628" s="281"/>
      <c r="Y628" s="281"/>
      <c r="Z628" s="281"/>
      <c r="AA628" s="281"/>
      <c r="AB628" s="281"/>
      <c r="AC628" s="281"/>
      <c r="AD628" s="281"/>
    </row>
    <row r="629" spans="1:30" s="288" customFormat="1" x14ac:dyDescent="0.25">
      <c r="A629" s="287"/>
      <c r="B629" s="274">
        <f t="shared" si="82"/>
        <v>614</v>
      </c>
      <c r="C629" s="304">
        <f t="shared" ca="1" si="85"/>
        <v>0</v>
      </c>
      <c r="D629" s="304">
        <f ca="1">IF(ROUND(E628,0)&lt;&gt;0, IF(ROUND(D628,0)&lt;&gt;0, 'Career Comparison'!$F$28-C629, 0), 0)</f>
        <v>0</v>
      </c>
      <c r="E629" s="304">
        <f ca="1">IF(G$7&gt;=B629, E628*(1+'Government Figures'!$D$8/12)-'Career Comparison'!$F$28, 0)</f>
        <v>0</v>
      </c>
      <c r="F629" s="312">
        <f>'College Schedule'!$L$8*(1+'Government Figures'!$B$8/12)^B629</f>
        <v>5667.6542740555096</v>
      </c>
      <c r="G629" s="278">
        <v>1</v>
      </c>
      <c r="H629" s="279">
        <f t="shared" ca="1" si="83"/>
        <v>0.17320110972991043</v>
      </c>
      <c r="I629" s="304">
        <f>G629*('College Schedule'!$L$9)*(1+'Government Figures'!$B$8/12)^B629</f>
        <v>12621.595084301447</v>
      </c>
      <c r="J629" s="304">
        <f t="shared" ca="1" si="86"/>
        <v>4767.8665350833444</v>
      </c>
      <c r="K629" s="304">
        <f t="shared" ca="1" si="87"/>
        <v>617.93983580245754</v>
      </c>
      <c r="L629" s="278">
        <v>1</v>
      </c>
      <c r="M629" s="279">
        <f t="shared" si="84"/>
        <v>0.13735784313725496</v>
      </c>
      <c r="N629" s="304">
        <f>L629*('College Schedule'!$L$10)*(1+'Government Figures'!$B$8/12)^B629</f>
        <v>7572.9570505808697</v>
      </c>
      <c r="O629" s="304">
        <f t="shared" si="88"/>
        <v>865.09772988650366</v>
      </c>
      <c r="P629" s="304">
        <f t="shared" si="89"/>
        <v>112.12108082840875</v>
      </c>
      <c r="Q629" s="274"/>
      <c r="R629" s="281"/>
      <c r="S629" s="281"/>
      <c r="T629" s="281"/>
      <c r="U629" s="281"/>
      <c r="V629" s="281"/>
      <c r="W629" s="281"/>
      <c r="X629" s="281"/>
      <c r="Y629" s="281"/>
      <c r="Z629" s="281"/>
      <c r="AA629" s="281"/>
      <c r="AB629" s="281"/>
      <c r="AC629" s="281"/>
      <c r="AD629" s="281"/>
    </row>
    <row r="630" spans="1:30" s="288" customFormat="1" x14ac:dyDescent="0.25">
      <c r="A630" s="287"/>
      <c r="B630" s="274">
        <f t="shared" si="82"/>
        <v>615</v>
      </c>
      <c r="C630" s="304">
        <f t="shared" ca="1" si="85"/>
        <v>0</v>
      </c>
      <c r="D630" s="304">
        <f ca="1">IF(ROUND(E629,0)&lt;&gt;0, IF(ROUND(D629,0)&lt;&gt;0, 'Career Comparison'!$F$28-C630, 0), 0)</f>
        <v>0</v>
      </c>
      <c r="E630" s="304">
        <f ca="1">IF(G$7&gt;=B630, E629*(1+'Government Figures'!$D$8/12)-'Career Comparison'!$F$28, 0)</f>
        <v>0</v>
      </c>
      <c r="F630" s="312">
        <f>'College Schedule'!$L$8*(1+'Government Figures'!$B$8/12)^B630</f>
        <v>5677.1003645122701</v>
      </c>
      <c r="G630" s="278">
        <v>1</v>
      </c>
      <c r="H630" s="279">
        <f t="shared" ca="1" si="83"/>
        <v>0.17320110972991043</v>
      </c>
      <c r="I630" s="304">
        <f>G630*('College Schedule'!$L$9)*(1+'Government Figures'!$B$8/12)^B630</f>
        <v>12642.631076108619</v>
      </c>
      <c r="J630" s="304">
        <f t="shared" ca="1" si="86"/>
        <v>4775.8129793084836</v>
      </c>
      <c r="K630" s="304">
        <f t="shared" ca="1" si="87"/>
        <v>616.91335766989528</v>
      </c>
      <c r="L630" s="278">
        <v>1</v>
      </c>
      <c r="M630" s="279">
        <f t="shared" si="84"/>
        <v>0.13735784313725496</v>
      </c>
      <c r="N630" s="304">
        <f>L630*('College Schedule'!$L$10)*(1+'Government Figures'!$B$8/12)^B630</f>
        <v>7585.5786456651722</v>
      </c>
      <c r="O630" s="304">
        <f t="shared" si="88"/>
        <v>866.53955943631445</v>
      </c>
      <c r="P630" s="304">
        <f t="shared" si="89"/>
        <v>111.93483318583661</v>
      </c>
      <c r="Q630" s="274"/>
      <c r="R630" s="281"/>
      <c r="S630" s="281"/>
      <c r="T630" s="281"/>
      <c r="U630" s="281"/>
      <c r="V630" s="281"/>
      <c r="W630" s="281"/>
      <c r="X630" s="281"/>
      <c r="Y630" s="281"/>
      <c r="Z630" s="281"/>
      <c r="AA630" s="281"/>
      <c r="AB630" s="281"/>
      <c r="AC630" s="281"/>
      <c r="AD630" s="281"/>
    </row>
    <row r="631" spans="1:30" s="288" customFormat="1" x14ac:dyDescent="0.25">
      <c r="A631" s="287"/>
      <c r="B631" s="274">
        <f t="shared" si="82"/>
        <v>616</v>
      </c>
      <c r="C631" s="304">
        <f t="shared" ca="1" si="85"/>
        <v>0</v>
      </c>
      <c r="D631" s="304">
        <f ca="1">IF(ROUND(E630,0)&lt;&gt;0, IF(ROUND(D630,0)&lt;&gt;0, 'Career Comparison'!$F$28-C631, 0), 0)</f>
        <v>0</v>
      </c>
      <c r="E631" s="304">
        <f ca="1">IF(G$7&gt;=B631, E630*(1+'Government Figures'!$D$8/12)-'Career Comparison'!$F$28, 0)</f>
        <v>0</v>
      </c>
      <c r="F631" s="312">
        <f>'College Schedule'!$L$8*(1+'Government Figures'!$B$8/12)^B631</f>
        <v>5686.5621984531244</v>
      </c>
      <c r="G631" s="278">
        <v>1</v>
      </c>
      <c r="H631" s="279">
        <f t="shared" ca="1" si="83"/>
        <v>0.17320110972991043</v>
      </c>
      <c r="I631" s="304">
        <f>G631*('College Schedule'!$L$9)*(1+'Government Figures'!$B$8/12)^B631</f>
        <v>12663.702127902136</v>
      </c>
      <c r="J631" s="304">
        <f t="shared" ca="1" si="86"/>
        <v>4783.7726676073326</v>
      </c>
      <c r="K631" s="304">
        <f t="shared" ca="1" si="87"/>
        <v>615.88858465051032</v>
      </c>
      <c r="L631" s="278">
        <v>1</v>
      </c>
      <c r="M631" s="279">
        <f t="shared" si="84"/>
        <v>0.13735784313725496</v>
      </c>
      <c r="N631" s="304">
        <f>L631*('College Schedule'!$L$10)*(1+'Government Figures'!$B$8/12)^B631</f>
        <v>7598.221276741283</v>
      </c>
      <c r="O631" s="304">
        <f t="shared" si="88"/>
        <v>867.98379203537661</v>
      </c>
      <c r="P631" s="304">
        <f t="shared" si="89"/>
        <v>111.74889492473081</v>
      </c>
      <c r="Q631" s="274"/>
      <c r="R631" s="281"/>
      <c r="S631" s="281"/>
      <c r="T631" s="281"/>
      <c r="U631" s="281"/>
      <c r="V631" s="281"/>
      <c r="W631" s="281"/>
      <c r="X631" s="281"/>
      <c r="Y631" s="281"/>
      <c r="Z631" s="281"/>
      <c r="AA631" s="281"/>
      <c r="AB631" s="281"/>
      <c r="AC631" s="281"/>
      <c r="AD631" s="281"/>
    </row>
    <row r="632" spans="1:30" s="288" customFormat="1" x14ac:dyDescent="0.25">
      <c r="A632" s="287"/>
      <c r="B632" s="274">
        <f t="shared" si="82"/>
        <v>617</v>
      </c>
      <c r="C632" s="304">
        <f t="shared" ca="1" si="85"/>
        <v>0</v>
      </c>
      <c r="D632" s="304">
        <f ca="1">IF(ROUND(E631,0)&lt;&gt;0, IF(ROUND(D631,0)&lt;&gt;0, 'Career Comparison'!$F$28-C632, 0), 0)</f>
        <v>0</v>
      </c>
      <c r="E632" s="304">
        <f ca="1">IF(G$7&gt;=B632, E631*(1+'Government Figures'!$D$8/12)-'Career Comparison'!$F$28, 0)</f>
        <v>0</v>
      </c>
      <c r="F632" s="312">
        <f>'College Schedule'!$L$8*(1+'Government Figures'!$B$8/12)^B632</f>
        <v>5696.0398021172123</v>
      </c>
      <c r="G632" s="278">
        <v>1</v>
      </c>
      <c r="H632" s="279">
        <f t="shared" ca="1" si="83"/>
        <v>0.17320110972991043</v>
      </c>
      <c r="I632" s="304">
        <f>G632*('College Schedule'!$L$9)*(1+'Government Figures'!$B$8/12)^B632</f>
        <v>12684.808298115304</v>
      </c>
      <c r="J632" s="304">
        <f t="shared" ca="1" si="86"/>
        <v>4791.745622053345</v>
      </c>
      <c r="K632" s="304">
        <f t="shared" ca="1" si="87"/>
        <v>614.86551391188823</v>
      </c>
      <c r="L632" s="278">
        <v>1</v>
      </c>
      <c r="M632" s="279">
        <f t="shared" si="84"/>
        <v>0.13735784313725496</v>
      </c>
      <c r="N632" s="304">
        <f>L632*('College Schedule'!$L$10)*(1+'Government Figures'!$B$8/12)^B632</f>
        <v>7610.8849788691841</v>
      </c>
      <c r="O632" s="304">
        <f t="shared" si="88"/>
        <v>869.43043168876829</v>
      </c>
      <c r="P632" s="304">
        <f t="shared" si="89"/>
        <v>111.56326553116806</v>
      </c>
      <c r="Q632" s="274"/>
      <c r="R632" s="281"/>
      <c r="S632" s="281"/>
      <c r="T632" s="281"/>
      <c r="U632" s="281"/>
      <c r="V632" s="281"/>
      <c r="W632" s="281"/>
      <c r="X632" s="281"/>
      <c r="Y632" s="281"/>
      <c r="Z632" s="281"/>
      <c r="AA632" s="281"/>
      <c r="AB632" s="281"/>
      <c r="AC632" s="281"/>
      <c r="AD632" s="281"/>
    </row>
    <row r="633" spans="1:30" s="288" customFormat="1" x14ac:dyDescent="0.25">
      <c r="A633" s="287"/>
      <c r="B633" s="274">
        <f t="shared" si="82"/>
        <v>618</v>
      </c>
      <c r="C633" s="304">
        <f t="shared" ca="1" si="85"/>
        <v>0</v>
      </c>
      <c r="D633" s="304">
        <f ca="1">IF(ROUND(E632,0)&lt;&gt;0, IF(ROUND(D632,0)&lt;&gt;0, 'Career Comparison'!$F$28-C633, 0), 0)</f>
        <v>0</v>
      </c>
      <c r="E633" s="304">
        <f ca="1">IF(G$7&gt;=B633, E632*(1+'Government Figures'!$D$8/12)-'Career Comparison'!$F$28, 0)</f>
        <v>0</v>
      </c>
      <c r="F633" s="312">
        <f>'College Schedule'!$L$8*(1+'Government Figures'!$B$8/12)^B633</f>
        <v>5705.533201787408</v>
      </c>
      <c r="G633" s="278">
        <v>1</v>
      </c>
      <c r="H633" s="279">
        <f t="shared" ca="1" si="83"/>
        <v>0.17320110972991043</v>
      </c>
      <c r="I633" s="304">
        <f>G633*('College Schedule'!$L$9)*(1+'Government Figures'!$B$8/12)^B633</f>
        <v>12705.94964527883</v>
      </c>
      <c r="J633" s="304">
        <f t="shared" ca="1" si="86"/>
        <v>4799.7318647567663</v>
      </c>
      <c r="K633" s="304">
        <f t="shared" ca="1" si="87"/>
        <v>613.84414262632004</v>
      </c>
      <c r="L633" s="278">
        <v>1</v>
      </c>
      <c r="M633" s="279">
        <f t="shared" si="84"/>
        <v>0.13735784313725496</v>
      </c>
      <c r="N633" s="304">
        <f>L633*('College Schedule'!$L$10)*(1+'Government Figures'!$B$8/12)^B633</f>
        <v>7623.5697871672992</v>
      </c>
      <c r="O633" s="304">
        <f t="shared" si="88"/>
        <v>870.8794824082488</v>
      </c>
      <c r="P633" s="304">
        <f t="shared" si="89"/>
        <v>111.37794449207961</v>
      </c>
      <c r="Q633" s="274"/>
      <c r="R633" s="281"/>
      <c r="S633" s="281"/>
      <c r="T633" s="281"/>
      <c r="U633" s="281"/>
      <c r="V633" s="281"/>
      <c r="W633" s="281"/>
      <c r="X633" s="281"/>
      <c r="Y633" s="281"/>
      <c r="Z633" s="281"/>
      <c r="AA633" s="281"/>
      <c r="AB633" s="281"/>
      <c r="AC633" s="281"/>
      <c r="AD633" s="281"/>
    </row>
    <row r="634" spans="1:30" s="288" customFormat="1" x14ac:dyDescent="0.25">
      <c r="A634" s="287"/>
      <c r="B634" s="274">
        <f t="shared" si="82"/>
        <v>619</v>
      </c>
      <c r="C634" s="304">
        <f t="shared" ca="1" si="85"/>
        <v>0</v>
      </c>
      <c r="D634" s="304">
        <f ca="1">IF(ROUND(E633,0)&lt;&gt;0, IF(ROUND(D633,0)&lt;&gt;0, 'Career Comparison'!$F$28-C634, 0), 0)</f>
        <v>0</v>
      </c>
      <c r="E634" s="304">
        <f ca="1">IF(G$7&gt;=B634, E633*(1+'Government Figures'!$D$8/12)-'Career Comparison'!$F$28, 0)</f>
        <v>0</v>
      </c>
      <c r="F634" s="312">
        <f>'College Schedule'!$L$8*(1+'Government Figures'!$B$8/12)^B634</f>
        <v>5715.0424237903881</v>
      </c>
      <c r="G634" s="278">
        <v>1</v>
      </c>
      <c r="H634" s="279">
        <f t="shared" ca="1" si="83"/>
        <v>0.17320110972991043</v>
      </c>
      <c r="I634" s="304">
        <f>G634*('College Schedule'!$L$9)*(1+'Government Figures'!$B$8/12)^B634</f>
        <v>12727.126228020963</v>
      </c>
      <c r="J634" s="304">
        <f t="shared" ca="1" si="86"/>
        <v>4807.7314178646957</v>
      </c>
      <c r="K634" s="304">
        <f t="shared" ca="1" si="87"/>
        <v>612.82446797079467</v>
      </c>
      <c r="L634" s="278">
        <v>1</v>
      </c>
      <c r="M634" s="279">
        <f t="shared" si="84"/>
        <v>0.13735784313725496</v>
      </c>
      <c r="N634" s="304">
        <f>L634*('College Schedule'!$L$10)*(1+'Government Figures'!$B$8/12)^B634</f>
        <v>7636.2757368125795</v>
      </c>
      <c r="O634" s="304">
        <f t="shared" si="88"/>
        <v>872.33094821226314</v>
      </c>
      <c r="P634" s="304">
        <f t="shared" si="89"/>
        <v>111.19293129524897</v>
      </c>
      <c r="Q634" s="274"/>
      <c r="R634" s="281"/>
      <c r="S634" s="281"/>
      <c r="T634" s="281"/>
      <c r="U634" s="281"/>
      <c r="V634" s="281"/>
      <c r="W634" s="281"/>
      <c r="X634" s="281"/>
      <c r="Y634" s="281"/>
      <c r="Z634" s="281"/>
      <c r="AA634" s="281"/>
      <c r="AB634" s="281"/>
      <c r="AC634" s="281"/>
      <c r="AD634" s="281"/>
    </row>
    <row r="635" spans="1:30" s="288" customFormat="1" x14ac:dyDescent="0.25">
      <c r="A635" s="287"/>
      <c r="B635" s="274">
        <f t="shared" si="82"/>
        <v>620</v>
      </c>
      <c r="C635" s="304">
        <f t="shared" ca="1" si="85"/>
        <v>0</v>
      </c>
      <c r="D635" s="304">
        <f ca="1">IF(ROUND(E634,0)&lt;&gt;0, IF(ROUND(D634,0)&lt;&gt;0, 'Career Comparison'!$F$28-C635, 0), 0)</f>
        <v>0</v>
      </c>
      <c r="E635" s="304">
        <f ca="1">IF(G$7&gt;=B635, E634*(1+'Government Figures'!$D$8/12)-'Career Comparison'!$F$28, 0)</f>
        <v>0</v>
      </c>
      <c r="F635" s="312">
        <f>'College Schedule'!$L$8*(1+'Government Figures'!$B$8/12)^B635</f>
        <v>5724.567494496705</v>
      </c>
      <c r="G635" s="278">
        <v>1</v>
      </c>
      <c r="H635" s="279">
        <f t="shared" ca="1" si="83"/>
        <v>0.17320110972991043</v>
      </c>
      <c r="I635" s="304">
        <f>G635*('College Schedule'!$L$9)*(1+'Government Figures'!$B$8/12)^B635</f>
        <v>12748.338105067665</v>
      </c>
      <c r="J635" s="304">
        <f t="shared" ca="1" si="86"/>
        <v>4815.7443035611377</v>
      </c>
      <c r="K635" s="304">
        <f t="shared" ca="1" si="87"/>
        <v>611.80648712698951</v>
      </c>
      <c r="L635" s="278">
        <v>1</v>
      </c>
      <c r="M635" s="279">
        <f t="shared" si="84"/>
        <v>0.13735784313725496</v>
      </c>
      <c r="N635" s="304">
        <f>L635*('College Schedule'!$L$10)*(1+'Government Figures'!$B$8/12)^B635</f>
        <v>7649.0028630405996</v>
      </c>
      <c r="O635" s="304">
        <f t="shared" si="88"/>
        <v>873.78483312595017</v>
      </c>
      <c r="P635" s="304">
        <f t="shared" si="89"/>
        <v>111.00822542931002</v>
      </c>
      <c r="Q635" s="274"/>
      <c r="R635" s="281"/>
      <c r="S635" s="281"/>
      <c r="T635" s="281"/>
      <c r="U635" s="281"/>
      <c r="V635" s="281"/>
      <c r="W635" s="281"/>
      <c r="X635" s="281"/>
      <c r="Y635" s="281"/>
      <c r="Z635" s="281"/>
      <c r="AA635" s="281"/>
      <c r="AB635" s="281"/>
      <c r="AC635" s="281"/>
      <c r="AD635" s="281"/>
    </row>
    <row r="636" spans="1:30" s="288" customFormat="1" x14ac:dyDescent="0.25">
      <c r="A636" s="287"/>
      <c r="B636" s="274">
        <f t="shared" si="82"/>
        <v>621</v>
      </c>
      <c r="C636" s="304">
        <f t="shared" ca="1" si="85"/>
        <v>0</v>
      </c>
      <c r="D636" s="304">
        <f ca="1">IF(ROUND(E635,0)&lt;&gt;0, IF(ROUND(D635,0)&lt;&gt;0, 'Career Comparison'!$F$28-C636, 0), 0)</f>
        <v>0</v>
      </c>
      <c r="E636" s="304">
        <f ca="1">IF(G$7&gt;=B636, E635*(1+'Government Figures'!$D$8/12)-'Career Comparison'!$F$28, 0)</f>
        <v>0</v>
      </c>
      <c r="F636" s="312">
        <f>'College Schedule'!$L$8*(1+'Government Figures'!$B$8/12)^B636</f>
        <v>5734.1084403208679</v>
      </c>
      <c r="G636" s="278">
        <v>1</v>
      </c>
      <c r="H636" s="279">
        <f t="shared" ca="1" si="83"/>
        <v>0.17320110972991043</v>
      </c>
      <c r="I636" s="304">
        <f>G636*('College Schedule'!$L$9)*(1+'Government Figures'!$B$8/12)^B636</f>
        <v>12769.58533524278</v>
      </c>
      <c r="J636" s="304">
        <f t="shared" ca="1" si="86"/>
        <v>4823.7705440670725</v>
      </c>
      <c r="K636" s="304">
        <f t="shared" ca="1" si="87"/>
        <v>610.79019728126354</v>
      </c>
      <c r="L636" s="278">
        <v>1</v>
      </c>
      <c r="M636" s="279">
        <f t="shared" si="84"/>
        <v>0.13735784313725496</v>
      </c>
      <c r="N636" s="304">
        <f>L636*('College Schedule'!$L$10)*(1+'Government Figures'!$B$8/12)^B636</f>
        <v>7661.7512011456693</v>
      </c>
      <c r="O636" s="304">
        <f t="shared" si="88"/>
        <v>875.24114118115995</v>
      </c>
      <c r="P636" s="304">
        <f t="shared" si="89"/>
        <v>110.82382638374635</v>
      </c>
      <c r="Q636" s="274"/>
      <c r="R636" s="281"/>
      <c r="S636" s="281"/>
      <c r="T636" s="281"/>
      <c r="U636" s="281"/>
      <c r="V636" s="281"/>
      <c r="W636" s="281"/>
      <c r="X636" s="281"/>
      <c r="Y636" s="281"/>
      <c r="Z636" s="281"/>
      <c r="AA636" s="281"/>
      <c r="AB636" s="281"/>
      <c r="AC636" s="281"/>
      <c r="AD636" s="281"/>
    </row>
    <row r="637" spans="1:30" s="288" customFormat="1" x14ac:dyDescent="0.25">
      <c r="A637" s="287"/>
      <c r="B637" s="274">
        <f t="shared" si="82"/>
        <v>622</v>
      </c>
      <c r="C637" s="304">
        <f t="shared" ca="1" si="85"/>
        <v>0</v>
      </c>
      <c r="D637" s="304">
        <f ca="1">IF(ROUND(E636,0)&lt;&gt;0, IF(ROUND(D636,0)&lt;&gt;0, 'Career Comparison'!$F$28-C637, 0), 0)</f>
        <v>0</v>
      </c>
      <c r="E637" s="304">
        <f ca="1">IF(G$7&gt;=B637, E636*(1+'Government Figures'!$D$8/12)-'Career Comparison'!$F$28, 0)</f>
        <v>0</v>
      </c>
      <c r="F637" s="312">
        <f>'College Schedule'!$L$8*(1+'Government Figures'!$B$8/12)^B637</f>
        <v>5743.6652877214028</v>
      </c>
      <c r="G637" s="278">
        <v>1</v>
      </c>
      <c r="H637" s="279">
        <f t="shared" ca="1" si="83"/>
        <v>0.17320110972991043</v>
      </c>
      <c r="I637" s="304">
        <f>G637*('College Schedule'!$L$9)*(1+'Government Figures'!$B$8/12)^B637</f>
        <v>12790.867977468186</v>
      </c>
      <c r="J637" s="304">
        <f t="shared" ca="1" si="86"/>
        <v>4831.8101616405193</v>
      </c>
      <c r="K637" s="304">
        <f t="shared" ca="1" si="87"/>
        <v>609.77559562465024</v>
      </c>
      <c r="L637" s="278">
        <v>1</v>
      </c>
      <c r="M637" s="279">
        <f t="shared" si="84"/>
        <v>0.13735784313725496</v>
      </c>
      <c r="N637" s="304">
        <f>L637*('College Schedule'!$L$10)*(1+'Government Figures'!$B$8/12)^B637</f>
        <v>7674.5207864809126</v>
      </c>
      <c r="O637" s="304">
        <f t="shared" si="88"/>
        <v>876.69987641646185</v>
      </c>
      <c r="P637" s="304">
        <f t="shared" si="89"/>
        <v>110.6397336488896</v>
      </c>
      <c r="Q637" s="274"/>
      <c r="R637" s="281"/>
      <c r="S637" s="281"/>
      <c r="T637" s="281"/>
      <c r="U637" s="281"/>
      <c r="V637" s="281"/>
      <c r="W637" s="281"/>
      <c r="X637" s="281"/>
      <c r="Y637" s="281"/>
      <c r="Z637" s="281"/>
      <c r="AA637" s="281"/>
      <c r="AB637" s="281"/>
      <c r="AC637" s="281"/>
      <c r="AD637" s="281"/>
    </row>
    <row r="638" spans="1:30" s="288" customFormat="1" x14ac:dyDescent="0.25">
      <c r="A638" s="287"/>
      <c r="B638" s="274">
        <f t="shared" si="82"/>
        <v>623</v>
      </c>
      <c r="C638" s="304">
        <f t="shared" ca="1" si="85"/>
        <v>0</v>
      </c>
      <c r="D638" s="304">
        <f ca="1">IF(ROUND(E637,0)&lt;&gt;0, IF(ROUND(D637,0)&lt;&gt;0, 'Career Comparison'!$F$28-C638, 0), 0)</f>
        <v>0</v>
      </c>
      <c r="E638" s="304">
        <f ca="1">IF(G$7&gt;=B638, E637*(1+'Government Figures'!$D$8/12)-'Career Comparison'!$F$28, 0)</f>
        <v>0</v>
      </c>
      <c r="F638" s="312">
        <f>'College Schedule'!$L$8*(1+'Government Figures'!$B$8/12)^B638</f>
        <v>5753.238063200939</v>
      </c>
      <c r="G638" s="278">
        <v>1</v>
      </c>
      <c r="H638" s="279">
        <f t="shared" ca="1" si="83"/>
        <v>0.17320110972991043</v>
      </c>
      <c r="I638" s="304">
        <f>G638*('College Schedule'!$L$9)*(1+'Government Figures'!$B$8/12)^B638</f>
        <v>12812.186090763968</v>
      </c>
      <c r="J638" s="304">
        <f t="shared" ca="1" si="86"/>
        <v>4839.8631785765865</v>
      </c>
      <c r="K638" s="304">
        <f t="shared" ca="1" si="87"/>
        <v>608.76267935284829</v>
      </c>
      <c r="L638" s="278">
        <v>1</v>
      </c>
      <c r="M638" s="279">
        <f t="shared" si="84"/>
        <v>0.13735784313725496</v>
      </c>
      <c r="N638" s="304">
        <f>L638*('College Schedule'!$L$10)*(1+'Government Figures'!$B$8/12)^B638</f>
        <v>7687.3116544583818</v>
      </c>
      <c r="O638" s="304">
        <f t="shared" si="88"/>
        <v>878.16104287715643</v>
      </c>
      <c r="P638" s="304">
        <f t="shared" si="89"/>
        <v>110.45594671591806</v>
      </c>
      <c r="Q638" s="274"/>
      <c r="R638" s="281"/>
      <c r="S638" s="281"/>
      <c r="T638" s="281"/>
      <c r="U638" s="281"/>
      <c r="V638" s="281"/>
      <c r="W638" s="281"/>
      <c r="X638" s="281"/>
      <c r="Y638" s="281"/>
      <c r="Z638" s="281"/>
      <c r="AA638" s="281"/>
      <c r="AB638" s="281"/>
      <c r="AC638" s="281"/>
      <c r="AD638" s="281"/>
    </row>
    <row r="639" spans="1:30" s="288" customFormat="1" x14ac:dyDescent="0.25">
      <c r="A639" s="287"/>
      <c r="B639" s="274">
        <f t="shared" si="82"/>
        <v>624</v>
      </c>
      <c r="C639" s="304">
        <f t="shared" ca="1" si="85"/>
        <v>0</v>
      </c>
      <c r="D639" s="304">
        <f ca="1">IF(ROUND(E638,0)&lt;&gt;0, IF(ROUND(D638,0)&lt;&gt;0, 'Career Comparison'!$F$28-C639, 0), 0)</f>
        <v>0</v>
      </c>
      <c r="E639" s="304">
        <f ca="1">IF(G$7&gt;=B639, E638*(1+'Government Figures'!$D$8/12)-'Career Comparison'!$F$28, 0)</f>
        <v>0</v>
      </c>
      <c r="F639" s="312">
        <f>'College Schedule'!$L$8*(1+'Government Figures'!$B$8/12)^B639</f>
        <v>5762.8267933062752</v>
      </c>
      <c r="G639" s="278">
        <v>1</v>
      </c>
      <c r="H639" s="279">
        <f t="shared" ca="1" si="83"/>
        <v>0.17320110972991043</v>
      </c>
      <c r="I639" s="304">
        <f>G639*('College Schedule'!$L$9)*(1+'Government Figures'!$B$8/12)^B639</f>
        <v>12833.539734248576</v>
      </c>
      <c r="J639" s="304">
        <f t="shared" ca="1" si="86"/>
        <v>4847.9296172075474</v>
      </c>
      <c r="K639" s="304">
        <f t="shared" ca="1" si="87"/>
        <v>607.75144566621577</v>
      </c>
      <c r="L639" s="278">
        <v>1</v>
      </c>
      <c r="M639" s="279">
        <f t="shared" si="84"/>
        <v>0.13735784313725496</v>
      </c>
      <c r="N639" s="304">
        <f>L639*('College Schedule'!$L$10)*(1+'Government Figures'!$B$8/12)^B639</f>
        <v>7700.1238405491467</v>
      </c>
      <c r="O639" s="304">
        <f t="shared" si="88"/>
        <v>879.62464461528452</v>
      </c>
      <c r="P639" s="304">
        <f t="shared" si="89"/>
        <v>110.27246507685503</v>
      </c>
      <c r="Q639" s="274"/>
      <c r="R639" s="281"/>
      <c r="S639" s="281"/>
      <c r="T639" s="281"/>
      <c r="U639" s="281"/>
      <c r="V639" s="281"/>
      <c r="W639" s="281"/>
      <c r="X639" s="281"/>
      <c r="Y639" s="281"/>
      <c r="Z639" s="281"/>
      <c r="AA639" s="281"/>
      <c r="AB639" s="281"/>
      <c r="AC639" s="281"/>
      <c r="AD639" s="281"/>
    </row>
    <row r="640" spans="1:30" s="288" customFormat="1" x14ac:dyDescent="0.25">
      <c r="A640" s="287"/>
      <c r="B640" s="274">
        <f t="shared" si="82"/>
        <v>625</v>
      </c>
      <c r="C640" s="304">
        <f t="shared" ca="1" si="85"/>
        <v>0</v>
      </c>
      <c r="D640" s="304">
        <f ca="1">IF(ROUND(E639,0)&lt;&gt;0, IF(ROUND(D639,0)&lt;&gt;0, 'Career Comparison'!$F$28-C640, 0), 0)</f>
        <v>0</v>
      </c>
      <c r="E640" s="304">
        <f ca="1">IF(G$7&gt;=B640, E639*(1+'Government Figures'!$D$8/12)-'Career Comparison'!$F$28, 0)</f>
        <v>0</v>
      </c>
      <c r="F640" s="312">
        <f>'College Schedule'!$L$8*(1+'Government Figures'!$B$8/12)^B640</f>
        <v>5772.4315046284519</v>
      </c>
      <c r="G640" s="278">
        <v>1</v>
      </c>
      <c r="H640" s="279">
        <f t="shared" ca="1" si="83"/>
        <v>0.17320110972991043</v>
      </c>
      <c r="I640" s="304">
        <f>G640*('College Schedule'!$L$9)*(1+'Government Figures'!$B$8/12)^B640</f>
        <v>12854.928967138991</v>
      </c>
      <c r="J640" s="304">
        <f t="shared" ca="1" si="86"/>
        <v>4856.0094999028952</v>
      </c>
      <c r="K640" s="304">
        <f t="shared" ca="1" si="87"/>
        <v>606.7418917697604</v>
      </c>
      <c r="L640" s="278">
        <v>1</v>
      </c>
      <c r="M640" s="279">
        <f t="shared" si="84"/>
        <v>0.13735784313725496</v>
      </c>
      <c r="N640" s="304">
        <f>L640*('College Schedule'!$L$10)*(1+'Government Figures'!$B$8/12)^B640</f>
        <v>7712.9573802833957</v>
      </c>
      <c r="O640" s="304">
        <f t="shared" si="88"/>
        <v>881.09068568964449</v>
      </c>
      <c r="P640" s="304">
        <f t="shared" si="89"/>
        <v>110.08928822456802</v>
      </c>
      <c r="Q640" s="274"/>
      <c r="R640" s="281"/>
      <c r="S640" s="281"/>
      <c r="T640" s="281"/>
      <c r="U640" s="281"/>
      <c r="V640" s="281"/>
      <c r="W640" s="281"/>
      <c r="X640" s="281"/>
      <c r="Y640" s="281"/>
      <c r="Z640" s="281"/>
      <c r="AA640" s="281"/>
      <c r="AB640" s="281"/>
      <c r="AC640" s="281"/>
      <c r="AD640" s="281"/>
    </row>
    <row r="641" spans="1:30" s="288" customFormat="1" x14ac:dyDescent="0.25">
      <c r="A641" s="287"/>
      <c r="B641" s="274">
        <f t="shared" si="82"/>
        <v>626</v>
      </c>
      <c r="C641" s="304">
        <f t="shared" ca="1" si="85"/>
        <v>0</v>
      </c>
      <c r="D641" s="304">
        <f ca="1">IF(ROUND(E640,0)&lt;&gt;0, IF(ROUND(D640,0)&lt;&gt;0, 'Career Comparison'!$F$28-C641, 0), 0)</f>
        <v>0</v>
      </c>
      <c r="E641" s="304">
        <f ca="1">IF(G$7&gt;=B641, E640*(1+'Government Figures'!$D$8/12)-'Career Comparison'!$F$28, 0)</f>
        <v>0</v>
      </c>
      <c r="F641" s="312">
        <f>'College Schedule'!$L$8*(1+'Government Figures'!$B$8/12)^B641</f>
        <v>5782.0522238028325</v>
      </c>
      <c r="G641" s="278">
        <v>1</v>
      </c>
      <c r="H641" s="279">
        <f t="shared" ca="1" si="83"/>
        <v>0.17320110972991043</v>
      </c>
      <c r="I641" s="304">
        <f>G641*('College Schedule'!$L$9)*(1+'Government Figures'!$B$8/12)^B641</f>
        <v>12876.353848750887</v>
      </c>
      <c r="J641" s="304">
        <f t="shared" ca="1" si="86"/>
        <v>4864.102849069398</v>
      </c>
      <c r="K641" s="304">
        <f t="shared" ca="1" si="87"/>
        <v>605.73401487313254</v>
      </c>
      <c r="L641" s="278">
        <v>1</v>
      </c>
      <c r="M641" s="279">
        <f t="shared" si="84"/>
        <v>0.13735784313725496</v>
      </c>
      <c r="N641" s="304">
        <f>L641*('College Schedule'!$L$10)*(1+'Government Figures'!$B$8/12)^B641</f>
        <v>7725.8123092505339</v>
      </c>
      <c r="O641" s="304">
        <f t="shared" si="88"/>
        <v>882.55917016579315</v>
      </c>
      <c r="P641" s="304">
        <f t="shared" si="89"/>
        <v>109.9064156527663</v>
      </c>
      <c r="Q641" s="274"/>
      <c r="R641" s="281"/>
      <c r="S641" s="281"/>
      <c r="T641" s="281"/>
      <c r="U641" s="281"/>
      <c r="V641" s="281"/>
      <c r="W641" s="281"/>
      <c r="X641" s="281"/>
      <c r="Y641" s="281"/>
      <c r="Z641" s="281"/>
      <c r="AA641" s="281"/>
      <c r="AB641" s="281"/>
      <c r="AC641" s="281"/>
      <c r="AD641" s="281"/>
    </row>
    <row r="642" spans="1:30" s="288" customFormat="1" x14ac:dyDescent="0.25">
      <c r="A642" s="287"/>
      <c r="B642" s="274">
        <f t="shared" si="82"/>
        <v>627</v>
      </c>
      <c r="C642" s="304">
        <f t="shared" ca="1" si="85"/>
        <v>0</v>
      </c>
      <c r="D642" s="304">
        <f ca="1">IF(ROUND(E641,0)&lt;&gt;0, IF(ROUND(D641,0)&lt;&gt;0, 'Career Comparison'!$F$28-C642, 0), 0)</f>
        <v>0</v>
      </c>
      <c r="E642" s="304">
        <f ca="1">IF(G$7&gt;=B642, E641*(1+'Government Figures'!$D$8/12)-'Career Comparison'!$F$28, 0)</f>
        <v>0</v>
      </c>
      <c r="F642" s="312">
        <f>'College Schedule'!$L$8*(1+'Government Figures'!$B$8/12)^B642</f>
        <v>5791.6889775091722</v>
      </c>
      <c r="G642" s="278">
        <v>1</v>
      </c>
      <c r="H642" s="279">
        <f t="shared" ca="1" si="83"/>
        <v>0.17320110972991043</v>
      </c>
      <c r="I642" s="304">
        <f>G642*('College Schedule'!$L$9)*(1+'Government Figures'!$B$8/12)^B642</f>
        <v>12897.81443849881</v>
      </c>
      <c r="J642" s="304">
        <f t="shared" ca="1" si="86"/>
        <v>4872.2096871511831</v>
      </c>
      <c r="K642" s="304">
        <f t="shared" ca="1" si="87"/>
        <v>604.72781219061915</v>
      </c>
      <c r="L642" s="278">
        <v>1</v>
      </c>
      <c r="M642" s="279">
        <f t="shared" si="84"/>
        <v>0.13735784313725496</v>
      </c>
      <c r="N642" s="304">
        <f>L642*('College Schedule'!$L$10)*(1+'Government Figures'!$B$8/12)^B642</f>
        <v>7738.6886630992876</v>
      </c>
      <c r="O642" s="304">
        <f t="shared" si="88"/>
        <v>884.03010211607034</v>
      </c>
      <c r="P642" s="304">
        <f t="shared" si="89"/>
        <v>109.72384685600099</v>
      </c>
      <c r="Q642" s="274"/>
      <c r="R642" s="281"/>
      <c r="S642" s="281"/>
      <c r="T642" s="281"/>
      <c r="U642" s="281"/>
      <c r="V642" s="281"/>
      <c r="W642" s="281"/>
      <c r="X642" s="281"/>
      <c r="Y642" s="281"/>
      <c r="Z642" s="281"/>
      <c r="AA642" s="281"/>
      <c r="AB642" s="281"/>
      <c r="AC642" s="281"/>
      <c r="AD642" s="281"/>
    </row>
    <row r="643" spans="1:30" s="288" customFormat="1" x14ac:dyDescent="0.25">
      <c r="A643" s="287"/>
      <c r="B643" s="274">
        <f t="shared" si="82"/>
        <v>628</v>
      </c>
      <c r="C643" s="304">
        <f t="shared" ca="1" si="85"/>
        <v>0</v>
      </c>
      <c r="D643" s="304">
        <f ca="1">IF(ROUND(E642,0)&lt;&gt;0, IF(ROUND(D642,0)&lt;&gt;0, 'Career Comparison'!$F$28-C643, 0), 0)</f>
        <v>0</v>
      </c>
      <c r="E643" s="304">
        <f ca="1">IF(G$7&gt;=B643, E642*(1+'Government Figures'!$D$8/12)-'Career Comparison'!$F$28, 0)</f>
        <v>0</v>
      </c>
      <c r="F643" s="312">
        <f>'College Schedule'!$L$8*(1+'Government Figures'!$B$8/12)^B643</f>
        <v>5801.3417924716869</v>
      </c>
      <c r="G643" s="278">
        <v>1</v>
      </c>
      <c r="H643" s="279">
        <f t="shared" ca="1" si="83"/>
        <v>0.17320110972991043</v>
      </c>
      <c r="I643" s="304">
        <f>G643*('College Schedule'!$L$9)*(1+'Government Figures'!$B$8/12)^B643</f>
        <v>12919.310795896306</v>
      </c>
      <c r="J643" s="304">
        <f t="shared" ca="1" si="86"/>
        <v>4880.3300366297663</v>
      </c>
      <c r="K643" s="304">
        <f t="shared" ca="1" si="87"/>
        <v>603.723280941133</v>
      </c>
      <c r="L643" s="278">
        <v>1</v>
      </c>
      <c r="M643" s="279">
        <f t="shared" si="84"/>
        <v>0.13735784313725496</v>
      </c>
      <c r="N643" s="304">
        <f>L643*('College Schedule'!$L$10)*(1+'Government Figures'!$B$8/12)^B643</f>
        <v>7751.586477537785</v>
      </c>
      <c r="O643" s="304">
        <f t="shared" si="88"/>
        <v>885.50348561959618</v>
      </c>
      <c r="P643" s="304">
        <f t="shared" si="89"/>
        <v>109.54158132966202</v>
      </c>
      <c r="Q643" s="274"/>
      <c r="R643" s="281"/>
      <c r="S643" s="281"/>
      <c r="T643" s="281"/>
      <c r="U643" s="281"/>
      <c r="V643" s="281"/>
      <c r="W643" s="281"/>
      <c r="X643" s="281"/>
      <c r="Y643" s="281"/>
      <c r="Z643" s="281"/>
      <c r="AA643" s="281"/>
      <c r="AB643" s="281"/>
      <c r="AC643" s="281"/>
      <c r="AD643" s="281"/>
    </row>
    <row r="644" spans="1:30" s="288" customFormat="1" x14ac:dyDescent="0.25">
      <c r="A644" s="287"/>
      <c r="B644" s="274">
        <f t="shared" si="82"/>
        <v>629</v>
      </c>
      <c r="C644" s="304">
        <f t="shared" ca="1" si="85"/>
        <v>0</v>
      </c>
      <c r="D644" s="304">
        <f ca="1">IF(ROUND(E643,0)&lt;&gt;0, IF(ROUND(D643,0)&lt;&gt;0, 'Career Comparison'!$F$28-C644, 0), 0)</f>
        <v>0</v>
      </c>
      <c r="E644" s="304">
        <f ca="1">IF(G$7&gt;=B644, E643*(1+'Government Figures'!$D$8/12)-'Career Comparison'!$F$28, 0)</f>
        <v>0</v>
      </c>
      <c r="F644" s="312">
        <f>'College Schedule'!$L$8*(1+'Government Figures'!$B$8/12)^B644</f>
        <v>5811.0106954591402</v>
      </c>
      <c r="G644" s="278">
        <v>1</v>
      </c>
      <c r="H644" s="279">
        <f t="shared" ca="1" si="83"/>
        <v>0.17320110972991043</v>
      </c>
      <c r="I644" s="304">
        <f>G644*('College Schedule'!$L$9)*(1+'Government Figures'!$B$8/12)^B644</f>
        <v>12940.842980556135</v>
      </c>
      <c r="J644" s="304">
        <f t="shared" ca="1" si="86"/>
        <v>4888.4639200241518</v>
      </c>
      <c r="K644" s="304">
        <f t="shared" ca="1" si="87"/>
        <v>602.72041834820777</v>
      </c>
      <c r="L644" s="278">
        <v>1</v>
      </c>
      <c r="M644" s="279">
        <f t="shared" si="84"/>
        <v>0.13735784313725496</v>
      </c>
      <c r="N644" s="304">
        <f>L644*('College Schedule'!$L$10)*(1+'Government Figures'!$B$8/12)^B644</f>
        <v>7764.5057883336831</v>
      </c>
      <c r="O644" s="304">
        <f t="shared" si="88"/>
        <v>886.97932476229653</v>
      </c>
      <c r="P644" s="304">
        <f t="shared" si="89"/>
        <v>109.35961856997831</v>
      </c>
      <c r="Q644" s="274"/>
      <c r="R644" s="281"/>
      <c r="S644" s="281"/>
      <c r="T644" s="281"/>
      <c r="U644" s="281"/>
      <c r="V644" s="281"/>
      <c r="W644" s="281"/>
      <c r="X644" s="281"/>
      <c r="Y644" s="281"/>
      <c r="Z644" s="281"/>
      <c r="AA644" s="281"/>
      <c r="AB644" s="281"/>
      <c r="AC644" s="281"/>
      <c r="AD644" s="281"/>
    </row>
    <row r="645" spans="1:30" s="288" customFormat="1" x14ac:dyDescent="0.25">
      <c r="A645" s="287"/>
      <c r="B645" s="274">
        <f t="shared" si="82"/>
        <v>630</v>
      </c>
      <c r="C645" s="304">
        <f t="shared" ca="1" si="85"/>
        <v>0</v>
      </c>
      <c r="D645" s="304">
        <f ca="1">IF(ROUND(E644,0)&lt;&gt;0, IF(ROUND(D644,0)&lt;&gt;0, 'Career Comparison'!$F$28-C645, 0), 0)</f>
        <v>0</v>
      </c>
      <c r="E645" s="304">
        <f ca="1">IF(G$7&gt;=B645, E644*(1+'Government Figures'!$D$8/12)-'Career Comparison'!$F$28, 0)</f>
        <v>0</v>
      </c>
      <c r="F645" s="312">
        <f>'College Schedule'!$L$8*(1+'Government Figures'!$B$8/12)^B645</f>
        <v>5820.6957132849057</v>
      </c>
      <c r="G645" s="278">
        <v>1</v>
      </c>
      <c r="H645" s="279">
        <f t="shared" ca="1" si="83"/>
        <v>0.17320110972991043</v>
      </c>
      <c r="I645" s="304">
        <f>G645*('College Schedule'!$L$9)*(1+'Government Figures'!$B$8/12)^B645</f>
        <v>12962.411052190395</v>
      </c>
      <c r="J645" s="304">
        <f t="shared" ca="1" si="86"/>
        <v>4896.6113598908578</v>
      </c>
      <c r="K645" s="304">
        <f t="shared" ca="1" si="87"/>
        <v>601.71922163998784</v>
      </c>
      <c r="L645" s="278">
        <v>1</v>
      </c>
      <c r="M645" s="279">
        <f t="shared" si="84"/>
        <v>0.13735784313725496</v>
      </c>
      <c r="N645" s="304">
        <f>L645*('College Schedule'!$L$10)*(1+'Government Figures'!$B$8/12)^B645</f>
        <v>7777.4466313142384</v>
      </c>
      <c r="O645" s="304">
        <f t="shared" si="88"/>
        <v>888.45762363689937</v>
      </c>
      <c r="P645" s="304">
        <f t="shared" si="89"/>
        <v>109.17795807401473</v>
      </c>
      <c r="Q645" s="274"/>
      <c r="R645" s="281"/>
      <c r="S645" s="281"/>
      <c r="T645" s="281"/>
      <c r="U645" s="281"/>
      <c r="V645" s="281"/>
      <c r="W645" s="281"/>
      <c r="X645" s="281"/>
      <c r="Y645" s="281"/>
      <c r="Z645" s="281"/>
      <c r="AA645" s="281"/>
      <c r="AB645" s="281"/>
      <c r="AC645" s="281"/>
      <c r="AD645" s="281"/>
    </row>
    <row r="646" spans="1:30" s="288" customFormat="1" x14ac:dyDescent="0.25">
      <c r="A646" s="287"/>
      <c r="B646" s="274">
        <f t="shared" si="82"/>
        <v>631</v>
      </c>
      <c r="C646" s="304">
        <f t="shared" ca="1" si="85"/>
        <v>0</v>
      </c>
      <c r="D646" s="304">
        <f ca="1">IF(ROUND(E645,0)&lt;&gt;0, IF(ROUND(D645,0)&lt;&gt;0, 'Career Comparison'!$F$28-C646, 0), 0)</f>
        <v>0</v>
      </c>
      <c r="E646" s="304">
        <f ca="1">IF(G$7&gt;=B646, E645*(1+'Government Figures'!$D$8/12)-'Career Comparison'!$F$28, 0)</f>
        <v>0</v>
      </c>
      <c r="F646" s="312">
        <f>'College Schedule'!$L$8*(1+'Government Figures'!$B$8/12)^B646</f>
        <v>5830.3968728070477</v>
      </c>
      <c r="G646" s="278">
        <v>1</v>
      </c>
      <c r="H646" s="279">
        <f t="shared" ca="1" si="83"/>
        <v>0.17320110972991043</v>
      </c>
      <c r="I646" s="304">
        <f>G646*('College Schedule'!$L$9)*(1+'Government Figures'!$B$8/12)^B646</f>
        <v>12984.015070610714</v>
      </c>
      <c r="J646" s="304">
        <f t="shared" ca="1" si="86"/>
        <v>4904.77237882401</v>
      </c>
      <c r="K646" s="304">
        <f t="shared" ca="1" si="87"/>
        <v>600.71968804922381</v>
      </c>
      <c r="L646" s="278">
        <v>1</v>
      </c>
      <c r="M646" s="279">
        <f t="shared" si="84"/>
        <v>0.13735784313725496</v>
      </c>
      <c r="N646" s="304">
        <f>L646*('College Schedule'!$L$10)*(1+'Government Figures'!$B$8/12)^B646</f>
        <v>7790.4090423664293</v>
      </c>
      <c r="O646" s="304">
        <f t="shared" si="88"/>
        <v>889.93838634296117</v>
      </c>
      <c r="P646" s="304">
        <f t="shared" si="89"/>
        <v>108.99659933967254</v>
      </c>
      <c r="Q646" s="274"/>
      <c r="R646" s="281"/>
      <c r="S646" s="281"/>
      <c r="T646" s="281"/>
      <c r="U646" s="281"/>
      <c r="V646" s="281"/>
      <c r="W646" s="281"/>
      <c r="X646" s="281"/>
      <c r="Y646" s="281"/>
      <c r="Z646" s="281"/>
      <c r="AA646" s="281"/>
      <c r="AB646" s="281"/>
      <c r="AC646" s="281"/>
      <c r="AD646" s="281"/>
    </row>
    <row r="647" spans="1:30" s="288" customFormat="1" x14ac:dyDescent="0.25">
      <c r="A647" s="287"/>
      <c r="B647" s="274">
        <f t="shared" si="82"/>
        <v>632</v>
      </c>
      <c r="C647" s="304">
        <f t="shared" ca="1" si="85"/>
        <v>0</v>
      </c>
      <c r="D647" s="304">
        <f ca="1">IF(ROUND(E646,0)&lt;&gt;0, IF(ROUND(D646,0)&lt;&gt;0, 'Career Comparison'!$F$28-C647, 0), 0)</f>
        <v>0</v>
      </c>
      <c r="E647" s="304">
        <f ca="1">IF(G$7&gt;=B647, E646*(1+'Government Figures'!$D$8/12)-'Career Comparison'!$F$28, 0)</f>
        <v>0</v>
      </c>
      <c r="F647" s="312">
        <f>'College Schedule'!$L$8*(1+'Government Figures'!$B$8/12)^B647</f>
        <v>5840.114200928394</v>
      </c>
      <c r="G647" s="278">
        <v>1</v>
      </c>
      <c r="H647" s="279">
        <f t="shared" ca="1" si="83"/>
        <v>0.17320110972991043</v>
      </c>
      <c r="I647" s="304">
        <f>G647*('College Schedule'!$L$9)*(1+'Government Figures'!$B$8/12)^B647</f>
        <v>13005.655095728402</v>
      </c>
      <c r="J647" s="304">
        <f t="shared" ca="1" si="86"/>
        <v>4912.9469994553838</v>
      </c>
      <c r="K647" s="304">
        <f t="shared" ca="1" si="87"/>
        <v>599.72181481326174</v>
      </c>
      <c r="L647" s="278">
        <v>1</v>
      </c>
      <c r="M647" s="279">
        <f t="shared" si="84"/>
        <v>0.13735784313725496</v>
      </c>
      <c r="N647" s="304">
        <f>L647*('College Schedule'!$L$10)*(1+'Government Figures'!$B$8/12)^B647</f>
        <v>7803.3930574370424</v>
      </c>
      <c r="O647" s="304">
        <f t="shared" si="88"/>
        <v>891.42161698686687</v>
      </c>
      <c r="P647" s="304">
        <f t="shared" si="89"/>
        <v>108.81554186568648</v>
      </c>
      <c r="Q647" s="274"/>
      <c r="R647" s="281"/>
      <c r="S647" s="281"/>
      <c r="T647" s="281"/>
      <c r="U647" s="281"/>
      <c r="V647" s="281"/>
      <c r="W647" s="281"/>
      <c r="X647" s="281"/>
      <c r="Y647" s="281"/>
      <c r="Z647" s="281"/>
      <c r="AA647" s="281"/>
      <c r="AB647" s="281"/>
      <c r="AC647" s="281"/>
      <c r="AD647" s="281"/>
    </row>
    <row r="648" spans="1:30" s="288" customFormat="1" x14ac:dyDescent="0.25">
      <c r="A648" s="287"/>
      <c r="B648" s="274">
        <f t="shared" si="82"/>
        <v>633</v>
      </c>
      <c r="C648" s="304">
        <f t="shared" ca="1" si="85"/>
        <v>0</v>
      </c>
      <c r="D648" s="304">
        <f ca="1">IF(ROUND(E647,0)&lt;&gt;0, IF(ROUND(D647,0)&lt;&gt;0, 'Career Comparison'!$F$28-C648, 0), 0)</f>
        <v>0</v>
      </c>
      <c r="E648" s="304">
        <f ca="1">IF(G$7&gt;=B648, E647*(1+'Government Figures'!$D$8/12)-'Career Comparison'!$F$28, 0)</f>
        <v>0</v>
      </c>
      <c r="F648" s="312">
        <f>'College Schedule'!$L$8*(1+'Government Figures'!$B$8/12)^B648</f>
        <v>5849.8477245966078</v>
      </c>
      <c r="G648" s="278">
        <v>1</v>
      </c>
      <c r="H648" s="279">
        <f t="shared" ca="1" si="83"/>
        <v>0.17320110972991043</v>
      </c>
      <c r="I648" s="304">
        <f>G648*('College Schedule'!$L$9)*(1+'Government Figures'!$B$8/12)^B648</f>
        <v>13027.331187554615</v>
      </c>
      <c r="J648" s="304">
        <f t="shared" ca="1" si="86"/>
        <v>4921.1352444544755</v>
      </c>
      <c r="K648" s="304">
        <f t="shared" ca="1" si="87"/>
        <v>598.72559917403692</v>
      </c>
      <c r="L648" s="278">
        <v>1</v>
      </c>
      <c r="M648" s="279">
        <f t="shared" si="84"/>
        <v>0.13735784313725496</v>
      </c>
      <c r="N648" s="304">
        <f>L648*('College Schedule'!$L$10)*(1+'Government Figures'!$B$8/12)^B648</f>
        <v>7816.3987125327703</v>
      </c>
      <c r="O648" s="304">
        <f t="shared" si="88"/>
        <v>892.90731968184446</v>
      </c>
      <c r="P648" s="304">
        <f t="shared" si="89"/>
        <v>108.6347851516238</v>
      </c>
      <c r="Q648" s="274"/>
      <c r="R648" s="281"/>
      <c r="S648" s="281"/>
      <c r="T648" s="281"/>
      <c r="U648" s="281"/>
      <c r="V648" s="281"/>
      <c r="W648" s="281"/>
      <c r="X648" s="281"/>
      <c r="Y648" s="281"/>
      <c r="Z648" s="281"/>
      <c r="AA648" s="281"/>
      <c r="AB648" s="281"/>
      <c r="AC648" s="281"/>
      <c r="AD648" s="281"/>
    </row>
    <row r="649" spans="1:30" s="288" customFormat="1" x14ac:dyDescent="0.25">
      <c r="A649" s="287"/>
      <c r="B649" s="274">
        <f t="shared" si="82"/>
        <v>634</v>
      </c>
      <c r="C649" s="304">
        <f t="shared" ca="1" si="85"/>
        <v>0</v>
      </c>
      <c r="D649" s="304">
        <f ca="1">IF(ROUND(E648,0)&lt;&gt;0, IF(ROUND(D648,0)&lt;&gt;0, 'Career Comparison'!$F$28-C649, 0), 0)</f>
        <v>0</v>
      </c>
      <c r="E649" s="304">
        <f ca="1">IF(G$7&gt;=B649, E648*(1+'Government Figures'!$D$8/12)-'Career Comparison'!$F$28, 0)</f>
        <v>0</v>
      </c>
      <c r="F649" s="312">
        <f>'College Schedule'!$L$8*(1+'Government Figures'!$B$8/12)^B649</f>
        <v>5859.5974708042686</v>
      </c>
      <c r="G649" s="278">
        <v>1</v>
      </c>
      <c r="H649" s="279">
        <f t="shared" ca="1" si="83"/>
        <v>0.17320110972991043</v>
      </c>
      <c r="I649" s="304">
        <f>G649*('College Schedule'!$L$9)*(1+'Government Figures'!$B$8/12)^B649</f>
        <v>13049.043406200539</v>
      </c>
      <c r="J649" s="304">
        <f t="shared" ca="1" si="86"/>
        <v>4929.3371365285657</v>
      </c>
      <c r="K649" s="304">
        <f t="shared" ca="1" si="87"/>
        <v>597.73103837806661</v>
      </c>
      <c r="L649" s="278">
        <v>1</v>
      </c>
      <c r="M649" s="279">
        <f t="shared" si="84"/>
        <v>0.13735784313725496</v>
      </c>
      <c r="N649" s="304">
        <f>L649*('College Schedule'!$L$10)*(1+'Government Figures'!$B$8/12)^B649</f>
        <v>7829.4260437203247</v>
      </c>
      <c r="O649" s="304">
        <f t="shared" si="88"/>
        <v>894.39549854798133</v>
      </c>
      <c r="P649" s="304">
        <f t="shared" si="89"/>
        <v>108.45432869788361</v>
      </c>
      <c r="Q649" s="274"/>
      <c r="R649" s="281"/>
      <c r="S649" s="281"/>
      <c r="T649" s="281"/>
      <c r="U649" s="281"/>
      <c r="V649" s="281"/>
      <c r="W649" s="281"/>
      <c r="X649" s="281"/>
      <c r="Y649" s="281"/>
      <c r="Z649" s="281"/>
      <c r="AA649" s="281"/>
      <c r="AB649" s="281"/>
      <c r="AC649" s="281"/>
      <c r="AD649" s="281"/>
    </row>
    <row r="650" spans="1:30" s="288" customFormat="1" x14ac:dyDescent="0.25">
      <c r="A650" s="287"/>
      <c r="B650" s="274">
        <f t="shared" si="82"/>
        <v>635</v>
      </c>
      <c r="C650" s="304">
        <f t="shared" ca="1" si="85"/>
        <v>0</v>
      </c>
      <c r="D650" s="304">
        <f ca="1">IF(ROUND(E649,0)&lt;&gt;0, IF(ROUND(D649,0)&lt;&gt;0, 'Career Comparison'!$F$28-C650, 0), 0)</f>
        <v>0</v>
      </c>
      <c r="E650" s="304">
        <f ca="1">IF(G$7&gt;=B650, E649*(1+'Government Figures'!$D$8/12)-'Career Comparison'!$F$28, 0)</f>
        <v>0</v>
      </c>
      <c r="F650" s="312">
        <f>'College Schedule'!$L$8*(1+'Government Figures'!$B$8/12)^B650</f>
        <v>5869.363466588944</v>
      </c>
      <c r="G650" s="278">
        <v>1</v>
      </c>
      <c r="H650" s="279">
        <f t="shared" ca="1" si="83"/>
        <v>0.17320110972991043</v>
      </c>
      <c r="I650" s="304">
        <f>G650*('College Schedule'!$L$9)*(1+'Government Figures'!$B$8/12)^B650</f>
        <v>13070.791811877543</v>
      </c>
      <c r="J650" s="304">
        <f t="shared" ca="1" si="86"/>
        <v>4937.5526984227818</v>
      </c>
      <c r="K650" s="304">
        <f t="shared" ca="1" si="87"/>
        <v>596.7381296764421</v>
      </c>
      <c r="L650" s="278">
        <v>1</v>
      </c>
      <c r="M650" s="279">
        <f t="shared" si="84"/>
        <v>0.13735784313725496</v>
      </c>
      <c r="N650" s="304">
        <f>L650*('College Schedule'!$L$10)*(1+'Government Figures'!$B$8/12)^B650</f>
        <v>7842.4750871265269</v>
      </c>
      <c r="O650" s="304">
        <f t="shared" si="88"/>
        <v>895.88615771222703</v>
      </c>
      <c r="P650" s="304">
        <f t="shared" si="89"/>
        <v>108.27417200569433</v>
      </c>
      <c r="Q650" s="274"/>
      <c r="R650" s="281"/>
      <c r="S650" s="281"/>
      <c r="T650" s="281"/>
      <c r="U650" s="281"/>
      <c r="V650" s="281"/>
      <c r="W650" s="281"/>
      <c r="X650" s="281"/>
      <c r="Y650" s="281"/>
      <c r="Z650" s="281"/>
      <c r="AA650" s="281"/>
      <c r="AB650" s="281"/>
      <c r="AC650" s="281"/>
      <c r="AD650" s="281"/>
    </row>
    <row r="651" spans="1:30" s="288" customFormat="1" x14ac:dyDescent="0.25">
      <c r="A651" s="287"/>
      <c r="B651" s="274">
        <f t="shared" si="82"/>
        <v>636</v>
      </c>
      <c r="C651" s="304">
        <f t="shared" ca="1" si="85"/>
        <v>0</v>
      </c>
      <c r="D651" s="304">
        <f ca="1">IF(ROUND(E650,0)&lt;&gt;0, IF(ROUND(D650,0)&lt;&gt;0, 'Career Comparison'!$F$28-C651, 0), 0)</f>
        <v>0</v>
      </c>
      <c r="E651" s="304">
        <f ca="1">IF(G$7&gt;=B651, E650*(1+'Government Figures'!$D$8/12)-'Career Comparison'!$F$28, 0)</f>
        <v>0</v>
      </c>
      <c r="F651" s="312">
        <f>'College Schedule'!$L$8*(1+'Government Figures'!$B$8/12)^B651</f>
        <v>5879.145739033258</v>
      </c>
      <c r="G651" s="278">
        <v>1</v>
      </c>
      <c r="H651" s="279">
        <f t="shared" ca="1" si="83"/>
        <v>0.17320110972991043</v>
      </c>
      <c r="I651" s="304">
        <f>G651*('College Schedule'!$L$9)*(1+'Government Figures'!$B$8/12)^B651</f>
        <v>13092.576464897336</v>
      </c>
      <c r="J651" s="304">
        <f t="shared" ca="1" si="86"/>
        <v>4945.7819529201515</v>
      </c>
      <c r="K651" s="304">
        <f t="shared" ca="1" si="87"/>
        <v>595.74687032481972</v>
      </c>
      <c r="L651" s="278">
        <v>1</v>
      </c>
      <c r="M651" s="279">
        <f t="shared" si="84"/>
        <v>0.13735784313725496</v>
      </c>
      <c r="N651" s="304">
        <f>L651*('College Schedule'!$L$10)*(1+'Government Figures'!$B$8/12)^B651</f>
        <v>7855.5458789384038</v>
      </c>
      <c r="O651" s="304">
        <f t="shared" si="88"/>
        <v>897.37930130841505</v>
      </c>
      <c r="P651" s="304">
        <f t="shared" si="89"/>
        <v>108.09431457711352</v>
      </c>
      <c r="Q651" s="274"/>
      <c r="R651" s="281"/>
      <c r="S651" s="281"/>
      <c r="T651" s="281"/>
      <c r="U651" s="281"/>
      <c r="V651" s="281"/>
      <c r="W651" s="281"/>
      <c r="X651" s="281"/>
      <c r="Y651" s="281"/>
      <c r="Z651" s="281"/>
      <c r="AA651" s="281"/>
      <c r="AB651" s="281"/>
      <c r="AC651" s="281"/>
      <c r="AD651" s="281"/>
    </row>
    <row r="652" spans="1:30" s="288" customFormat="1" x14ac:dyDescent="0.25">
      <c r="A652" s="287"/>
      <c r="B652" s="274">
        <f t="shared" si="82"/>
        <v>637</v>
      </c>
      <c r="C652" s="304">
        <f t="shared" ca="1" si="85"/>
        <v>0</v>
      </c>
      <c r="D652" s="304">
        <f ca="1">IF(ROUND(E651,0)&lt;&gt;0, IF(ROUND(D651,0)&lt;&gt;0, 'Career Comparison'!$F$28-C652, 0), 0)</f>
        <v>0</v>
      </c>
      <c r="E652" s="304">
        <f ca="1">IF(G$7&gt;=B652, E651*(1+'Government Figures'!$D$8/12)-'Career Comparison'!$F$28, 0)</f>
        <v>0</v>
      </c>
      <c r="F652" s="312">
        <f>'College Schedule'!$L$8*(1+'Government Figures'!$B$8/12)^B652</f>
        <v>5888.9443152649819</v>
      </c>
      <c r="G652" s="278">
        <v>1</v>
      </c>
      <c r="H652" s="279">
        <f t="shared" ca="1" si="83"/>
        <v>0.17320110972991043</v>
      </c>
      <c r="I652" s="304">
        <f>G652*('College Schedule'!$L$9)*(1+'Government Figures'!$B$8/12)^B652</f>
        <v>13114.397425672169</v>
      </c>
      <c r="J652" s="304">
        <f t="shared" ca="1" si="86"/>
        <v>4954.0249228416869</v>
      </c>
      <c r="K652" s="304">
        <f t="shared" ca="1" si="87"/>
        <v>594.75725758341684</v>
      </c>
      <c r="L652" s="278">
        <v>1</v>
      </c>
      <c r="M652" s="279">
        <f t="shared" si="84"/>
        <v>0.13735784313725496</v>
      </c>
      <c r="N652" s="304">
        <f>L652*('College Schedule'!$L$10)*(1+'Government Figures'!$B$8/12)^B652</f>
        <v>7868.6384554033029</v>
      </c>
      <c r="O652" s="304">
        <f t="shared" si="88"/>
        <v>898.87493347726195</v>
      </c>
      <c r="P652" s="304">
        <f t="shared" si="89"/>
        <v>107.91475591502527</v>
      </c>
      <c r="Q652" s="274"/>
      <c r="R652" s="281"/>
      <c r="S652" s="281"/>
      <c r="T652" s="281"/>
      <c r="U652" s="281"/>
      <c r="V652" s="281"/>
      <c r="W652" s="281"/>
      <c r="X652" s="281"/>
      <c r="Y652" s="281"/>
      <c r="Z652" s="281"/>
      <c r="AA652" s="281"/>
      <c r="AB652" s="281"/>
      <c r="AC652" s="281"/>
      <c r="AD652" s="281"/>
    </row>
    <row r="653" spans="1:30" s="288" customFormat="1" x14ac:dyDescent="0.25">
      <c r="A653" s="287"/>
      <c r="B653" s="274">
        <f t="shared" si="82"/>
        <v>638</v>
      </c>
      <c r="C653" s="304">
        <f t="shared" ca="1" si="85"/>
        <v>0</v>
      </c>
      <c r="D653" s="304">
        <f ca="1">IF(ROUND(E652,0)&lt;&gt;0, IF(ROUND(D652,0)&lt;&gt;0, 'Career Comparison'!$F$28-C653, 0), 0)</f>
        <v>0</v>
      </c>
      <c r="E653" s="304">
        <f ca="1">IF(G$7&gt;=B653, E652*(1+'Government Figures'!$D$8/12)-'Career Comparison'!$F$28, 0)</f>
        <v>0</v>
      </c>
      <c r="F653" s="312">
        <f>'College Schedule'!$L$8*(1+'Government Figures'!$B$8/12)^B653</f>
        <v>5898.759222457089</v>
      </c>
      <c r="G653" s="278">
        <v>1</v>
      </c>
      <c r="H653" s="279">
        <f t="shared" ca="1" si="83"/>
        <v>0.17320110972991043</v>
      </c>
      <c r="I653" s="304">
        <f>G653*('College Schedule'!$L$9)*(1+'Government Figures'!$B$8/12)^B653</f>
        <v>13136.254754714953</v>
      </c>
      <c r="J653" s="304">
        <f t="shared" ca="1" si="86"/>
        <v>4962.2816310464223</v>
      </c>
      <c r="K653" s="304">
        <f t="shared" ca="1" si="87"/>
        <v>593.76928871699897</v>
      </c>
      <c r="L653" s="278">
        <v>1</v>
      </c>
      <c r="M653" s="279">
        <f t="shared" si="84"/>
        <v>0.13735784313725496</v>
      </c>
      <c r="N653" s="304">
        <f>L653*('College Schedule'!$L$10)*(1+'Government Figures'!$B$8/12)^B653</f>
        <v>7881.752852828974</v>
      </c>
      <c r="O653" s="304">
        <f t="shared" si="88"/>
        <v>900.37305836639098</v>
      </c>
      <c r="P653" s="304">
        <f t="shared" si="89"/>
        <v>107.73549552313985</v>
      </c>
      <c r="Q653" s="274"/>
      <c r="R653" s="281"/>
      <c r="S653" s="281"/>
      <c r="T653" s="281"/>
      <c r="U653" s="281"/>
      <c r="V653" s="281"/>
      <c r="W653" s="281"/>
      <c r="X653" s="281"/>
      <c r="Y653" s="281"/>
      <c r="Z653" s="281"/>
      <c r="AA653" s="281"/>
      <c r="AB653" s="281"/>
      <c r="AC653" s="281"/>
      <c r="AD653" s="281"/>
    </row>
    <row r="654" spans="1:30" s="288" customFormat="1" x14ac:dyDescent="0.25">
      <c r="A654" s="287"/>
      <c r="B654" s="274">
        <f t="shared" si="82"/>
        <v>639</v>
      </c>
      <c r="C654" s="304">
        <f t="shared" ca="1" si="85"/>
        <v>0</v>
      </c>
      <c r="D654" s="304">
        <f ca="1">IF(ROUND(E653,0)&lt;&gt;0, IF(ROUND(D653,0)&lt;&gt;0, 'Career Comparison'!$F$28-C654, 0), 0)</f>
        <v>0</v>
      </c>
      <c r="E654" s="304">
        <f ca="1">IF(G$7&gt;=B654, E653*(1+'Government Figures'!$D$8/12)-'Career Comparison'!$F$28, 0)</f>
        <v>0</v>
      </c>
      <c r="F654" s="312">
        <f>'College Schedule'!$L$8*(1+'Government Figures'!$B$8/12)^B654</f>
        <v>5908.5904878278534</v>
      </c>
      <c r="G654" s="278">
        <v>1</v>
      </c>
      <c r="H654" s="279">
        <f t="shared" ca="1" si="83"/>
        <v>0.17320110972991043</v>
      </c>
      <c r="I654" s="304">
        <f>G654*('College Schedule'!$L$9)*(1+'Government Figures'!$B$8/12)^B654</f>
        <v>13158.148512639484</v>
      </c>
      <c r="J654" s="304">
        <f t="shared" ca="1" si="86"/>
        <v>4970.5521004315005</v>
      </c>
      <c r="K654" s="304">
        <f t="shared" ca="1" si="87"/>
        <v>592.78296099487773</v>
      </c>
      <c r="L654" s="278">
        <v>1</v>
      </c>
      <c r="M654" s="279">
        <f t="shared" si="84"/>
        <v>0.13735784313725496</v>
      </c>
      <c r="N654" s="304">
        <f>L654*('College Schedule'!$L$10)*(1+'Government Figures'!$B$8/12)^B654</f>
        <v>7894.8891075836918</v>
      </c>
      <c r="O654" s="304">
        <f t="shared" si="88"/>
        <v>901.87368013033483</v>
      </c>
      <c r="P654" s="304">
        <f t="shared" si="89"/>
        <v>107.55653290599174</v>
      </c>
      <c r="Q654" s="274"/>
      <c r="R654" s="281"/>
      <c r="S654" s="281"/>
      <c r="T654" s="281"/>
      <c r="U654" s="281"/>
      <c r="V654" s="281"/>
      <c r="W654" s="281"/>
      <c r="X654" s="281"/>
      <c r="Y654" s="281"/>
      <c r="Z654" s="281"/>
      <c r="AA654" s="281"/>
      <c r="AB654" s="281"/>
      <c r="AC654" s="281"/>
      <c r="AD654" s="281"/>
    </row>
    <row r="655" spans="1:30" s="288" customFormat="1" x14ac:dyDescent="0.25">
      <c r="A655" s="287"/>
      <c r="B655" s="274">
        <f t="shared" si="82"/>
        <v>640</v>
      </c>
      <c r="C655" s="304">
        <f t="shared" ca="1" si="85"/>
        <v>0</v>
      </c>
      <c r="D655" s="304">
        <f ca="1">IF(ROUND(E654,0)&lt;&gt;0, IF(ROUND(D654,0)&lt;&gt;0, 'Career Comparison'!$F$28-C655, 0), 0)</f>
        <v>0</v>
      </c>
      <c r="E655" s="304">
        <f ca="1">IF(G$7&gt;=B655, E654*(1+'Government Figures'!$D$8/12)-'Career Comparison'!$F$28, 0)</f>
        <v>0</v>
      </c>
      <c r="F655" s="312">
        <f>'College Schedule'!$L$8*(1+'Government Figures'!$B$8/12)^B655</f>
        <v>5918.4381386408995</v>
      </c>
      <c r="G655" s="278">
        <v>1</v>
      </c>
      <c r="H655" s="279">
        <f t="shared" ca="1" si="83"/>
        <v>0.17320110972991043</v>
      </c>
      <c r="I655" s="304">
        <f>G655*('College Schedule'!$L$9)*(1+'Government Figures'!$B$8/12)^B655</f>
        <v>13180.07876016055</v>
      </c>
      <c r="J655" s="304">
        <f t="shared" ca="1" si="86"/>
        <v>4978.8363539322208</v>
      </c>
      <c r="K655" s="304">
        <f t="shared" ca="1" si="87"/>
        <v>591.79827169089958</v>
      </c>
      <c r="L655" s="278">
        <v>1</v>
      </c>
      <c r="M655" s="279">
        <f t="shared" si="84"/>
        <v>0.13735784313725496</v>
      </c>
      <c r="N655" s="304">
        <f>L655*('College Schedule'!$L$10)*(1+'Government Figures'!$B$8/12)^B655</f>
        <v>7908.0472560963308</v>
      </c>
      <c r="O655" s="304">
        <f t="shared" si="88"/>
        <v>903.376802930552</v>
      </c>
      <c r="P655" s="304">
        <f t="shared" si="89"/>
        <v>107.37786756893858</v>
      </c>
      <c r="Q655" s="274"/>
      <c r="R655" s="281"/>
      <c r="S655" s="281"/>
      <c r="T655" s="281"/>
      <c r="U655" s="281"/>
      <c r="V655" s="281"/>
      <c r="W655" s="281"/>
      <c r="X655" s="281"/>
      <c r="Y655" s="281"/>
      <c r="Z655" s="281"/>
      <c r="AA655" s="281"/>
      <c r="AB655" s="281"/>
      <c r="AC655" s="281"/>
      <c r="AD655" s="281"/>
    </row>
    <row r="656" spans="1:30" s="288" customFormat="1" x14ac:dyDescent="0.25">
      <c r="A656" s="287"/>
      <c r="B656" s="274">
        <f t="shared" ref="B656:B719" si="90">B655+1</f>
        <v>641</v>
      </c>
      <c r="C656" s="304">
        <f t="shared" ca="1" si="85"/>
        <v>0</v>
      </c>
      <c r="D656" s="304">
        <f ca="1">IF(ROUND(E655,0)&lt;&gt;0, IF(ROUND(D655,0)&lt;&gt;0, 'Career Comparison'!$F$28-C656, 0), 0)</f>
        <v>0</v>
      </c>
      <c r="E656" s="304">
        <f ca="1">IF(G$7&gt;=B656, E655*(1+'Government Figures'!$D$8/12)-'Career Comparison'!$F$28, 0)</f>
        <v>0</v>
      </c>
      <c r="F656" s="312">
        <f>'College Schedule'!$L$8*(1+'Government Figures'!$B$8/12)^B656</f>
        <v>5928.302202205301</v>
      </c>
      <c r="G656" s="278">
        <v>1</v>
      </c>
      <c r="H656" s="279">
        <f t="shared" ca="1" si="83"/>
        <v>0.17320110972991043</v>
      </c>
      <c r="I656" s="304">
        <f>G656*('College Schedule'!$L$9)*(1+'Government Figures'!$B$8/12)^B656</f>
        <v>13202.045558094151</v>
      </c>
      <c r="J656" s="304">
        <f t="shared" ca="1" si="86"/>
        <v>4987.1344145221083</v>
      </c>
      <c r="K656" s="304">
        <f t="shared" ca="1" si="87"/>
        <v>590.81521808343962</v>
      </c>
      <c r="L656" s="278">
        <v>1</v>
      </c>
      <c r="M656" s="279">
        <f t="shared" si="84"/>
        <v>0.13735784313725496</v>
      </c>
      <c r="N656" s="304">
        <f>L656*('College Schedule'!$L$10)*(1+'Government Figures'!$B$8/12)^B656</f>
        <v>7921.2273348564922</v>
      </c>
      <c r="O656" s="304">
        <f t="shared" si="88"/>
        <v>904.88243093543679</v>
      </c>
      <c r="P656" s="304">
        <f t="shared" si="89"/>
        <v>107.19949901815967</v>
      </c>
      <c r="Q656" s="274"/>
      <c r="R656" s="281"/>
      <c r="S656" s="281"/>
      <c r="T656" s="281"/>
      <c r="U656" s="281"/>
      <c r="V656" s="281"/>
      <c r="W656" s="281"/>
      <c r="X656" s="281"/>
      <c r="Y656" s="281"/>
      <c r="Z656" s="281"/>
      <c r="AA656" s="281"/>
      <c r="AB656" s="281"/>
      <c r="AC656" s="281"/>
      <c r="AD656" s="281"/>
    </row>
    <row r="657" spans="1:30" s="288" customFormat="1" x14ac:dyDescent="0.25">
      <c r="A657" s="287"/>
      <c r="B657" s="274">
        <f t="shared" si="90"/>
        <v>642</v>
      </c>
      <c r="C657" s="304">
        <f t="shared" ca="1" si="85"/>
        <v>0</v>
      </c>
      <c r="D657" s="304">
        <f ca="1">IF(ROUND(E656,0)&lt;&gt;0, IF(ROUND(D656,0)&lt;&gt;0, 'Career Comparison'!$F$28-C657, 0), 0)</f>
        <v>0</v>
      </c>
      <c r="E657" s="304">
        <f ca="1">IF(G$7&gt;=B657, E656*(1+'Government Figures'!$D$8/12)-'Career Comparison'!$F$28, 0)</f>
        <v>0</v>
      </c>
      <c r="F657" s="312">
        <f>'College Schedule'!$L$8*(1+'Government Figures'!$B$8/12)^B657</f>
        <v>5938.1827058756435</v>
      </c>
      <c r="G657" s="278">
        <v>1</v>
      </c>
      <c r="H657" s="279">
        <f t="shared" ca="1" si="83"/>
        <v>0.17320110972991043</v>
      </c>
      <c r="I657" s="304">
        <f>G657*('College Schedule'!$L$9)*(1+'Government Figures'!$B$8/12)^B657</f>
        <v>13224.048967357641</v>
      </c>
      <c r="J657" s="304">
        <f t="shared" ca="1" si="86"/>
        <v>4995.4463052129786</v>
      </c>
      <c r="K657" s="304">
        <f t="shared" ca="1" si="87"/>
        <v>589.83379745539401</v>
      </c>
      <c r="L657" s="278">
        <v>1</v>
      </c>
      <c r="M657" s="279">
        <f t="shared" si="84"/>
        <v>0.13735784313725496</v>
      </c>
      <c r="N657" s="304">
        <f>L657*('College Schedule'!$L$10)*(1+'Government Figures'!$B$8/12)^B657</f>
        <v>7934.4293804145864</v>
      </c>
      <c r="O657" s="304">
        <f t="shared" si="88"/>
        <v>906.39056832032929</v>
      </c>
      <c r="P657" s="304">
        <f t="shared" si="89"/>
        <v>107.02142676065442</v>
      </c>
      <c r="Q657" s="274"/>
      <c r="R657" s="281"/>
      <c r="S657" s="281"/>
      <c r="T657" s="281"/>
      <c r="U657" s="281"/>
      <c r="V657" s="281"/>
      <c r="W657" s="281"/>
      <c r="X657" s="281"/>
      <c r="Y657" s="281"/>
      <c r="Z657" s="281"/>
      <c r="AA657" s="281"/>
      <c r="AB657" s="281"/>
      <c r="AC657" s="281"/>
      <c r="AD657" s="281"/>
    </row>
    <row r="658" spans="1:30" s="288" customFormat="1" x14ac:dyDescent="0.25">
      <c r="A658" s="287"/>
      <c r="B658" s="274">
        <f t="shared" si="90"/>
        <v>643</v>
      </c>
      <c r="C658" s="304">
        <f t="shared" ca="1" si="85"/>
        <v>0</v>
      </c>
      <c r="D658" s="304">
        <f ca="1">IF(ROUND(E657,0)&lt;&gt;0, IF(ROUND(D657,0)&lt;&gt;0, 'Career Comparison'!$F$28-C658, 0), 0)</f>
        <v>0</v>
      </c>
      <c r="E658" s="304">
        <f ca="1">IF(G$7&gt;=B658, E657*(1+'Government Figures'!$D$8/12)-'Career Comparison'!$F$28, 0)</f>
        <v>0</v>
      </c>
      <c r="F658" s="312">
        <f>'College Schedule'!$L$8*(1+'Government Figures'!$B$8/12)^B658</f>
        <v>5948.0796770521029</v>
      </c>
      <c r="G658" s="278">
        <v>1</v>
      </c>
      <c r="H658" s="279">
        <f t="shared" ref="H658:H721" ca="1" si="91">H657</f>
        <v>0.17320110972991043</v>
      </c>
      <c r="I658" s="304">
        <f>G658*('College Schedule'!$L$9)*(1+'Government Figures'!$B$8/12)^B658</f>
        <v>13246.089048969905</v>
      </c>
      <c r="J658" s="304">
        <f t="shared" ca="1" si="86"/>
        <v>5003.772049055</v>
      </c>
      <c r="K658" s="304">
        <f t="shared" ca="1" si="87"/>
        <v>588.85400709417218</v>
      </c>
      <c r="L658" s="278">
        <v>1</v>
      </c>
      <c r="M658" s="279">
        <f t="shared" ref="M658:M721" si="92">M657</f>
        <v>0.13735784313725496</v>
      </c>
      <c r="N658" s="304">
        <f>L658*('College Schedule'!$L$10)*(1+'Government Figures'!$B$8/12)^B658</f>
        <v>7947.6534293819441</v>
      </c>
      <c r="O658" s="304">
        <f t="shared" si="88"/>
        <v>907.90121926753</v>
      </c>
      <c r="P658" s="304">
        <f t="shared" si="89"/>
        <v>106.84365030424136</v>
      </c>
      <c r="Q658" s="274"/>
      <c r="R658" s="281"/>
      <c r="S658" s="281"/>
      <c r="T658" s="281"/>
      <c r="U658" s="281"/>
      <c r="V658" s="281"/>
      <c r="W658" s="281"/>
      <c r="X658" s="281"/>
      <c r="Y658" s="281"/>
      <c r="Z658" s="281"/>
      <c r="AA658" s="281"/>
      <c r="AB658" s="281"/>
      <c r="AC658" s="281"/>
      <c r="AD658" s="281"/>
    </row>
    <row r="659" spans="1:30" s="288" customFormat="1" x14ac:dyDescent="0.25">
      <c r="A659" s="287"/>
      <c r="B659" s="274">
        <f t="shared" si="90"/>
        <v>644</v>
      </c>
      <c r="C659" s="304">
        <f t="shared" ca="1" si="85"/>
        <v>0</v>
      </c>
      <c r="D659" s="304">
        <f ca="1">IF(ROUND(E658,0)&lt;&gt;0, IF(ROUND(D658,0)&lt;&gt;0, 'Career Comparison'!$F$28-C659, 0), 0)</f>
        <v>0</v>
      </c>
      <c r="E659" s="304">
        <f ca="1">IF(G$7&gt;=B659, E658*(1+'Government Figures'!$D$8/12)-'Career Comparison'!$F$28, 0)</f>
        <v>0</v>
      </c>
      <c r="F659" s="312">
        <f>'College Schedule'!$L$8*(1+'Government Figures'!$B$8/12)^B659</f>
        <v>5957.9931431805244</v>
      </c>
      <c r="G659" s="278">
        <v>1</v>
      </c>
      <c r="H659" s="279">
        <f t="shared" ca="1" si="91"/>
        <v>0.17320110972991043</v>
      </c>
      <c r="I659" s="304">
        <f>G659*('College Schedule'!$L$9)*(1+'Government Figures'!$B$8/12)^B659</f>
        <v>13268.165864051523</v>
      </c>
      <c r="J659" s="304">
        <f t="shared" ca="1" si="86"/>
        <v>5012.1116691367597</v>
      </c>
      <c r="K659" s="304">
        <f t="shared" ca="1" si="87"/>
        <v>587.87584429169044</v>
      </c>
      <c r="L659" s="278">
        <v>1</v>
      </c>
      <c r="M659" s="279">
        <f t="shared" si="92"/>
        <v>0.13735784313725496</v>
      </c>
      <c r="N659" s="304">
        <f>L659*('College Schedule'!$L$10)*(1+'Government Figures'!$B$8/12)^B659</f>
        <v>7960.899518430916</v>
      </c>
      <c r="O659" s="304">
        <f t="shared" si="88"/>
        <v>909.41438796630973</v>
      </c>
      <c r="P659" s="304">
        <f t="shared" si="89"/>
        <v>106.66616915755665</v>
      </c>
      <c r="Q659" s="274"/>
      <c r="R659" s="281"/>
      <c r="S659" s="281"/>
      <c r="T659" s="281"/>
      <c r="U659" s="281"/>
      <c r="V659" s="281"/>
      <c r="W659" s="281"/>
      <c r="X659" s="281"/>
      <c r="Y659" s="281"/>
      <c r="Z659" s="281"/>
      <c r="AA659" s="281"/>
      <c r="AB659" s="281"/>
      <c r="AC659" s="281"/>
      <c r="AD659" s="281"/>
    </row>
    <row r="660" spans="1:30" s="288" customFormat="1" x14ac:dyDescent="0.25">
      <c r="A660" s="287"/>
      <c r="B660" s="274">
        <f t="shared" si="90"/>
        <v>645</v>
      </c>
      <c r="C660" s="304">
        <f t="shared" ca="1" si="85"/>
        <v>0</v>
      </c>
      <c r="D660" s="304">
        <f ca="1">IF(ROUND(E659,0)&lt;&gt;0, IF(ROUND(D659,0)&lt;&gt;0, 'Career Comparison'!$F$28-C660, 0), 0)</f>
        <v>0</v>
      </c>
      <c r="E660" s="304">
        <f ca="1">IF(G$7&gt;=B660, E659*(1+'Government Figures'!$D$8/12)-'Career Comparison'!$F$28, 0)</f>
        <v>0</v>
      </c>
      <c r="F660" s="312">
        <f>'College Schedule'!$L$8*(1+'Government Figures'!$B$8/12)^B660</f>
        <v>5967.9231317524909</v>
      </c>
      <c r="G660" s="278">
        <v>1</v>
      </c>
      <c r="H660" s="279">
        <f t="shared" ca="1" si="91"/>
        <v>0.17320110972991043</v>
      </c>
      <c r="I660" s="304">
        <f>G660*('College Schedule'!$L$9)*(1+'Government Figures'!$B$8/12)^B660</f>
        <v>13290.279473824941</v>
      </c>
      <c r="J660" s="304">
        <f t="shared" ca="1" si="86"/>
        <v>5020.4651885853209</v>
      </c>
      <c r="K660" s="304">
        <f t="shared" ca="1" si="87"/>
        <v>586.899306344362</v>
      </c>
      <c r="L660" s="278">
        <v>1</v>
      </c>
      <c r="M660" s="279">
        <f t="shared" si="92"/>
        <v>0.13735784313725496</v>
      </c>
      <c r="N660" s="304">
        <f>L660*('College Schedule'!$L$10)*(1+'Government Figures'!$B$8/12)^B660</f>
        <v>7974.1676842949664</v>
      </c>
      <c r="O660" s="304">
        <f t="shared" si="88"/>
        <v>910.93007861291971</v>
      </c>
      <c r="P660" s="304">
        <f t="shared" si="89"/>
        <v>106.48898283005234</v>
      </c>
      <c r="Q660" s="274"/>
      <c r="R660" s="281"/>
      <c r="S660" s="281"/>
      <c r="T660" s="281"/>
      <c r="U660" s="281"/>
      <c r="V660" s="281"/>
      <c r="W660" s="281"/>
      <c r="X660" s="281"/>
      <c r="Y660" s="281"/>
      <c r="Z660" s="281"/>
      <c r="AA660" s="281"/>
      <c r="AB660" s="281"/>
      <c r="AC660" s="281"/>
      <c r="AD660" s="281"/>
    </row>
    <row r="661" spans="1:30" s="288" customFormat="1" x14ac:dyDescent="0.25">
      <c r="A661" s="287"/>
      <c r="B661" s="274">
        <f t="shared" si="90"/>
        <v>646</v>
      </c>
      <c r="C661" s="304">
        <f t="shared" ca="1" si="85"/>
        <v>0</v>
      </c>
      <c r="D661" s="304">
        <f ca="1">IF(ROUND(E660,0)&lt;&gt;0, IF(ROUND(D660,0)&lt;&gt;0, 'Career Comparison'!$F$28-C661, 0), 0)</f>
        <v>0</v>
      </c>
      <c r="E661" s="304">
        <f ca="1">IF(G$7&gt;=B661, E660*(1+'Government Figures'!$D$8/12)-'Career Comparison'!$F$28, 0)</f>
        <v>0</v>
      </c>
      <c r="F661" s="312">
        <f>'College Schedule'!$L$8*(1+'Government Figures'!$B$8/12)^B661</f>
        <v>5977.8696703054129</v>
      </c>
      <c r="G661" s="278">
        <v>1</v>
      </c>
      <c r="H661" s="279">
        <f t="shared" ca="1" si="91"/>
        <v>0.17320110972991043</v>
      </c>
      <c r="I661" s="304">
        <f>G661*('College Schedule'!$L$9)*(1+'Government Figures'!$B$8/12)^B661</f>
        <v>13312.429939614651</v>
      </c>
      <c r="J661" s="304">
        <f t="shared" ca="1" si="86"/>
        <v>5028.8326305662949</v>
      </c>
      <c r="K661" s="304">
        <f t="shared" ca="1" si="87"/>
        <v>585.92439055309205</v>
      </c>
      <c r="L661" s="278">
        <v>1</v>
      </c>
      <c r="M661" s="279">
        <f t="shared" si="92"/>
        <v>0.13735784313725496</v>
      </c>
      <c r="N661" s="304">
        <f>L661*('College Schedule'!$L$10)*(1+'Government Figures'!$B$8/12)^B661</f>
        <v>7987.4579637687921</v>
      </c>
      <c r="O661" s="304">
        <f t="shared" si="88"/>
        <v>912.4482954106079</v>
      </c>
      <c r="P661" s="304">
        <f t="shared" si="89"/>
        <v>106.31209083199575</v>
      </c>
      <c r="Q661" s="274"/>
      <c r="R661" s="281"/>
      <c r="S661" s="281"/>
      <c r="T661" s="281"/>
      <c r="U661" s="281"/>
      <c r="V661" s="281"/>
      <c r="W661" s="281"/>
      <c r="X661" s="281"/>
      <c r="Y661" s="281"/>
      <c r="Z661" s="281"/>
      <c r="AA661" s="281"/>
      <c r="AB661" s="281"/>
      <c r="AC661" s="281"/>
      <c r="AD661" s="281"/>
    </row>
    <row r="662" spans="1:30" s="288" customFormat="1" x14ac:dyDescent="0.25">
      <c r="A662" s="287"/>
      <c r="B662" s="274">
        <f t="shared" si="90"/>
        <v>647</v>
      </c>
      <c r="C662" s="304">
        <f t="shared" ca="1" si="85"/>
        <v>0</v>
      </c>
      <c r="D662" s="304">
        <f ca="1">IF(ROUND(E661,0)&lt;&gt;0, IF(ROUND(D661,0)&lt;&gt;0, 'Career Comparison'!$F$28-C662, 0), 0)</f>
        <v>0</v>
      </c>
      <c r="E662" s="304">
        <f ca="1">IF(G$7&gt;=B662, E661*(1+'Government Figures'!$D$8/12)-'Career Comparison'!$F$28, 0)</f>
        <v>0</v>
      </c>
      <c r="F662" s="312">
        <f>'College Schedule'!$L$8*(1+'Government Figures'!$B$8/12)^B662</f>
        <v>5987.8327864225885</v>
      </c>
      <c r="G662" s="278">
        <v>1</v>
      </c>
      <c r="H662" s="279">
        <f t="shared" ca="1" si="91"/>
        <v>0.17320110972991043</v>
      </c>
      <c r="I662" s="304">
        <f>G662*('College Schedule'!$L$9)*(1+'Government Figures'!$B$8/12)^B662</f>
        <v>13334.617322847342</v>
      </c>
      <c r="J662" s="304">
        <f t="shared" ca="1" si="86"/>
        <v>5037.2140182839066</v>
      </c>
      <c r="K662" s="304">
        <f t="shared" ca="1" si="87"/>
        <v>584.95109422326959</v>
      </c>
      <c r="L662" s="278">
        <v>1</v>
      </c>
      <c r="M662" s="279">
        <f t="shared" si="92"/>
        <v>0.13735784313725496</v>
      </c>
      <c r="N662" s="304">
        <f>L662*('College Schedule'!$L$10)*(1+'Government Figures'!$B$8/12)^B662</f>
        <v>8000.770393708407</v>
      </c>
      <c r="O662" s="304">
        <f t="shared" si="88"/>
        <v>913.96904256962534</v>
      </c>
      <c r="P662" s="304">
        <f t="shared" si="89"/>
        <v>106.13549267446747</v>
      </c>
      <c r="Q662" s="274"/>
      <c r="R662" s="281"/>
      <c r="S662" s="281"/>
      <c r="T662" s="281"/>
      <c r="U662" s="281"/>
      <c r="V662" s="281"/>
      <c r="W662" s="281"/>
      <c r="X662" s="281"/>
      <c r="Y662" s="281"/>
      <c r="Z662" s="281"/>
      <c r="AA662" s="281"/>
      <c r="AB662" s="281"/>
      <c r="AC662" s="281"/>
      <c r="AD662" s="281"/>
    </row>
    <row r="663" spans="1:30" s="288" customFormat="1" x14ac:dyDescent="0.25">
      <c r="A663" s="287"/>
      <c r="B663" s="274">
        <f t="shared" si="90"/>
        <v>648</v>
      </c>
      <c r="C663" s="304">
        <f t="shared" ca="1" si="85"/>
        <v>0</v>
      </c>
      <c r="D663" s="304">
        <f ca="1">IF(ROUND(E662,0)&lt;&gt;0, IF(ROUND(D662,0)&lt;&gt;0, 'Career Comparison'!$F$28-C663, 0), 0)</f>
        <v>0</v>
      </c>
      <c r="E663" s="304">
        <f ca="1">IF(G$7&gt;=B663, E662*(1+'Government Figures'!$D$8/12)-'Career Comparison'!$F$28, 0)</f>
        <v>0</v>
      </c>
      <c r="F663" s="312">
        <f>'College Schedule'!$L$8*(1+'Government Figures'!$B$8/12)^B663</f>
        <v>5997.8125077332943</v>
      </c>
      <c r="G663" s="278">
        <v>1</v>
      </c>
      <c r="H663" s="279">
        <f t="shared" ca="1" si="91"/>
        <v>0.17320110972991043</v>
      </c>
      <c r="I663" s="304">
        <f>G663*('College Schedule'!$L$9)*(1+'Government Figures'!$B$8/12)^B663</f>
        <v>13356.841685052092</v>
      </c>
      <c r="J663" s="304">
        <f t="shared" ca="1" si="86"/>
        <v>5045.6093749810489</v>
      </c>
      <c r="K663" s="304">
        <f t="shared" ca="1" si="87"/>
        <v>583.97941466475959</v>
      </c>
      <c r="L663" s="278">
        <v>1</v>
      </c>
      <c r="M663" s="279">
        <f t="shared" si="92"/>
        <v>0.13735784313725496</v>
      </c>
      <c r="N663" s="304">
        <f>L663*('College Schedule'!$L$10)*(1+'Government Figures'!$B$8/12)^B663</f>
        <v>8014.1050110312563</v>
      </c>
      <c r="O663" s="304">
        <f t="shared" si="88"/>
        <v>915.49232430724169</v>
      </c>
      <c r="P663" s="304">
        <f t="shared" si="89"/>
        <v>105.95918786936043</v>
      </c>
      <c r="Q663" s="274"/>
      <c r="R663" s="281"/>
      <c r="S663" s="281"/>
      <c r="T663" s="281"/>
      <c r="U663" s="281"/>
      <c r="V663" s="281"/>
      <c r="W663" s="281"/>
      <c r="X663" s="281"/>
      <c r="Y663" s="281"/>
      <c r="Z663" s="281"/>
      <c r="AA663" s="281"/>
      <c r="AB663" s="281"/>
      <c r="AC663" s="281"/>
      <c r="AD663" s="281"/>
    </row>
    <row r="664" spans="1:30" s="288" customFormat="1" x14ac:dyDescent="0.25">
      <c r="A664" s="287"/>
      <c r="B664" s="274">
        <f t="shared" si="90"/>
        <v>649</v>
      </c>
      <c r="C664" s="304">
        <f t="shared" ca="1" si="85"/>
        <v>0</v>
      </c>
      <c r="D664" s="304">
        <f ca="1">IF(ROUND(E663,0)&lt;&gt;0, IF(ROUND(D663,0)&lt;&gt;0, 'Career Comparison'!$F$28-C664, 0), 0)</f>
        <v>0</v>
      </c>
      <c r="E664" s="304">
        <f ca="1">IF(G$7&gt;=B664, E663*(1+'Government Figures'!$D$8/12)-'Career Comparison'!$F$28, 0)</f>
        <v>0</v>
      </c>
      <c r="F664" s="312">
        <f>'College Schedule'!$L$8*(1+'Government Figures'!$B$8/12)^B664</f>
        <v>6007.8088619128494</v>
      </c>
      <c r="G664" s="278">
        <v>1</v>
      </c>
      <c r="H664" s="279">
        <f t="shared" ca="1" si="91"/>
        <v>0.17320110972991043</v>
      </c>
      <c r="I664" s="304">
        <f>G664*('College Schedule'!$L$9)*(1+'Government Figures'!$B$8/12)^B664</f>
        <v>13379.103087860512</v>
      </c>
      <c r="J664" s="304">
        <f t="shared" ca="1" si="86"/>
        <v>5054.0187239393517</v>
      </c>
      <c r="K664" s="304">
        <f t="shared" ca="1" si="87"/>
        <v>583.00934919189467</v>
      </c>
      <c r="L664" s="278">
        <v>1</v>
      </c>
      <c r="M664" s="279">
        <f t="shared" si="92"/>
        <v>0.13735784313725496</v>
      </c>
      <c r="N664" s="304">
        <f>L664*('College Schedule'!$L$10)*(1+'Government Figures'!$B$8/12)^B664</f>
        <v>8027.4618527163084</v>
      </c>
      <c r="O664" s="304">
        <f t="shared" si="88"/>
        <v>917.01814484775423</v>
      </c>
      <c r="P664" s="304">
        <f t="shared" si="89"/>
        <v>105.78317592937816</v>
      </c>
      <c r="Q664" s="274"/>
      <c r="R664" s="281"/>
      <c r="S664" s="281"/>
      <c r="T664" s="281"/>
      <c r="U664" s="281"/>
      <c r="V664" s="281"/>
      <c r="W664" s="281"/>
      <c r="X664" s="281"/>
      <c r="Y664" s="281"/>
      <c r="Z664" s="281"/>
      <c r="AA664" s="281"/>
      <c r="AB664" s="281"/>
      <c r="AC664" s="281"/>
      <c r="AD664" s="281"/>
    </row>
    <row r="665" spans="1:30" s="288" customFormat="1" x14ac:dyDescent="0.25">
      <c r="A665" s="287"/>
      <c r="B665" s="274">
        <f t="shared" si="90"/>
        <v>650</v>
      </c>
      <c r="C665" s="304">
        <f t="shared" ca="1" si="85"/>
        <v>0</v>
      </c>
      <c r="D665" s="304">
        <f ca="1">IF(ROUND(E664,0)&lt;&gt;0, IF(ROUND(D664,0)&lt;&gt;0, 'Career Comparison'!$F$28-C665, 0), 0)</f>
        <v>0</v>
      </c>
      <c r="E665" s="304">
        <f ca="1">IF(G$7&gt;=B665, E664*(1+'Government Figures'!$D$8/12)-'Career Comparison'!$F$28, 0)</f>
        <v>0</v>
      </c>
      <c r="F665" s="312">
        <f>'College Schedule'!$L$8*(1+'Government Figures'!$B$8/12)^B665</f>
        <v>6017.8218766827049</v>
      </c>
      <c r="G665" s="278">
        <v>1</v>
      </c>
      <c r="H665" s="279">
        <f t="shared" ca="1" si="91"/>
        <v>0.17320110972991043</v>
      </c>
      <c r="I665" s="304">
        <f>G665*('College Schedule'!$L$9)*(1+'Government Figures'!$B$8/12)^B665</f>
        <v>13401.401593006947</v>
      </c>
      <c r="J665" s="304">
        <f t="shared" ca="1" si="86"/>
        <v>5062.4420884792489</v>
      </c>
      <c r="K665" s="304">
        <f t="shared" ca="1" si="87"/>
        <v>582.04089512346911</v>
      </c>
      <c r="L665" s="278">
        <v>1</v>
      </c>
      <c r="M665" s="279">
        <f t="shared" si="92"/>
        <v>0.13735784313725496</v>
      </c>
      <c r="N665" s="304">
        <f>L665*('College Schedule'!$L$10)*(1+'Government Figures'!$B$8/12)^B665</f>
        <v>8040.8409558041694</v>
      </c>
      <c r="O665" s="304">
        <f t="shared" si="88"/>
        <v>918.54650842249976</v>
      </c>
      <c r="P665" s="304">
        <f t="shared" si="89"/>
        <v>105.60745636803355</v>
      </c>
      <c r="Q665" s="274"/>
      <c r="R665" s="281"/>
      <c r="S665" s="281"/>
      <c r="T665" s="281"/>
      <c r="U665" s="281"/>
      <c r="V665" s="281"/>
      <c r="W665" s="281"/>
      <c r="X665" s="281"/>
      <c r="Y665" s="281"/>
      <c r="Z665" s="281"/>
      <c r="AA665" s="281"/>
      <c r="AB665" s="281"/>
      <c r="AC665" s="281"/>
      <c r="AD665" s="281"/>
    </row>
    <row r="666" spans="1:30" s="288" customFormat="1" x14ac:dyDescent="0.25">
      <c r="A666" s="287"/>
      <c r="B666" s="274">
        <f t="shared" si="90"/>
        <v>651</v>
      </c>
      <c r="C666" s="304">
        <f t="shared" ca="1" si="85"/>
        <v>0</v>
      </c>
      <c r="D666" s="304">
        <f ca="1">IF(ROUND(E665,0)&lt;&gt;0, IF(ROUND(D665,0)&lt;&gt;0, 'Career Comparison'!$F$28-C666, 0), 0)</f>
        <v>0</v>
      </c>
      <c r="E666" s="304">
        <f ca="1">IF(G$7&gt;=B666, E665*(1+'Government Figures'!$D$8/12)-'Career Comparison'!$F$28, 0)</f>
        <v>0</v>
      </c>
      <c r="F666" s="312">
        <f>'College Schedule'!$L$8*(1+'Government Figures'!$B$8/12)^B666</f>
        <v>6027.85157981051</v>
      </c>
      <c r="G666" s="278">
        <v>1</v>
      </c>
      <c r="H666" s="279">
        <f t="shared" ca="1" si="91"/>
        <v>0.17320110972991043</v>
      </c>
      <c r="I666" s="304">
        <f>G666*('College Schedule'!$L$9)*(1+'Government Figures'!$B$8/12)^B666</f>
        <v>13423.737262328626</v>
      </c>
      <c r="J666" s="304">
        <f t="shared" ca="1" si="86"/>
        <v>5070.8794919600487</v>
      </c>
      <c r="K666" s="304">
        <f t="shared" ca="1" si="87"/>
        <v>581.07404978273246</v>
      </c>
      <c r="L666" s="278">
        <v>1</v>
      </c>
      <c r="M666" s="279">
        <f t="shared" si="92"/>
        <v>0.13735784313725496</v>
      </c>
      <c r="N666" s="304">
        <f>L666*('College Schedule'!$L$10)*(1+'Government Figures'!$B$8/12)^B666</f>
        <v>8054.2423573971773</v>
      </c>
      <c r="O666" s="304">
        <f t="shared" si="88"/>
        <v>920.07741926987092</v>
      </c>
      <c r="P666" s="304">
        <f t="shared" si="89"/>
        <v>105.43202869964814</v>
      </c>
      <c r="Q666" s="274"/>
      <c r="R666" s="281"/>
      <c r="S666" s="281"/>
      <c r="T666" s="281"/>
      <c r="U666" s="281"/>
      <c r="V666" s="281"/>
      <c r="W666" s="281"/>
      <c r="X666" s="281"/>
      <c r="Y666" s="281"/>
      <c r="Z666" s="281"/>
      <c r="AA666" s="281"/>
      <c r="AB666" s="281"/>
      <c r="AC666" s="281"/>
      <c r="AD666" s="281"/>
    </row>
    <row r="667" spans="1:30" s="288" customFormat="1" x14ac:dyDescent="0.25">
      <c r="A667" s="287"/>
      <c r="B667" s="274">
        <f t="shared" si="90"/>
        <v>652</v>
      </c>
      <c r="C667" s="304">
        <f t="shared" ca="1" si="85"/>
        <v>0</v>
      </c>
      <c r="D667" s="304">
        <f ca="1">IF(ROUND(E666,0)&lt;&gt;0, IF(ROUND(D666,0)&lt;&gt;0, 'Career Comparison'!$F$28-C667, 0), 0)</f>
        <v>0</v>
      </c>
      <c r="E667" s="304">
        <f ca="1">IF(G$7&gt;=B667, E666*(1+'Government Figures'!$D$8/12)-'Career Comparison'!$F$28, 0)</f>
        <v>0</v>
      </c>
      <c r="F667" s="312">
        <f>'College Schedule'!$L$8*(1+'Government Figures'!$B$8/12)^B667</f>
        <v>6037.8979991101933</v>
      </c>
      <c r="G667" s="278">
        <v>1</v>
      </c>
      <c r="H667" s="279">
        <f t="shared" ca="1" si="91"/>
        <v>0.17320110972991043</v>
      </c>
      <c r="I667" s="304">
        <f>G667*('College Schedule'!$L$9)*(1+'Government Figures'!$B$8/12)^B667</f>
        <v>13446.110157765839</v>
      </c>
      <c r="J667" s="304">
        <f t="shared" ca="1" si="86"/>
        <v>5079.330957779981</v>
      </c>
      <c r="K667" s="304">
        <f t="shared" ca="1" si="87"/>
        <v>580.10881049737895</v>
      </c>
      <c r="L667" s="278">
        <v>1</v>
      </c>
      <c r="M667" s="279">
        <f t="shared" si="92"/>
        <v>0.13735784313725496</v>
      </c>
      <c r="N667" s="304">
        <f>L667*('College Schedule'!$L$10)*(1+'Government Figures'!$B$8/12)^B667</f>
        <v>8067.6660946595048</v>
      </c>
      <c r="O667" s="304">
        <f t="shared" si="88"/>
        <v>921.61088163532077</v>
      </c>
      <c r="P667" s="304">
        <f t="shared" si="89"/>
        <v>105.25689243934973</v>
      </c>
      <c r="Q667" s="274"/>
      <c r="R667" s="281"/>
      <c r="S667" s="281"/>
      <c r="T667" s="281"/>
      <c r="U667" s="281"/>
      <c r="V667" s="281"/>
      <c r="W667" s="281"/>
      <c r="X667" s="281"/>
      <c r="Y667" s="281"/>
      <c r="Z667" s="281"/>
      <c r="AA667" s="281"/>
      <c r="AB667" s="281"/>
      <c r="AC667" s="281"/>
      <c r="AD667" s="281"/>
    </row>
    <row r="668" spans="1:30" s="288" customFormat="1" x14ac:dyDescent="0.25">
      <c r="A668" s="287"/>
      <c r="B668" s="274">
        <f t="shared" si="90"/>
        <v>653</v>
      </c>
      <c r="C668" s="304">
        <f t="shared" ca="1" si="85"/>
        <v>0</v>
      </c>
      <c r="D668" s="304">
        <f ca="1">IF(ROUND(E667,0)&lt;&gt;0, IF(ROUND(D667,0)&lt;&gt;0, 'Career Comparison'!$F$28-C668, 0), 0)</f>
        <v>0</v>
      </c>
      <c r="E668" s="304">
        <f ca="1">IF(G$7&gt;=B668, E667*(1+'Government Figures'!$D$8/12)-'Career Comparison'!$F$28, 0)</f>
        <v>0</v>
      </c>
      <c r="F668" s="312">
        <f>'College Schedule'!$L$8*(1+'Government Figures'!$B$8/12)^B668</f>
        <v>6047.961162442044</v>
      </c>
      <c r="G668" s="278">
        <v>1</v>
      </c>
      <c r="H668" s="279">
        <f t="shared" ca="1" si="91"/>
        <v>0.17320110972991043</v>
      </c>
      <c r="I668" s="304">
        <f>G668*('College Schedule'!$L$9)*(1+'Government Figures'!$B$8/12)^B668</f>
        <v>13468.520341362117</v>
      </c>
      <c r="J668" s="304">
        <f t="shared" ca="1" si="86"/>
        <v>5087.7965093762823</v>
      </c>
      <c r="K668" s="304">
        <f t="shared" ca="1" si="87"/>
        <v>579.14517459954311</v>
      </c>
      <c r="L668" s="278">
        <v>1</v>
      </c>
      <c r="M668" s="279">
        <f t="shared" si="92"/>
        <v>0.13735784313725496</v>
      </c>
      <c r="N668" s="304">
        <f>L668*('College Schedule'!$L$10)*(1+'Government Figures'!$B$8/12)^B668</f>
        <v>8081.112204817271</v>
      </c>
      <c r="O668" s="304">
        <f t="shared" si="88"/>
        <v>923.14689977138005</v>
      </c>
      <c r="P668" s="304">
        <f t="shared" si="89"/>
        <v>105.0820471030718</v>
      </c>
      <c r="Q668" s="274"/>
      <c r="R668" s="281"/>
      <c r="S668" s="281"/>
      <c r="T668" s="281"/>
      <c r="U668" s="281"/>
      <c r="V668" s="281"/>
      <c r="W668" s="281"/>
      <c r="X668" s="281"/>
      <c r="Y668" s="281"/>
      <c r="Z668" s="281"/>
      <c r="AA668" s="281"/>
      <c r="AB668" s="281"/>
      <c r="AC668" s="281"/>
      <c r="AD668" s="281"/>
    </row>
    <row r="669" spans="1:30" s="288" customFormat="1" x14ac:dyDescent="0.25">
      <c r="A669" s="287"/>
      <c r="B669" s="274">
        <f t="shared" si="90"/>
        <v>654</v>
      </c>
      <c r="C669" s="304">
        <f t="shared" ca="1" si="85"/>
        <v>0</v>
      </c>
      <c r="D669" s="304">
        <f ca="1">IF(ROUND(E668,0)&lt;&gt;0, IF(ROUND(D668,0)&lt;&gt;0, 'Career Comparison'!$F$28-C669, 0), 0)</f>
        <v>0</v>
      </c>
      <c r="E669" s="304">
        <f ca="1">IF(G$7&gt;=B669, E668*(1+'Government Figures'!$D$8/12)-'Career Comparison'!$F$28, 0)</f>
        <v>0</v>
      </c>
      <c r="F669" s="312">
        <f>'College Schedule'!$L$8*(1+'Government Figures'!$B$8/12)^B669</f>
        <v>6058.0410977127831</v>
      </c>
      <c r="G669" s="278">
        <v>1</v>
      </c>
      <c r="H669" s="279">
        <f t="shared" ca="1" si="91"/>
        <v>0.17320110972991043</v>
      </c>
      <c r="I669" s="304">
        <f>G669*('College Schedule'!$L$9)*(1+'Government Figures'!$B$8/12)^B669</f>
        <v>13490.967875264392</v>
      </c>
      <c r="J669" s="304">
        <f t="shared" ca="1" si="86"/>
        <v>5096.2761702252446</v>
      </c>
      <c r="K669" s="304">
        <f t="shared" ca="1" si="87"/>
        <v>578.18313942578982</v>
      </c>
      <c r="L669" s="278">
        <v>1</v>
      </c>
      <c r="M669" s="279">
        <f t="shared" si="92"/>
        <v>0.13735784313725496</v>
      </c>
      <c r="N669" s="304">
        <f>L669*('College Schedule'!$L$10)*(1+'Government Figures'!$B$8/12)^B669</f>
        <v>8094.5807251586366</v>
      </c>
      <c r="O669" s="304">
        <f t="shared" si="88"/>
        <v>924.68547793766629</v>
      </c>
      <c r="P669" s="304">
        <f t="shared" si="89"/>
        <v>104.9074922075518</v>
      </c>
      <c r="Q669" s="274"/>
      <c r="R669" s="281"/>
      <c r="S669" s="281"/>
      <c r="T669" s="281"/>
      <c r="U669" s="281"/>
      <c r="V669" s="281"/>
      <c r="W669" s="281"/>
      <c r="X669" s="281"/>
      <c r="Y669" s="281"/>
      <c r="Z669" s="281"/>
      <c r="AA669" s="281"/>
      <c r="AB669" s="281"/>
      <c r="AC669" s="281"/>
      <c r="AD669" s="281"/>
    </row>
    <row r="670" spans="1:30" s="288" customFormat="1" x14ac:dyDescent="0.25">
      <c r="A670" s="287"/>
      <c r="B670" s="274">
        <f t="shared" si="90"/>
        <v>655</v>
      </c>
      <c r="C670" s="304">
        <f t="shared" ca="1" si="85"/>
        <v>0</v>
      </c>
      <c r="D670" s="304">
        <f ca="1">IF(ROUND(E669,0)&lt;&gt;0, IF(ROUND(D669,0)&lt;&gt;0, 'Career Comparison'!$F$28-C670, 0), 0)</f>
        <v>0</v>
      </c>
      <c r="E670" s="304">
        <f ca="1">IF(G$7&gt;=B670, E669*(1+'Government Figures'!$D$8/12)-'Career Comparison'!$F$28, 0)</f>
        <v>0</v>
      </c>
      <c r="F670" s="312">
        <f>'College Schedule'!$L$8*(1+'Government Figures'!$B$8/12)^B670</f>
        <v>6068.1378328756364</v>
      </c>
      <c r="G670" s="278">
        <v>1</v>
      </c>
      <c r="H670" s="279">
        <f t="shared" ca="1" si="91"/>
        <v>0.17320110972991043</v>
      </c>
      <c r="I670" s="304">
        <f>G670*('College Schedule'!$L$9)*(1+'Government Figures'!$B$8/12)^B670</f>
        <v>13513.452821723164</v>
      </c>
      <c r="J670" s="304">
        <f t="shared" ca="1" si="86"/>
        <v>5104.7699638422855</v>
      </c>
      <c r="K670" s="304">
        <f t="shared" ca="1" si="87"/>
        <v>577.22270231710877</v>
      </c>
      <c r="L670" s="278">
        <v>1</v>
      </c>
      <c r="M670" s="279">
        <f t="shared" si="92"/>
        <v>0.13735784313725496</v>
      </c>
      <c r="N670" s="304">
        <f>L670*('College Schedule'!$L$10)*(1+'Government Figures'!$B$8/12)^B670</f>
        <v>8108.0716930338995</v>
      </c>
      <c r="O670" s="304">
        <f t="shared" si="88"/>
        <v>926.22662040089563</v>
      </c>
      <c r="P670" s="304">
        <f t="shared" si="89"/>
        <v>104.73322727032992</v>
      </c>
      <c r="Q670" s="274"/>
      <c r="R670" s="281"/>
      <c r="S670" s="281"/>
      <c r="T670" s="281"/>
      <c r="U670" s="281"/>
      <c r="V670" s="281"/>
      <c r="W670" s="281"/>
      <c r="X670" s="281"/>
      <c r="Y670" s="281"/>
      <c r="Z670" s="281"/>
      <c r="AA670" s="281"/>
      <c r="AB670" s="281"/>
      <c r="AC670" s="281"/>
      <c r="AD670" s="281"/>
    </row>
    <row r="671" spans="1:30" s="288" customFormat="1" x14ac:dyDescent="0.25">
      <c r="A671" s="287"/>
      <c r="B671" s="274">
        <f t="shared" si="90"/>
        <v>656</v>
      </c>
      <c r="C671" s="304">
        <f t="shared" ca="1" si="85"/>
        <v>0</v>
      </c>
      <c r="D671" s="304">
        <f ca="1">IF(ROUND(E670,0)&lt;&gt;0, IF(ROUND(D670,0)&lt;&gt;0, 'Career Comparison'!$F$28-C671, 0), 0)</f>
        <v>0</v>
      </c>
      <c r="E671" s="304">
        <f ca="1">IF(G$7&gt;=B671, E670*(1+'Government Figures'!$D$8/12)-'Career Comparison'!$F$28, 0)</f>
        <v>0</v>
      </c>
      <c r="F671" s="312">
        <f>'College Schedule'!$L$8*(1+'Government Figures'!$B$8/12)^B671</f>
        <v>6078.2513959304306</v>
      </c>
      <c r="G671" s="278">
        <v>1</v>
      </c>
      <c r="H671" s="279">
        <f t="shared" ca="1" si="91"/>
        <v>0.17320110972991043</v>
      </c>
      <c r="I671" s="304">
        <f>G671*('College Schedule'!$L$9)*(1+'Government Figures'!$B$8/12)^B671</f>
        <v>13535.975243092706</v>
      </c>
      <c r="J671" s="304">
        <f t="shared" ca="1" si="86"/>
        <v>5113.2779137820235</v>
      </c>
      <c r="K671" s="304">
        <f t="shared" ca="1" si="87"/>
        <v>576.26386061890776</v>
      </c>
      <c r="L671" s="278">
        <v>1</v>
      </c>
      <c r="M671" s="279">
        <f t="shared" si="92"/>
        <v>0.13735784313725496</v>
      </c>
      <c r="N671" s="304">
        <f>L671*('College Schedule'!$L$10)*(1+'Government Figures'!$B$8/12)^B671</f>
        <v>8121.5851458556244</v>
      </c>
      <c r="O671" s="304">
        <f t="shared" si="88"/>
        <v>927.77033143489734</v>
      </c>
      <c r="P671" s="304">
        <f t="shared" si="89"/>
        <v>104.55925180974801</v>
      </c>
      <c r="Q671" s="274"/>
      <c r="R671" s="281"/>
      <c r="S671" s="281"/>
      <c r="T671" s="281"/>
      <c r="U671" s="281"/>
      <c r="V671" s="281"/>
      <c r="W671" s="281"/>
      <c r="X671" s="281"/>
      <c r="Y671" s="281"/>
      <c r="Z671" s="281"/>
      <c r="AA671" s="281"/>
      <c r="AB671" s="281"/>
      <c r="AC671" s="281"/>
      <c r="AD671" s="281"/>
    </row>
    <row r="672" spans="1:30" s="288" customFormat="1" x14ac:dyDescent="0.25">
      <c r="A672" s="287"/>
      <c r="B672" s="274">
        <f t="shared" si="90"/>
        <v>657</v>
      </c>
      <c r="C672" s="304">
        <f t="shared" ca="1" si="85"/>
        <v>0</v>
      </c>
      <c r="D672" s="304">
        <f ca="1">IF(ROUND(E671,0)&lt;&gt;0, IF(ROUND(D671,0)&lt;&gt;0, 'Career Comparison'!$F$28-C672, 0), 0)</f>
        <v>0</v>
      </c>
      <c r="E672" s="304">
        <f ca="1">IF(G$7&gt;=B672, E671*(1+'Government Figures'!$D$8/12)-'Career Comparison'!$F$28, 0)</f>
        <v>0</v>
      </c>
      <c r="F672" s="312">
        <f>'College Schedule'!$L$8*(1+'Government Figures'!$B$8/12)^B672</f>
        <v>6088.3818149236477</v>
      </c>
      <c r="G672" s="278">
        <v>1</v>
      </c>
      <c r="H672" s="279">
        <f t="shared" ca="1" si="91"/>
        <v>0.17320110972991043</v>
      </c>
      <c r="I672" s="304">
        <f>G672*('College Schedule'!$L$9)*(1+'Government Figures'!$B$8/12)^B672</f>
        <v>13558.535201831193</v>
      </c>
      <c r="J672" s="304">
        <f t="shared" ca="1" si="86"/>
        <v>5121.8000436383272</v>
      </c>
      <c r="K672" s="304">
        <f t="shared" ca="1" si="87"/>
        <v>575.30661168100244</v>
      </c>
      <c r="L672" s="278">
        <v>1</v>
      </c>
      <c r="M672" s="279">
        <f t="shared" si="92"/>
        <v>0.13735784313725496</v>
      </c>
      <c r="N672" s="304">
        <f>L672*('College Schedule'!$L$10)*(1+'Government Figures'!$B$8/12)^B672</f>
        <v>8135.1211210987167</v>
      </c>
      <c r="O672" s="304">
        <f t="shared" si="88"/>
        <v>929.31661532062208</v>
      </c>
      <c r="P672" s="304">
        <f t="shared" si="89"/>
        <v>104.38556534494772</v>
      </c>
      <c r="Q672" s="274"/>
      <c r="R672" s="281"/>
      <c r="S672" s="281"/>
      <c r="T672" s="281"/>
      <c r="U672" s="281"/>
      <c r="V672" s="281"/>
      <c r="W672" s="281"/>
      <c r="X672" s="281"/>
      <c r="Y672" s="281"/>
      <c r="Z672" s="281"/>
      <c r="AA672" s="281"/>
      <c r="AB672" s="281"/>
      <c r="AC672" s="281"/>
      <c r="AD672" s="281"/>
    </row>
    <row r="673" spans="1:30" s="288" customFormat="1" x14ac:dyDescent="0.25">
      <c r="A673" s="287"/>
      <c r="B673" s="274">
        <f t="shared" si="90"/>
        <v>658</v>
      </c>
      <c r="C673" s="304">
        <f t="shared" ca="1" si="85"/>
        <v>0</v>
      </c>
      <c r="D673" s="304">
        <f ca="1">IF(ROUND(E672,0)&lt;&gt;0, IF(ROUND(D672,0)&lt;&gt;0, 'Career Comparison'!$F$28-C673, 0), 0)</f>
        <v>0</v>
      </c>
      <c r="E673" s="304">
        <f ca="1">IF(G$7&gt;=B673, E672*(1+'Government Figures'!$D$8/12)-'Career Comparison'!$F$28, 0)</f>
        <v>0</v>
      </c>
      <c r="F673" s="312">
        <f>'College Schedule'!$L$8*(1+'Government Figures'!$B$8/12)^B673</f>
        <v>6098.5291179485221</v>
      </c>
      <c r="G673" s="278">
        <v>1</v>
      </c>
      <c r="H673" s="279">
        <f t="shared" ca="1" si="91"/>
        <v>0.17320110972991043</v>
      </c>
      <c r="I673" s="304">
        <f>G673*('College Schedule'!$L$9)*(1+'Government Figures'!$B$8/12)^B673</f>
        <v>13581.132760500914</v>
      </c>
      <c r="J673" s="304">
        <f t="shared" ca="1" si="86"/>
        <v>5130.3363770443912</v>
      </c>
      <c r="K673" s="304">
        <f t="shared" ca="1" si="87"/>
        <v>574.35095285761201</v>
      </c>
      <c r="L673" s="278">
        <v>1</v>
      </c>
      <c r="M673" s="279">
        <f t="shared" si="92"/>
        <v>0.13735784313725496</v>
      </c>
      <c r="N673" s="304">
        <f>L673*('College Schedule'!$L$10)*(1+'Government Figures'!$B$8/12)^B673</f>
        <v>8148.6796563005491</v>
      </c>
      <c r="O673" s="304">
        <f t="shared" si="88"/>
        <v>930.86547634615545</v>
      </c>
      <c r="P673" s="304">
        <f t="shared" si="89"/>
        <v>104.21216739586961</v>
      </c>
      <c r="Q673" s="274"/>
      <c r="R673" s="281"/>
      <c r="S673" s="281"/>
      <c r="T673" s="281"/>
      <c r="U673" s="281"/>
      <c r="V673" s="281"/>
      <c r="W673" s="281"/>
      <c r="X673" s="281"/>
      <c r="Y673" s="281"/>
      <c r="Z673" s="281"/>
      <c r="AA673" s="281"/>
      <c r="AB673" s="281"/>
      <c r="AC673" s="281"/>
      <c r="AD673" s="281"/>
    </row>
    <row r="674" spans="1:30" s="288" customFormat="1" x14ac:dyDescent="0.25">
      <c r="A674" s="287"/>
      <c r="B674" s="274">
        <f t="shared" si="90"/>
        <v>659</v>
      </c>
      <c r="C674" s="304">
        <f t="shared" ca="1" si="85"/>
        <v>0</v>
      </c>
      <c r="D674" s="304">
        <f ca="1">IF(ROUND(E673,0)&lt;&gt;0, IF(ROUND(D673,0)&lt;&gt;0, 'Career Comparison'!$F$28-C674, 0), 0)</f>
        <v>0</v>
      </c>
      <c r="E674" s="304">
        <f ca="1">IF(G$7&gt;=B674, E673*(1+'Government Figures'!$D$8/12)-'Career Comparison'!$F$28, 0)</f>
        <v>0</v>
      </c>
      <c r="F674" s="312">
        <f>'College Schedule'!$L$8*(1+'Government Figures'!$B$8/12)^B674</f>
        <v>6108.6933331451028</v>
      </c>
      <c r="G674" s="278">
        <v>1</v>
      </c>
      <c r="H674" s="279">
        <f t="shared" ca="1" si="91"/>
        <v>0.17320110972991043</v>
      </c>
      <c r="I674" s="304">
        <f>G674*('College Schedule'!$L$9)*(1+'Government Figures'!$B$8/12)^B674</f>
        <v>13603.767981768417</v>
      </c>
      <c r="J674" s="304">
        <f t="shared" ca="1" si="86"/>
        <v>5138.8869376728007</v>
      </c>
      <c r="K674" s="304">
        <f t="shared" ca="1" si="87"/>
        <v>573.39688150735049</v>
      </c>
      <c r="L674" s="278">
        <v>1</v>
      </c>
      <c r="M674" s="279">
        <f t="shared" si="92"/>
        <v>0.13735784313725496</v>
      </c>
      <c r="N674" s="304">
        <f>L674*('College Schedule'!$L$10)*(1+'Government Figures'!$B$8/12)^B674</f>
        <v>8162.2607890610507</v>
      </c>
      <c r="O674" s="304">
        <f t="shared" si="88"/>
        <v>932.41691880673352</v>
      </c>
      <c r="P674" s="304">
        <f t="shared" si="89"/>
        <v>104.03905748325201</v>
      </c>
      <c r="Q674" s="274"/>
      <c r="R674" s="281"/>
      <c r="S674" s="281"/>
      <c r="T674" s="281"/>
      <c r="U674" s="281"/>
      <c r="V674" s="281"/>
      <c r="W674" s="281"/>
      <c r="X674" s="281"/>
      <c r="Y674" s="281"/>
      <c r="Z674" s="281"/>
      <c r="AA674" s="281"/>
      <c r="AB674" s="281"/>
      <c r="AC674" s="281"/>
      <c r="AD674" s="281"/>
    </row>
    <row r="675" spans="1:30" s="288" customFormat="1" x14ac:dyDescent="0.25">
      <c r="A675" s="287"/>
      <c r="B675" s="274">
        <f t="shared" si="90"/>
        <v>660</v>
      </c>
      <c r="C675" s="304">
        <f t="shared" ca="1" si="85"/>
        <v>0</v>
      </c>
      <c r="D675" s="304">
        <f ca="1">IF(ROUND(E674,0)&lt;&gt;0, IF(ROUND(D674,0)&lt;&gt;0, 'Career Comparison'!$F$28-C675, 0), 0)</f>
        <v>0</v>
      </c>
      <c r="E675" s="304">
        <f ca="1">IF(G$7&gt;=B675, E674*(1+'Government Figures'!$D$8/12)-'Career Comparison'!$F$28, 0)</f>
        <v>0</v>
      </c>
      <c r="F675" s="312">
        <f>'College Schedule'!$L$8*(1+'Government Figures'!$B$8/12)^B675</f>
        <v>6118.874488700344</v>
      </c>
      <c r="G675" s="278">
        <v>1</v>
      </c>
      <c r="H675" s="279">
        <f t="shared" ca="1" si="91"/>
        <v>0.17320110972991043</v>
      </c>
      <c r="I675" s="304">
        <f>G675*('College Schedule'!$L$9)*(1+'Government Figures'!$B$8/12)^B675</f>
        <v>13626.440928404696</v>
      </c>
      <c r="J675" s="304">
        <f t="shared" ca="1" si="86"/>
        <v>5147.4517492355872</v>
      </c>
      <c r="K675" s="304">
        <f t="shared" ca="1" si="87"/>
        <v>572.44439499321845</v>
      </c>
      <c r="L675" s="278">
        <v>1</v>
      </c>
      <c r="M675" s="279">
        <f t="shared" si="92"/>
        <v>0.13735784313725496</v>
      </c>
      <c r="N675" s="304">
        <f>L675*('College Schedule'!$L$10)*(1+'Government Figures'!$B$8/12)^B675</f>
        <v>8175.8645570428189</v>
      </c>
      <c r="O675" s="304">
        <f t="shared" si="88"/>
        <v>933.97094700474463</v>
      </c>
      <c r="P675" s="304">
        <f t="shared" si="89"/>
        <v>103.86623512862865</v>
      </c>
      <c r="Q675" s="274"/>
      <c r="R675" s="281"/>
      <c r="S675" s="281"/>
      <c r="T675" s="281"/>
      <c r="U675" s="281"/>
      <c r="V675" s="281"/>
      <c r="W675" s="281"/>
      <c r="X675" s="281"/>
      <c r="Y675" s="281"/>
      <c r="Z675" s="281"/>
      <c r="AA675" s="281"/>
      <c r="AB675" s="281"/>
      <c r="AC675" s="281"/>
      <c r="AD675" s="281"/>
    </row>
    <row r="676" spans="1:30" s="288" customFormat="1" x14ac:dyDescent="0.25">
      <c r="A676" s="287"/>
      <c r="B676" s="274">
        <f t="shared" si="90"/>
        <v>661</v>
      </c>
      <c r="C676" s="304">
        <f t="shared" ca="1" si="85"/>
        <v>0</v>
      </c>
      <c r="D676" s="304">
        <f ca="1">IF(ROUND(E675,0)&lt;&gt;0, IF(ROUND(D675,0)&lt;&gt;0, 'Career Comparison'!$F$28-C676, 0), 0)</f>
        <v>0</v>
      </c>
      <c r="E676" s="304">
        <f ca="1">IF(G$7&gt;=B676, E675*(1+'Government Figures'!$D$8/12)-'Career Comparison'!$F$28, 0)</f>
        <v>0</v>
      </c>
      <c r="F676" s="312">
        <f>'College Schedule'!$L$8*(1+'Government Figures'!$B$8/12)^B676</f>
        <v>6129.0726128481801</v>
      </c>
      <c r="G676" s="278">
        <v>1</v>
      </c>
      <c r="H676" s="279">
        <f t="shared" ca="1" si="91"/>
        <v>0.17320110972991043</v>
      </c>
      <c r="I676" s="304">
        <f>G676*('College Schedule'!$L$9)*(1+'Government Figures'!$B$8/12)^B676</f>
        <v>13649.151663285373</v>
      </c>
      <c r="J676" s="304">
        <f t="shared" ca="1" si="86"/>
        <v>5156.0308354843128</v>
      </c>
      <c r="K676" s="304">
        <f t="shared" ca="1" si="87"/>
        <v>571.49349068259846</v>
      </c>
      <c r="L676" s="278">
        <v>1</v>
      </c>
      <c r="M676" s="279">
        <f t="shared" si="92"/>
        <v>0.13735784313725496</v>
      </c>
      <c r="N676" s="304">
        <f>L676*('College Schedule'!$L$10)*(1+'Government Figures'!$B$8/12)^B676</f>
        <v>8189.4909979712256</v>
      </c>
      <c r="O676" s="304">
        <f t="shared" si="88"/>
        <v>935.52756524975212</v>
      </c>
      <c r="P676" s="304">
        <f t="shared" si="89"/>
        <v>103.69369985432856</v>
      </c>
      <c r="Q676" s="274"/>
      <c r="R676" s="281"/>
      <c r="S676" s="281"/>
      <c r="T676" s="281"/>
      <c r="U676" s="281"/>
      <c r="V676" s="281"/>
      <c r="W676" s="281"/>
      <c r="X676" s="281"/>
      <c r="Y676" s="281"/>
      <c r="Z676" s="281"/>
      <c r="AA676" s="281"/>
      <c r="AB676" s="281"/>
      <c r="AC676" s="281"/>
      <c r="AD676" s="281"/>
    </row>
    <row r="677" spans="1:30" s="288" customFormat="1" x14ac:dyDescent="0.25">
      <c r="A677" s="287"/>
      <c r="B677" s="274">
        <f t="shared" si="90"/>
        <v>662</v>
      </c>
      <c r="C677" s="304">
        <f t="shared" ca="1" si="85"/>
        <v>0</v>
      </c>
      <c r="D677" s="304">
        <f ca="1">IF(ROUND(E676,0)&lt;&gt;0, IF(ROUND(D676,0)&lt;&gt;0, 'Career Comparison'!$F$28-C677, 0), 0)</f>
        <v>0</v>
      </c>
      <c r="E677" s="304">
        <f ca="1">IF(G$7&gt;=B677, E676*(1+'Government Figures'!$D$8/12)-'Career Comparison'!$F$28, 0)</f>
        <v>0</v>
      </c>
      <c r="F677" s="312">
        <f>'College Schedule'!$L$8*(1+'Government Figures'!$B$8/12)^B677</f>
        <v>6139.2877338695926</v>
      </c>
      <c r="G677" s="278">
        <v>1</v>
      </c>
      <c r="H677" s="279">
        <f t="shared" ca="1" si="91"/>
        <v>0.17320110972991043</v>
      </c>
      <c r="I677" s="304">
        <f>G677*('College Schedule'!$L$9)*(1+'Government Figures'!$B$8/12)^B677</f>
        <v>13671.900249390847</v>
      </c>
      <c r="J677" s="304">
        <f t="shared" ca="1" si="86"/>
        <v>5164.6242202101203</v>
      </c>
      <c r="K677" s="304">
        <f t="shared" ca="1" si="87"/>
        <v>570.54416594724512</v>
      </c>
      <c r="L677" s="278">
        <v>1</v>
      </c>
      <c r="M677" s="279">
        <f t="shared" si="92"/>
        <v>0.13735784313725496</v>
      </c>
      <c r="N677" s="304">
        <f>L677*('College Schedule'!$L$10)*(1+'Government Figures'!$B$8/12)^B677</f>
        <v>8203.1401496345097</v>
      </c>
      <c r="O677" s="304">
        <f t="shared" si="88"/>
        <v>937.08677785850159</v>
      </c>
      <c r="P677" s="304">
        <f t="shared" si="89"/>
        <v>103.52145118347414</v>
      </c>
      <c r="Q677" s="274"/>
      <c r="R677" s="281"/>
      <c r="S677" s="281"/>
      <c r="T677" s="281"/>
      <c r="U677" s="281"/>
      <c r="V677" s="281"/>
      <c r="W677" s="281"/>
      <c r="X677" s="281"/>
      <c r="Y677" s="281"/>
      <c r="Z677" s="281"/>
      <c r="AA677" s="281"/>
      <c r="AB677" s="281"/>
      <c r="AC677" s="281"/>
      <c r="AD677" s="281"/>
    </row>
    <row r="678" spans="1:30" s="288" customFormat="1" x14ac:dyDescent="0.25">
      <c r="A678" s="287"/>
      <c r="B678" s="274">
        <f t="shared" si="90"/>
        <v>663</v>
      </c>
      <c r="C678" s="304">
        <f t="shared" ca="1" si="85"/>
        <v>0</v>
      </c>
      <c r="D678" s="304">
        <f ca="1">IF(ROUND(E677,0)&lt;&gt;0, IF(ROUND(D677,0)&lt;&gt;0, 'Career Comparison'!$F$28-C678, 0), 0)</f>
        <v>0</v>
      </c>
      <c r="E678" s="304">
        <f ca="1">IF(G$7&gt;=B678, E677*(1+'Government Figures'!$D$8/12)-'Career Comparison'!$F$28, 0)</f>
        <v>0</v>
      </c>
      <c r="F678" s="312">
        <f>'College Schedule'!$L$8*(1+'Government Figures'!$B$8/12)^B678</f>
        <v>6149.5198800927092</v>
      </c>
      <c r="G678" s="278">
        <v>1</v>
      </c>
      <c r="H678" s="279">
        <f t="shared" ca="1" si="91"/>
        <v>0.17320110972991043</v>
      </c>
      <c r="I678" s="304">
        <f>G678*('College Schedule'!$L$9)*(1+'Government Figures'!$B$8/12)^B678</f>
        <v>13694.6867498065</v>
      </c>
      <c r="J678" s="304">
        <f t="shared" ca="1" si="86"/>
        <v>5173.2319272438044</v>
      </c>
      <c r="K678" s="304">
        <f t="shared" ca="1" si="87"/>
        <v>569.59641816327962</v>
      </c>
      <c r="L678" s="278">
        <v>1</v>
      </c>
      <c r="M678" s="279">
        <f t="shared" si="92"/>
        <v>0.13735784313725496</v>
      </c>
      <c r="N678" s="304">
        <f>L678*('College Schedule'!$L$10)*(1+'Government Figures'!$B$8/12)^B678</f>
        <v>8216.8120498839016</v>
      </c>
      <c r="O678" s="304">
        <f t="shared" si="88"/>
        <v>938.64858915493278</v>
      </c>
      <c r="P678" s="304">
        <f t="shared" si="89"/>
        <v>103.34948863998004</v>
      </c>
      <c r="Q678" s="274"/>
      <c r="R678" s="281"/>
      <c r="S678" s="281"/>
      <c r="T678" s="281"/>
      <c r="U678" s="281"/>
      <c r="V678" s="281"/>
      <c r="W678" s="281"/>
      <c r="X678" s="281"/>
      <c r="Y678" s="281"/>
      <c r="Z678" s="281"/>
      <c r="AA678" s="281"/>
      <c r="AB678" s="281"/>
      <c r="AC678" s="281"/>
      <c r="AD678" s="281"/>
    </row>
    <row r="679" spans="1:30" s="288" customFormat="1" x14ac:dyDescent="0.25">
      <c r="A679" s="287"/>
      <c r="B679" s="274">
        <f t="shared" si="90"/>
        <v>664</v>
      </c>
      <c r="C679" s="304">
        <f t="shared" ca="1" si="85"/>
        <v>0</v>
      </c>
      <c r="D679" s="304">
        <f ca="1">IF(ROUND(E678,0)&lt;&gt;0, IF(ROUND(D678,0)&lt;&gt;0, 'Career Comparison'!$F$28-C679, 0), 0)</f>
        <v>0</v>
      </c>
      <c r="E679" s="304">
        <f ca="1">IF(G$7&gt;=B679, E678*(1+'Government Figures'!$D$8/12)-'Career Comparison'!$F$28, 0)</f>
        <v>0</v>
      </c>
      <c r="F679" s="312">
        <f>'College Schedule'!$L$8*(1+'Government Figures'!$B$8/12)^B679</f>
        <v>6159.7690798928652</v>
      </c>
      <c r="G679" s="278">
        <v>1</v>
      </c>
      <c r="H679" s="279">
        <f t="shared" ca="1" si="91"/>
        <v>0.17320110972991043</v>
      </c>
      <c r="I679" s="304">
        <f>G679*('College Schedule'!$L$9)*(1+'Government Figures'!$B$8/12)^B679</f>
        <v>13717.511227722847</v>
      </c>
      <c r="J679" s="304">
        <f t="shared" ca="1" si="86"/>
        <v>5181.8539804558786</v>
      </c>
      <c r="K679" s="304">
        <f t="shared" ca="1" si="87"/>
        <v>568.65024471118136</v>
      </c>
      <c r="L679" s="278">
        <v>1</v>
      </c>
      <c r="M679" s="279">
        <f t="shared" si="92"/>
        <v>0.13735784313725496</v>
      </c>
      <c r="N679" s="304">
        <f>L679*('College Schedule'!$L$10)*(1+'Government Figures'!$B$8/12)^B679</f>
        <v>8230.5067366337098</v>
      </c>
      <c r="O679" s="304">
        <f t="shared" si="88"/>
        <v>940.21300347019132</v>
      </c>
      <c r="P679" s="304">
        <f t="shared" si="89"/>
        <v>103.17781174855155</v>
      </c>
      <c r="Q679" s="274"/>
      <c r="R679" s="281"/>
      <c r="S679" s="281"/>
      <c r="T679" s="281"/>
      <c r="U679" s="281"/>
      <c r="V679" s="281"/>
      <c r="W679" s="281"/>
      <c r="X679" s="281"/>
      <c r="Y679" s="281"/>
      <c r="Z679" s="281"/>
      <c r="AA679" s="281"/>
      <c r="AB679" s="281"/>
      <c r="AC679" s="281"/>
      <c r="AD679" s="281"/>
    </row>
    <row r="680" spans="1:30" s="288" customFormat="1" x14ac:dyDescent="0.25">
      <c r="A680" s="287"/>
      <c r="B680" s="274">
        <f t="shared" si="90"/>
        <v>665</v>
      </c>
      <c r="C680" s="304">
        <f t="shared" ca="1" si="85"/>
        <v>0</v>
      </c>
      <c r="D680" s="304">
        <f ca="1">IF(ROUND(E679,0)&lt;&gt;0, IF(ROUND(D679,0)&lt;&gt;0, 'Career Comparison'!$F$28-C680, 0), 0)</f>
        <v>0</v>
      </c>
      <c r="E680" s="304">
        <f ca="1">IF(G$7&gt;=B680, E679*(1+'Government Figures'!$D$8/12)-'Career Comparison'!$F$28, 0)</f>
        <v>0</v>
      </c>
      <c r="F680" s="312">
        <f>'College Schedule'!$L$8*(1+'Government Figures'!$B$8/12)^B680</f>
        <v>6170.0353616926859</v>
      </c>
      <c r="G680" s="278">
        <v>1</v>
      </c>
      <c r="H680" s="279">
        <f t="shared" ca="1" si="91"/>
        <v>0.17320110972991043</v>
      </c>
      <c r="I680" s="304">
        <f>G680*('College Schedule'!$L$9)*(1+'Government Figures'!$B$8/12)^B680</f>
        <v>13740.373746435716</v>
      </c>
      <c r="J680" s="304">
        <f t="shared" ca="1" si="86"/>
        <v>5190.4904037566375</v>
      </c>
      <c r="K680" s="304">
        <f t="shared" ca="1" si="87"/>
        <v>567.70564297578051</v>
      </c>
      <c r="L680" s="278">
        <v>1</v>
      </c>
      <c r="M680" s="279">
        <f t="shared" si="92"/>
        <v>0.13735784313725496</v>
      </c>
      <c r="N680" s="304">
        <f>L680*('College Schedule'!$L$10)*(1+'Government Figures'!$B$8/12)^B680</f>
        <v>8244.2242478614316</v>
      </c>
      <c r="O680" s="304">
        <f t="shared" si="88"/>
        <v>941.78002514264153</v>
      </c>
      <c r="P680" s="304">
        <f t="shared" si="89"/>
        <v>103.00642003468349</v>
      </c>
      <c r="Q680" s="274"/>
      <c r="R680" s="281"/>
      <c r="S680" s="281"/>
      <c r="T680" s="281"/>
      <c r="U680" s="281"/>
      <c r="V680" s="281"/>
      <c r="W680" s="281"/>
      <c r="X680" s="281"/>
      <c r="Y680" s="281"/>
      <c r="Z680" s="281"/>
      <c r="AA680" s="281"/>
      <c r="AB680" s="281"/>
      <c r="AC680" s="281"/>
      <c r="AD680" s="281"/>
    </row>
    <row r="681" spans="1:30" s="288" customFormat="1" x14ac:dyDescent="0.25">
      <c r="A681" s="287"/>
      <c r="B681" s="274">
        <f t="shared" si="90"/>
        <v>666</v>
      </c>
      <c r="C681" s="304">
        <f t="shared" ca="1" si="85"/>
        <v>0</v>
      </c>
      <c r="D681" s="304">
        <f ca="1">IF(ROUND(E680,0)&lt;&gt;0, IF(ROUND(D680,0)&lt;&gt;0, 'Career Comparison'!$F$28-C681, 0), 0)</f>
        <v>0</v>
      </c>
      <c r="E681" s="304">
        <f ca="1">IF(G$7&gt;=B681, E680*(1+'Government Figures'!$D$8/12)-'Career Comparison'!$F$28, 0)</f>
        <v>0</v>
      </c>
      <c r="F681" s="312">
        <f>'College Schedule'!$L$8*(1+'Government Figures'!$B$8/12)^B681</f>
        <v>6180.318753962174</v>
      </c>
      <c r="G681" s="278">
        <v>1</v>
      </c>
      <c r="H681" s="279">
        <f t="shared" ca="1" si="91"/>
        <v>0.17320110972991043</v>
      </c>
      <c r="I681" s="304">
        <f>G681*('College Schedule'!$L$9)*(1+'Government Figures'!$B$8/12)^B681</f>
        <v>13763.274369346444</v>
      </c>
      <c r="J681" s="304">
        <f t="shared" ca="1" si="86"/>
        <v>5199.1412210962317</v>
      </c>
      <c r="K681" s="304">
        <f t="shared" ca="1" si="87"/>
        <v>566.76261034625259</v>
      </c>
      <c r="L681" s="278">
        <v>1</v>
      </c>
      <c r="M681" s="279">
        <f t="shared" si="92"/>
        <v>0.13735784313725496</v>
      </c>
      <c r="N681" s="304">
        <f>L681*('College Schedule'!$L$10)*(1+'Government Figures'!$B$8/12)^B681</f>
        <v>8257.9646216078672</v>
      </c>
      <c r="O681" s="304">
        <f t="shared" si="88"/>
        <v>943.34965851787911</v>
      </c>
      <c r="P681" s="304">
        <f t="shared" si="89"/>
        <v>102.83531302465907</v>
      </c>
      <c r="Q681" s="274"/>
      <c r="R681" s="281"/>
      <c r="S681" s="281"/>
      <c r="T681" s="281"/>
      <c r="U681" s="281"/>
      <c r="V681" s="281"/>
      <c r="W681" s="281"/>
      <c r="X681" s="281"/>
      <c r="Y681" s="281"/>
      <c r="Z681" s="281"/>
      <c r="AA681" s="281"/>
      <c r="AB681" s="281"/>
      <c r="AC681" s="281"/>
      <c r="AD681" s="281"/>
    </row>
    <row r="682" spans="1:30" s="288" customFormat="1" x14ac:dyDescent="0.25">
      <c r="A682" s="287"/>
      <c r="B682" s="274">
        <f t="shared" si="90"/>
        <v>667</v>
      </c>
      <c r="C682" s="304">
        <f t="shared" ca="1" si="85"/>
        <v>0</v>
      </c>
      <c r="D682" s="304">
        <f ca="1">IF(ROUND(E681,0)&lt;&gt;0, IF(ROUND(D681,0)&lt;&gt;0, 'Career Comparison'!$F$28-C682, 0), 0)</f>
        <v>0</v>
      </c>
      <c r="E682" s="304">
        <f ca="1">IF(G$7&gt;=B682, E681*(1+'Government Figures'!$D$8/12)-'Career Comparison'!$F$28, 0)</f>
        <v>0</v>
      </c>
      <c r="F682" s="312">
        <f>'College Schedule'!$L$8*(1+'Government Figures'!$B$8/12)^B682</f>
        <v>6190.6192852187787</v>
      </c>
      <c r="G682" s="278">
        <v>1</v>
      </c>
      <c r="H682" s="279">
        <f t="shared" ca="1" si="91"/>
        <v>0.17320110972991043</v>
      </c>
      <c r="I682" s="304">
        <f>G682*('College Schedule'!$L$9)*(1+'Government Figures'!$B$8/12)^B682</f>
        <v>13786.213159962024</v>
      </c>
      <c r="J682" s="304">
        <f t="shared" ca="1" si="86"/>
        <v>5207.8064564647275</v>
      </c>
      <c r="K682" s="304">
        <f t="shared" ca="1" si="87"/>
        <v>565.82114421610959</v>
      </c>
      <c r="L682" s="278">
        <v>1</v>
      </c>
      <c r="M682" s="279">
        <f t="shared" si="92"/>
        <v>0.13735784313725496</v>
      </c>
      <c r="N682" s="304">
        <f>L682*('College Schedule'!$L$10)*(1+'Government Figures'!$B$8/12)^B682</f>
        <v>8271.7278959772157</v>
      </c>
      <c r="O682" s="304">
        <f t="shared" si="88"/>
        <v>944.92190794874296</v>
      </c>
      <c r="P682" s="304">
        <f t="shared" si="89"/>
        <v>102.66449024554842</v>
      </c>
      <c r="Q682" s="274"/>
      <c r="R682" s="281"/>
      <c r="S682" s="281"/>
      <c r="T682" s="281"/>
      <c r="U682" s="281"/>
      <c r="V682" s="281"/>
      <c r="W682" s="281"/>
      <c r="X682" s="281"/>
      <c r="Y682" s="281"/>
      <c r="Z682" s="281"/>
      <c r="AA682" s="281"/>
      <c r="AB682" s="281"/>
      <c r="AC682" s="281"/>
      <c r="AD682" s="281"/>
    </row>
    <row r="683" spans="1:30" s="288" customFormat="1" x14ac:dyDescent="0.25">
      <c r="A683" s="287"/>
      <c r="B683" s="274">
        <f t="shared" si="90"/>
        <v>668</v>
      </c>
      <c r="C683" s="304">
        <f t="shared" ca="1" si="85"/>
        <v>0</v>
      </c>
      <c r="D683" s="304">
        <f ca="1">IF(ROUND(E682,0)&lt;&gt;0, IF(ROUND(D682,0)&lt;&gt;0, 'Career Comparison'!$F$28-C683, 0), 0)</f>
        <v>0</v>
      </c>
      <c r="E683" s="304">
        <f ca="1">IF(G$7&gt;=B683, E682*(1+'Government Figures'!$D$8/12)-'Career Comparison'!$F$28, 0)</f>
        <v>0</v>
      </c>
      <c r="F683" s="312">
        <f>'College Schedule'!$L$8*(1+'Government Figures'!$B$8/12)^B683</f>
        <v>6200.9369840274767</v>
      </c>
      <c r="G683" s="278">
        <v>1</v>
      </c>
      <c r="H683" s="279">
        <f t="shared" ca="1" si="91"/>
        <v>0.17320110972991043</v>
      </c>
      <c r="I683" s="304">
        <f>G683*('College Schedule'!$L$9)*(1+'Government Figures'!$B$8/12)^B683</f>
        <v>13809.190181895294</v>
      </c>
      <c r="J683" s="304">
        <f t="shared" ca="1" si="86"/>
        <v>5216.4861338921683</v>
      </c>
      <c r="K683" s="304">
        <f t="shared" ca="1" si="87"/>
        <v>564.88124198319224</v>
      </c>
      <c r="L683" s="278">
        <v>1</v>
      </c>
      <c r="M683" s="279">
        <f t="shared" si="92"/>
        <v>0.13735784313725496</v>
      </c>
      <c r="N683" s="304">
        <f>L683*('College Schedule'!$L$10)*(1+'Government Figures'!$B$8/12)^B683</f>
        <v>8285.514109137177</v>
      </c>
      <c r="O683" s="304">
        <f t="shared" si="88"/>
        <v>946.4967777953234</v>
      </c>
      <c r="P683" s="304">
        <f t="shared" si="89"/>
        <v>102.49395122520686</v>
      </c>
      <c r="Q683" s="274"/>
      <c r="R683" s="281"/>
      <c r="S683" s="281"/>
      <c r="T683" s="281"/>
      <c r="U683" s="281"/>
      <c r="V683" s="281"/>
      <c r="W683" s="281"/>
      <c r="X683" s="281"/>
      <c r="Y683" s="281"/>
      <c r="Z683" s="281"/>
      <c r="AA683" s="281"/>
      <c r="AB683" s="281"/>
      <c r="AC683" s="281"/>
      <c r="AD683" s="281"/>
    </row>
    <row r="684" spans="1:30" s="288" customFormat="1" x14ac:dyDescent="0.25">
      <c r="A684" s="287"/>
      <c r="B684" s="274">
        <f t="shared" si="90"/>
        <v>669</v>
      </c>
      <c r="C684" s="304">
        <f t="shared" ca="1" si="85"/>
        <v>0</v>
      </c>
      <c r="D684" s="304">
        <f ca="1">IF(ROUND(E683,0)&lt;&gt;0, IF(ROUND(D683,0)&lt;&gt;0, 'Career Comparison'!$F$28-C684, 0), 0)</f>
        <v>0</v>
      </c>
      <c r="E684" s="304">
        <f ca="1">IF(G$7&gt;=B684, E683*(1+'Government Figures'!$D$8/12)-'Career Comparison'!$F$28, 0)</f>
        <v>0</v>
      </c>
      <c r="F684" s="312">
        <f>'College Schedule'!$L$8*(1+'Government Figures'!$B$8/12)^B684</f>
        <v>6211.2718790008576</v>
      </c>
      <c r="G684" s="278">
        <v>1</v>
      </c>
      <c r="H684" s="279">
        <f t="shared" ca="1" si="91"/>
        <v>0.17320110972991043</v>
      </c>
      <c r="I684" s="304">
        <f>G684*('College Schedule'!$L$9)*(1+'Government Figures'!$B$8/12)^B684</f>
        <v>13832.205498865123</v>
      </c>
      <c r="J684" s="304">
        <f t="shared" ca="1" si="86"/>
        <v>5225.1802774486578</v>
      </c>
      <c r="K684" s="304">
        <f t="shared" ca="1" si="87"/>
        <v>563.94290104966569</v>
      </c>
      <c r="L684" s="278">
        <v>1</v>
      </c>
      <c r="M684" s="279">
        <f t="shared" si="92"/>
        <v>0.13735784313725496</v>
      </c>
      <c r="N684" s="304">
        <f>L684*('College Schedule'!$L$10)*(1+'Government Figures'!$B$8/12)^B684</f>
        <v>8299.3232993190759</v>
      </c>
      <c r="O684" s="304">
        <f t="shared" si="88"/>
        <v>948.07427242498306</v>
      </c>
      <c r="P684" s="304">
        <f t="shared" si="89"/>
        <v>102.32369549227472</v>
      </c>
      <c r="Q684" s="274"/>
      <c r="R684" s="281"/>
      <c r="S684" s="281"/>
      <c r="T684" s="281"/>
      <c r="U684" s="281"/>
      <c r="V684" s="281"/>
      <c r="W684" s="281"/>
      <c r="X684" s="281"/>
      <c r="Y684" s="281"/>
      <c r="Z684" s="281"/>
      <c r="AA684" s="281"/>
      <c r="AB684" s="281"/>
      <c r="AC684" s="281"/>
      <c r="AD684" s="281"/>
    </row>
    <row r="685" spans="1:30" s="288" customFormat="1" x14ac:dyDescent="0.25">
      <c r="A685" s="287"/>
      <c r="B685" s="274">
        <f t="shared" si="90"/>
        <v>670</v>
      </c>
      <c r="C685" s="304">
        <f t="shared" ca="1" si="85"/>
        <v>0</v>
      </c>
      <c r="D685" s="304">
        <f ca="1">IF(ROUND(E684,0)&lt;&gt;0, IF(ROUND(D684,0)&lt;&gt;0, 'Career Comparison'!$F$28-C685, 0), 0)</f>
        <v>0</v>
      </c>
      <c r="E685" s="304">
        <f ca="1">IF(G$7&gt;=B685, E684*(1+'Government Figures'!$D$8/12)-'Career Comparison'!$F$28, 0)</f>
        <v>0</v>
      </c>
      <c r="F685" s="312">
        <f>'College Schedule'!$L$8*(1+'Government Figures'!$B$8/12)^B685</f>
        <v>6221.6239987991912</v>
      </c>
      <c r="G685" s="278">
        <v>1</v>
      </c>
      <c r="H685" s="279">
        <f t="shared" ca="1" si="91"/>
        <v>0.17320110972991043</v>
      </c>
      <c r="I685" s="304">
        <f>G685*('College Schedule'!$L$9)*(1+'Government Figures'!$B$8/12)^B685</f>
        <v>13855.259174696563</v>
      </c>
      <c r="J685" s="304">
        <f t="shared" ca="1" si="86"/>
        <v>5233.888911244404</v>
      </c>
      <c r="K685" s="304">
        <f t="shared" ca="1" si="87"/>
        <v>563.00611882200826</v>
      </c>
      <c r="L685" s="278">
        <v>1</v>
      </c>
      <c r="M685" s="279">
        <f t="shared" si="92"/>
        <v>0.13735784313725496</v>
      </c>
      <c r="N685" s="304">
        <f>L685*('College Schedule'!$L$10)*(1+'Government Figures'!$B$8/12)^B685</f>
        <v>8313.1555048179398</v>
      </c>
      <c r="O685" s="304">
        <f t="shared" si="88"/>
        <v>949.65439621235873</v>
      </c>
      <c r="P685" s="304">
        <f t="shared" si="89"/>
        <v>102.15372257617467</v>
      </c>
      <c r="Q685" s="274"/>
      <c r="R685" s="281"/>
      <c r="S685" s="281"/>
      <c r="T685" s="281"/>
      <c r="U685" s="281"/>
      <c r="V685" s="281"/>
      <c r="W685" s="281"/>
      <c r="X685" s="281"/>
      <c r="Y685" s="281"/>
      <c r="Z685" s="281"/>
      <c r="AA685" s="281"/>
      <c r="AB685" s="281"/>
      <c r="AC685" s="281"/>
      <c r="AD685" s="281"/>
    </row>
    <row r="686" spans="1:30" s="288" customFormat="1" x14ac:dyDescent="0.25">
      <c r="A686" s="287"/>
      <c r="B686" s="274">
        <f t="shared" si="90"/>
        <v>671</v>
      </c>
      <c r="C686" s="304">
        <f t="shared" ca="1" si="85"/>
        <v>0</v>
      </c>
      <c r="D686" s="304">
        <f ca="1">IF(ROUND(E685,0)&lt;&gt;0, IF(ROUND(D685,0)&lt;&gt;0, 'Career Comparison'!$F$28-C686, 0), 0)</f>
        <v>0</v>
      </c>
      <c r="E686" s="304">
        <f ca="1">IF(G$7&gt;=B686, E685*(1+'Government Figures'!$D$8/12)-'Career Comparison'!$F$28, 0)</f>
        <v>0</v>
      </c>
      <c r="F686" s="312">
        <f>'College Schedule'!$L$8*(1+'Government Figures'!$B$8/12)^B686</f>
        <v>6231.9933721305251</v>
      </c>
      <c r="G686" s="278">
        <v>1</v>
      </c>
      <c r="H686" s="279">
        <f t="shared" ca="1" si="91"/>
        <v>0.17320110972991043</v>
      </c>
      <c r="I686" s="304">
        <f>G686*('College Schedule'!$L$9)*(1+'Government Figures'!$B$8/12)^B686</f>
        <v>13878.351273321061</v>
      </c>
      <c r="J686" s="304">
        <f t="shared" ca="1" si="86"/>
        <v>5242.6120594298127</v>
      </c>
      <c r="K686" s="304">
        <f t="shared" ca="1" si="87"/>
        <v>562.07089271100824</v>
      </c>
      <c r="L686" s="278">
        <v>1</v>
      </c>
      <c r="M686" s="279">
        <f t="shared" si="92"/>
        <v>0.13735784313725496</v>
      </c>
      <c r="N686" s="304">
        <f>L686*('College Schedule'!$L$10)*(1+'Government Figures'!$B$8/12)^B686</f>
        <v>8327.0107639926373</v>
      </c>
      <c r="O686" s="304">
        <f t="shared" si="88"/>
        <v>951.23715353937769</v>
      </c>
      <c r="P686" s="304">
        <f t="shared" si="89"/>
        <v>101.98403200711105</v>
      </c>
      <c r="Q686" s="274"/>
      <c r="R686" s="281"/>
      <c r="S686" s="281"/>
      <c r="T686" s="281"/>
      <c r="U686" s="281"/>
      <c r="V686" s="281"/>
      <c r="W686" s="281"/>
      <c r="X686" s="281"/>
      <c r="Y686" s="281"/>
      <c r="Z686" s="281"/>
      <c r="AA686" s="281"/>
      <c r="AB686" s="281"/>
      <c r="AC686" s="281"/>
      <c r="AD686" s="281"/>
    </row>
    <row r="687" spans="1:30" s="288" customFormat="1" x14ac:dyDescent="0.25">
      <c r="A687" s="287"/>
      <c r="B687" s="274">
        <f t="shared" si="90"/>
        <v>672</v>
      </c>
      <c r="C687" s="304">
        <f t="shared" ca="1" si="85"/>
        <v>0</v>
      </c>
      <c r="D687" s="304">
        <f ca="1">IF(ROUND(E686,0)&lt;&gt;0, IF(ROUND(D686,0)&lt;&gt;0, 'Career Comparison'!$F$28-C687, 0), 0)</f>
        <v>0</v>
      </c>
      <c r="E687" s="304">
        <f ca="1">IF(G$7&gt;=B687, E686*(1+'Government Figures'!$D$8/12)-'Career Comparison'!$F$28, 0)</f>
        <v>0</v>
      </c>
      <c r="F687" s="312">
        <f>'College Schedule'!$L$8*(1+'Government Figures'!$B$8/12)^B687</f>
        <v>6242.3800277507426</v>
      </c>
      <c r="G687" s="278">
        <v>1</v>
      </c>
      <c r="H687" s="279">
        <f t="shared" ca="1" si="91"/>
        <v>0.17320110972991043</v>
      </c>
      <c r="I687" s="304">
        <f>G687*('College Schedule'!$L$9)*(1+'Government Figures'!$B$8/12)^B687</f>
        <v>13901.481858776595</v>
      </c>
      <c r="J687" s="304">
        <f t="shared" ca="1" si="86"/>
        <v>5251.3497461955276</v>
      </c>
      <c r="K687" s="304">
        <f t="shared" ca="1" si="87"/>
        <v>561.13722013175379</v>
      </c>
      <c r="L687" s="278">
        <v>1</v>
      </c>
      <c r="M687" s="279">
        <f t="shared" si="92"/>
        <v>0.13735784313725496</v>
      </c>
      <c r="N687" s="304">
        <f>L687*('College Schedule'!$L$10)*(1+'Government Figures'!$B$8/12)^B687</f>
        <v>8340.889115265958</v>
      </c>
      <c r="O687" s="304">
        <f t="shared" si="88"/>
        <v>952.82254879527682</v>
      </c>
      <c r="P687" s="304">
        <f t="shared" si="89"/>
        <v>101.81462331606934</v>
      </c>
      <c r="Q687" s="274"/>
      <c r="R687" s="281"/>
      <c r="S687" s="281"/>
      <c r="T687" s="281"/>
      <c r="U687" s="281"/>
      <c r="V687" s="281"/>
      <c r="W687" s="281"/>
      <c r="X687" s="281"/>
      <c r="Y687" s="281"/>
      <c r="Z687" s="281"/>
      <c r="AA687" s="281"/>
      <c r="AB687" s="281"/>
      <c r="AC687" s="281"/>
      <c r="AD687" s="281"/>
    </row>
    <row r="688" spans="1:30" s="288" customFormat="1" x14ac:dyDescent="0.25">
      <c r="A688" s="287"/>
      <c r="B688" s="274">
        <f t="shared" si="90"/>
        <v>673</v>
      </c>
      <c r="C688" s="304">
        <f t="shared" ca="1" si="85"/>
        <v>0</v>
      </c>
      <c r="D688" s="304">
        <f ca="1">IF(ROUND(E687,0)&lt;&gt;0, IF(ROUND(D687,0)&lt;&gt;0, 'Career Comparison'!$F$28-C688, 0), 0)</f>
        <v>0</v>
      </c>
      <c r="E688" s="304">
        <f ca="1">IF(G$7&gt;=B688, E687*(1+'Government Figures'!$D$8/12)-'Career Comparison'!$F$28, 0)</f>
        <v>0</v>
      </c>
      <c r="F688" s="312">
        <f>'College Schedule'!$L$8*(1+'Government Figures'!$B$8/12)^B688</f>
        <v>6252.7839944636617</v>
      </c>
      <c r="G688" s="278">
        <v>1</v>
      </c>
      <c r="H688" s="279">
        <f t="shared" ca="1" si="91"/>
        <v>0.17320110972991043</v>
      </c>
      <c r="I688" s="304">
        <f>G688*('College Schedule'!$L$9)*(1+'Government Figures'!$B$8/12)^B688</f>
        <v>13924.650995207894</v>
      </c>
      <c r="J688" s="304">
        <f t="shared" ca="1" si="86"/>
        <v>5260.1019957725239</v>
      </c>
      <c r="K688" s="304">
        <f t="shared" ca="1" si="87"/>
        <v>560.20509850362839</v>
      </c>
      <c r="L688" s="278">
        <v>1</v>
      </c>
      <c r="M688" s="279">
        <f t="shared" si="92"/>
        <v>0.13735784313725496</v>
      </c>
      <c r="N688" s="304">
        <f>L688*('College Schedule'!$L$10)*(1+'Government Figures'!$B$8/12)^B688</f>
        <v>8354.7905971247383</v>
      </c>
      <c r="O688" s="304">
        <f t="shared" si="88"/>
        <v>954.41058637660444</v>
      </c>
      <c r="P688" s="304">
        <f t="shared" si="89"/>
        <v>101.64549603481363</v>
      </c>
      <c r="Q688" s="274"/>
      <c r="R688" s="281"/>
      <c r="S688" s="281"/>
      <c r="T688" s="281"/>
      <c r="U688" s="281"/>
      <c r="V688" s="281"/>
      <c r="W688" s="281"/>
      <c r="X688" s="281"/>
      <c r="Y688" s="281"/>
      <c r="Z688" s="281"/>
      <c r="AA688" s="281"/>
      <c r="AB688" s="281"/>
      <c r="AC688" s="281"/>
      <c r="AD688" s="281"/>
    </row>
    <row r="689" spans="1:30" s="288" customFormat="1" x14ac:dyDescent="0.25">
      <c r="A689" s="287"/>
      <c r="B689" s="274">
        <f t="shared" si="90"/>
        <v>674</v>
      </c>
      <c r="C689" s="304">
        <f t="shared" ref="C689:C726" ca="1" si="93">E688-E689</f>
        <v>0</v>
      </c>
      <c r="D689" s="304">
        <f ca="1">IF(ROUND(E688,0)&lt;&gt;0, IF(ROUND(D688,0)&lt;&gt;0, 'Career Comparison'!$F$28-C689, 0), 0)</f>
        <v>0</v>
      </c>
      <c r="E689" s="304">
        <f ca="1">IF(G$7&gt;=B689, E688*(1+'Government Figures'!$D$8/12)-'Career Comparison'!$F$28, 0)</f>
        <v>0</v>
      </c>
      <c r="F689" s="312">
        <f>'College Schedule'!$L$8*(1+'Government Figures'!$B$8/12)^B689</f>
        <v>6263.205301121101</v>
      </c>
      <c r="G689" s="278">
        <v>1</v>
      </c>
      <c r="H689" s="279">
        <f t="shared" ca="1" si="91"/>
        <v>0.17320110972991043</v>
      </c>
      <c r="I689" s="304">
        <f>G689*('College Schedule'!$L$9)*(1+'Government Figures'!$B$8/12)^B689</f>
        <v>13947.858746866572</v>
      </c>
      <c r="J689" s="304">
        <f t="shared" ref="J689:J726" ca="1" si="94">I689*(1-H689)-F689-C689-D689</f>
        <v>5268.8688324321429</v>
      </c>
      <c r="K689" s="304">
        <f t="shared" ref="K689:K726" ca="1" si="95">J689/(1+($G$9/12))^B689</f>
        <v>559.2745252502998</v>
      </c>
      <c r="L689" s="278">
        <v>1</v>
      </c>
      <c r="M689" s="279">
        <f t="shared" si="92"/>
        <v>0.13735784313725496</v>
      </c>
      <c r="N689" s="304">
        <f>L689*('College Schedule'!$L$10)*(1+'Government Figures'!$B$8/12)^B689</f>
        <v>8368.7152481199446</v>
      </c>
      <c r="O689" s="304">
        <f t="shared" ref="O689:O726" si="96">N689*(1-M689)-F689</f>
        <v>956.00127068723032</v>
      </c>
      <c r="P689" s="304">
        <f t="shared" ref="P689:P726" si="97">O689/(1+($G$9/12))^B689</f>
        <v>101.47664969588519</v>
      </c>
      <c r="Q689" s="274"/>
      <c r="R689" s="281"/>
      <c r="S689" s="281"/>
      <c r="T689" s="281"/>
      <c r="U689" s="281"/>
      <c r="V689" s="281"/>
      <c r="W689" s="281"/>
      <c r="X689" s="281"/>
      <c r="Y689" s="281"/>
      <c r="Z689" s="281"/>
      <c r="AA689" s="281"/>
      <c r="AB689" s="281"/>
      <c r="AC689" s="281"/>
      <c r="AD689" s="281"/>
    </row>
    <row r="690" spans="1:30" s="288" customFormat="1" x14ac:dyDescent="0.25">
      <c r="A690" s="287"/>
      <c r="B690" s="274">
        <f t="shared" si="90"/>
        <v>675</v>
      </c>
      <c r="C690" s="304">
        <f t="shared" ca="1" si="93"/>
        <v>0</v>
      </c>
      <c r="D690" s="304">
        <f ca="1">IF(ROUND(E689,0)&lt;&gt;0, IF(ROUND(D689,0)&lt;&gt;0, 'Career Comparison'!$F$28-C690, 0), 0)</f>
        <v>0</v>
      </c>
      <c r="E690" s="304">
        <f ca="1">IF(G$7&gt;=B690, E689*(1+'Government Figures'!$D$8/12)-'Career Comparison'!$F$28, 0)</f>
        <v>0</v>
      </c>
      <c r="F690" s="312">
        <f>'College Schedule'!$L$8*(1+'Government Figures'!$B$8/12)^B690</f>
        <v>6273.6439766229705</v>
      </c>
      <c r="G690" s="278">
        <v>1</v>
      </c>
      <c r="H690" s="279">
        <f t="shared" ca="1" si="91"/>
        <v>0.17320110972991043</v>
      </c>
      <c r="I690" s="304">
        <f>G690*('College Schedule'!$L$9)*(1+'Government Figures'!$B$8/12)^B690</f>
        <v>13971.105178111351</v>
      </c>
      <c r="J690" s="304">
        <f t="shared" ca="1" si="94"/>
        <v>5277.6502804861975</v>
      </c>
      <c r="K690" s="304">
        <f t="shared" ca="1" si="95"/>
        <v>558.3454977997178</v>
      </c>
      <c r="L690" s="278">
        <v>1</v>
      </c>
      <c r="M690" s="279">
        <f t="shared" si="92"/>
        <v>0.13735784313725496</v>
      </c>
      <c r="N690" s="304">
        <f>L690*('College Schedule'!$L$10)*(1+'Government Figures'!$B$8/12)^B690</f>
        <v>8382.6631068668121</v>
      </c>
      <c r="O690" s="304">
        <f t="shared" si="96"/>
        <v>957.59460613837564</v>
      </c>
      <c r="P690" s="304">
        <f t="shared" si="97"/>
        <v>101.30808383260293</v>
      </c>
      <c r="Q690" s="274"/>
      <c r="R690" s="281"/>
      <c r="S690" s="281"/>
      <c r="T690" s="281"/>
      <c r="U690" s="281"/>
      <c r="V690" s="281"/>
      <c r="W690" s="281"/>
      <c r="X690" s="281"/>
      <c r="Y690" s="281"/>
      <c r="Z690" s="281"/>
      <c r="AA690" s="281"/>
      <c r="AB690" s="281"/>
      <c r="AC690" s="281"/>
      <c r="AD690" s="281"/>
    </row>
    <row r="691" spans="1:30" s="288" customFormat="1" x14ac:dyDescent="0.25">
      <c r="A691" s="287"/>
      <c r="B691" s="274">
        <f t="shared" si="90"/>
        <v>676</v>
      </c>
      <c r="C691" s="304">
        <f t="shared" ca="1" si="93"/>
        <v>0</v>
      </c>
      <c r="D691" s="304">
        <f ca="1">IF(ROUND(E690,0)&lt;&gt;0, IF(ROUND(D690,0)&lt;&gt;0, 'Career Comparison'!$F$28-C691, 0), 0)</f>
        <v>0</v>
      </c>
      <c r="E691" s="304">
        <f ca="1">IF(G$7&gt;=B691, E690*(1+'Government Figures'!$D$8/12)-'Career Comparison'!$F$28, 0)</f>
        <v>0</v>
      </c>
      <c r="F691" s="312">
        <f>'College Schedule'!$L$8*(1+'Government Figures'!$B$8/12)^B691</f>
        <v>6284.1000499173424</v>
      </c>
      <c r="G691" s="278">
        <v>1</v>
      </c>
      <c r="H691" s="279">
        <f t="shared" ca="1" si="91"/>
        <v>0.17320110972991043</v>
      </c>
      <c r="I691" s="304">
        <f>G691*('College Schedule'!$L$9)*(1+'Government Figures'!$B$8/12)^B691</f>
        <v>13994.390353408206</v>
      </c>
      <c r="J691" s="304">
        <f t="shared" ca="1" si="94"/>
        <v>5286.4463642870087</v>
      </c>
      <c r="K691" s="304">
        <f t="shared" ca="1" si="95"/>
        <v>557.41801358410385</v>
      </c>
      <c r="L691" s="278">
        <v>1</v>
      </c>
      <c r="M691" s="279">
        <f t="shared" si="92"/>
        <v>0.13735784313725496</v>
      </c>
      <c r="N691" s="304">
        <f>L691*('College Schedule'!$L$10)*(1+'Government Figures'!$B$8/12)^B691</f>
        <v>8396.6342120449244</v>
      </c>
      <c r="O691" s="304">
        <f t="shared" si="96"/>
        <v>959.19059714860668</v>
      </c>
      <c r="P691" s="304">
        <f t="shared" si="97"/>
        <v>101.13979797906048</v>
      </c>
      <c r="Q691" s="274"/>
      <c r="R691" s="281"/>
      <c r="S691" s="281"/>
      <c r="T691" s="281"/>
      <c r="U691" s="281"/>
      <c r="V691" s="281"/>
      <c r="W691" s="281"/>
      <c r="X691" s="281"/>
      <c r="Y691" s="281"/>
      <c r="Z691" s="281"/>
      <c r="AA691" s="281"/>
      <c r="AB691" s="281"/>
      <c r="AC691" s="281"/>
      <c r="AD691" s="281"/>
    </row>
    <row r="692" spans="1:30" s="288" customFormat="1" x14ac:dyDescent="0.25">
      <c r="A692" s="287"/>
      <c r="B692" s="274">
        <f t="shared" si="90"/>
        <v>677</v>
      </c>
      <c r="C692" s="304">
        <f t="shared" ca="1" si="93"/>
        <v>0</v>
      </c>
      <c r="D692" s="304">
        <f ca="1">IF(ROUND(E691,0)&lt;&gt;0, IF(ROUND(D691,0)&lt;&gt;0, 'Career Comparison'!$F$28-C692, 0), 0)</f>
        <v>0</v>
      </c>
      <c r="E692" s="304">
        <f ca="1">IF(G$7&gt;=B692, E691*(1+'Government Figures'!$D$8/12)-'Career Comparison'!$F$28, 0)</f>
        <v>0</v>
      </c>
      <c r="F692" s="312">
        <f>'College Schedule'!$L$8*(1+'Government Figures'!$B$8/12)^B692</f>
        <v>6294.5735500005385</v>
      </c>
      <c r="G692" s="278">
        <v>1</v>
      </c>
      <c r="H692" s="279">
        <f t="shared" ca="1" si="91"/>
        <v>0.17320110972991043</v>
      </c>
      <c r="I692" s="304">
        <f>G692*('College Schedule'!$L$9)*(1+'Government Figures'!$B$8/12)^B692</f>
        <v>14017.714337330552</v>
      </c>
      <c r="J692" s="304">
        <f t="shared" ca="1" si="94"/>
        <v>5295.2571082274853</v>
      </c>
      <c r="K692" s="304">
        <f t="shared" ca="1" si="95"/>
        <v>556.49207003994411</v>
      </c>
      <c r="L692" s="278">
        <v>1</v>
      </c>
      <c r="M692" s="279">
        <f t="shared" si="92"/>
        <v>0.13735784313725496</v>
      </c>
      <c r="N692" s="304">
        <f>L692*('College Schedule'!$L$10)*(1+'Government Figures'!$B$8/12)^B692</f>
        <v>8410.6286023983321</v>
      </c>
      <c r="O692" s="304">
        <f t="shared" si="96"/>
        <v>960.78924814385391</v>
      </c>
      <c r="P692" s="304">
        <f t="shared" si="97"/>
        <v>100.9717916701251</v>
      </c>
      <c r="Q692" s="274"/>
      <c r="R692" s="281"/>
      <c r="S692" s="281"/>
      <c r="T692" s="281"/>
      <c r="U692" s="281"/>
      <c r="V692" s="281"/>
      <c r="W692" s="281"/>
      <c r="X692" s="281"/>
      <c r="Y692" s="281"/>
      <c r="Z692" s="281"/>
      <c r="AA692" s="281"/>
      <c r="AB692" s="281"/>
      <c r="AC692" s="281"/>
      <c r="AD692" s="281"/>
    </row>
    <row r="693" spans="1:30" s="288" customFormat="1" x14ac:dyDescent="0.25">
      <c r="A693" s="287"/>
      <c r="B693" s="274">
        <f t="shared" si="90"/>
        <v>678</v>
      </c>
      <c r="C693" s="304">
        <f t="shared" ca="1" si="93"/>
        <v>0</v>
      </c>
      <c r="D693" s="304">
        <f ca="1">IF(ROUND(E692,0)&lt;&gt;0, IF(ROUND(D692,0)&lt;&gt;0, 'Career Comparison'!$F$28-C693, 0), 0)</f>
        <v>0</v>
      </c>
      <c r="E693" s="304">
        <f ca="1">IF(G$7&gt;=B693, E692*(1+'Government Figures'!$D$8/12)-'Career Comparison'!$F$28, 0)</f>
        <v>0</v>
      </c>
      <c r="F693" s="312">
        <f>'College Schedule'!$L$8*(1+'Government Figures'!$B$8/12)^B693</f>
        <v>6305.0645059172057</v>
      </c>
      <c r="G693" s="278">
        <v>1</v>
      </c>
      <c r="H693" s="279">
        <f t="shared" ca="1" si="91"/>
        <v>0.17320110972991043</v>
      </c>
      <c r="I693" s="304">
        <f>G693*('College Schedule'!$L$9)*(1+'Government Figures'!$B$8/12)^B693</f>
        <v>14041.077194559437</v>
      </c>
      <c r="J693" s="304">
        <f t="shared" ca="1" si="94"/>
        <v>5304.0825367411999</v>
      </c>
      <c r="K693" s="304">
        <f t="shared" ca="1" si="95"/>
        <v>555.56766460798406</v>
      </c>
      <c r="L693" s="278">
        <v>1</v>
      </c>
      <c r="M693" s="279">
        <f t="shared" si="92"/>
        <v>0.13735784313725496</v>
      </c>
      <c r="N693" s="304">
        <f>L693*('College Schedule'!$L$10)*(1+'Government Figures'!$B$8/12)^B693</f>
        <v>8424.6463167356633</v>
      </c>
      <c r="O693" s="304">
        <f t="shared" si="96"/>
        <v>962.39056355742741</v>
      </c>
      <c r="P693" s="304">
        <f t="shared" si="97"/>
        <v>100.80406444143721</v>
      </c>
      <c r="Q693" s="274"/>
      <c r="R693" s="281"/>
      <c r="S693" s="281"/>
      <c r="T693" s="281"/>
      <c r="U693" s="281"/>
      <c r="V693" s="281"/>
      <c r="W693" s="281"/>
      <c r="X693" s="281"/>
      <c r="Y693" s="281"/>
      <c r="Z693" s="281"/>
      <c r="AA693" s="281"/>
      <c r="AB693" s="281"/>
      <c r="AC693" s="281"/>
      <c r="AD693" s="281"/>
    </row>
    <row r="694" spans="1:30" s="288" customFormat="1" x14ac:dyDescent="0.25">
      <c r="A694" s="287"/>
      <c r="B694" s="274">
        <f t="shared" si="90"/>
        <v>679</v>
      </c>
      <c r="C694" s="304">
        <f t="shared" ca="1" si="93"/>
        <v>0</v>
      </c>
      <c r="D694" s="304">
        <f ca="1">IF(ROUND(E693,0)&lt;&gt;0, IF(ROUND(D693,0)&lt;&gt;0, 'Career Comparison'!$F$28-C694, 0), 0)</f>
        <v>0</v>
      </c>
      <c r="E694" s="304">
        <f ca="1">IF(G$7&gt;=B694, E693*(1+'Government Figures'!$D$8/12)-'Career Comparison'!$F$28, 0)</f>
        <v>0</v>
      </c>
      <c r="F694" s="312">
        <f>'College Schedule'!$L$8*(1+'Government Figures'!$B$8/12)^B694</f>
        <v>6315.5729467604015</v>
      </c>
      <c r="G694" s="278">
        <v>1</v>
      </c>
      <c r="H694" s="279">
        <f t="shared" ca="1" si="91"/>
        <v>0.17320110972991043</v>
      </c>
      <c r="I694" s="304">
        <f>G694*('College Schedule'!$L$9)*(1+'Government Figures'!$B$8/12)^B694</f>
        <v>14064.478989883704</v>
      </c>
      <c r="J694" s="304">
        <f t="shared" ca="1" si="94"/>
        <v>5312.9226743024356</v>
      </c>
      <c r="K694" s="304">
        <f t="shared" ca="1" si="95"/>
        <v>554.6447947332199</v>
      </c>
      <c r="L694" s="278">
        <v>1</v>
      </c>
      <c r="M694" s="279">
        <f t="shared" si="92"/>
        <v>0.13735784313725496</v>
      </c>
      <c r="N694" s="304">
        <f>L694*('College Schedule'!$L$10)*(1+'Government Figures'!$B$8/12)^B694</f>
        <v>8438.6873939302241</v>
      </c>
      <c r="O694" s="304">
        <f t="shared" si="96"/>
        <v>963.9945478300242</v>
      </c>
      <c r="P694" s="304">
        <f t="shared" si="97"/>
        <v>100.63661582940831</v>
      </c>
      <c r="Q694" s="274"/>
      <c r="R694" s="281"/>
      <c r="S694" s="281"/>
      <c r="T694" s="281"/>
      <c r="U694" s="281"/>
      <c r="V694" s="281"/>
      <c r="W694" s="281"/>
      <c r="X694" s="281"/>
      <c r="Y694" s="281"/>
      <c r="Z694" s="281"/>
      <c r="AA694" s="281"/>
      <c r="AB694" s="281"/>
      <c r="AC694" s="281"/>
      <c r="AD694" s="281"/>
    </row>
    <row r="695" spans="1:30" s="288" customFormat="1" x14ac:dyDescent="0.25">
      <c r="A695" s="287"/>
      <c r="B695" s="274">
        <f t="shared" si="90"/>
        <v>680</v>
      </c>
      <c r="C695" s="304">
        <f t="shared" ca="1" si="93"/>
        <v>0</v>
      </c>
      <c r="D695" s="304">
        <f ca="1">IF(ROUND(E694,0)&lt;&gt;0, IF(ROUND(D694,0)&lt;&gt;0, 'Career Comparison'!$F$28-C695, 0), 0)</f>
        <v>0</v>
      </c>
      <c r="E695" s="304">
        <f ca="1">IF(G$7&gt;=B695, E694*(1+'Government Figures'!$D$8/12)-'Career Comparison'!$F$28, 0)</f>
        <v>0</v>
      </c>
      <c r="F695" s="312">
        <f>'College Schedule'!$L$8*(1+'Government Figures'!$B$8/12)^B695</f>
        <v>6326.0989016716712</v>
      </c>
      <c r="G695" s="278">
        <v>1</v>
      </c>
      <c r="H695" s="279">
        <f t="shared" ca="1" si="91"/>
        <v>0.17320110972991043</v>
      </c>
      <c r="I695" s="304">
        <f>G695*('College Schedule'!$L$9)*(1+'Government Figures'!$B$8/12)^B695</f>
        <v>14087.919788200181</v>
      </c>
      <c r="J695" s="304">
        <f t="shared" ca="1" si="94"/>
        <v>5321.7775454262728</v>
      </c>
      <c r="K695" s="304">
        <f t="shared" ca="1" si="95"/>
        <v>553.72345786489234</v>
      </c>
      <c r="L695" s="278">
        <v>1</v>
      </c>
      <c r="M695" s="279">
        <f t="shared" si="92"/>
        <v>0.13735784313725496</v>
      </c>
      <c r="N695" s="304">
        <f>L695*('College Schedule'!$L$10)*(1+'Government Figures'!$B$8/12)^B695</f>
        <v>8452.7518729201111</v>
      </c>
      <c r="O695" s="304">
        <f t="shared" si="96"/>
        <v>965.60120540974094</v>
      </c>
      <c r="P695" s="304">
        <f t="shared" si="97"/>
        <v>100.46944537121996</v>
      </c>
      <c r="Q695" s="274"/>
      <c r="R695" s="281"/>
      <c r="S695" s="281"/>
      <c r="T695" s="281"/>
      <c r="U695" s="281"/>
      <c r="V695" s="281"/>
      <c r="W695" s="281"/>
      <c r="X695" s="281"/>
      <c r="Y695" s="281"/>
      <c r="Z695" s="281"/>
      <c r="AA695" s="281"/>
      <c r="AB695" s="281"/>
      <c r="AC695" s="281"/>
      <c r="AD695" s="281"/>
    </row>
    <row r="696" spans="1:30" s="288" customFormat="1" x14ac:dyDescent="0.25">
      <c r="A696" s="287"/>
      <c r="B696" s="274">
        <f t="shared" si="90"/>
        <v>681</v>
      </c>
      <c r="C696" s="304">
        <f t="shared" ca="1" si="93"/>
        <v>0</v>
      </c>
      <c r="D696" s="304">
        <f ca="1">IF(ROUND(E695,0)&lt;&gt;0, IF(ROUND(D695,0)&lt;&gt;0, 'Career Comparison'!$F$28-C696, 0), 0)</f>
        <v>0</v>
      </c>
      <c r="E696" s="304">
        <f ca="1">IF(G$7&gt;=B696, E695*(1+'Government Figures'!$D$8/12)-'Career Comparison'!$F$28, 0)</f>
        <v>0</v>
      </c>
      <c r="F696" s="312">
        <f>'College Schedule'!$L$8*(1+'Government Figures'!$B$8/12)^B696</f>
        <v>6336.6423998411228</v>
      </c>
      <c r="G696" s="278">
        <v>1</v>
      </c>
      <c r="H696" s="279">
        <f t="shared" ca="1" si="91"/>
        <v>0.17320110972991043</v>
      </c>
      <c r="I696" s="304">
        <f>G696*('College Schedule'!$L$9)*(1+'Government Figures'!$B$8/12)^B696</f>
        <v>14111.399654513845</v>
      </c>
      <c r="J696" s="304">
        <f t="shared" ca="1" si="94"/>
        <v>5330.6471746686493</v>
      </c>
      <c r="K696" s="304">
        <f t="shared" ca="1" si="95"/>
        <v>552.80365145647886</v>
      </c>
      <c r="L696" s="278">
        <v>1</v>
      </c>
      <c r="M696" s="279">
        <f t="shared" si="92"/>
        <v>0.13735784313725496</v>
      </c>
      <c r="N696" s="304">
        <f>L696*('College Schedule'!$L$10)*(1+'Government Figures'!$B$8/12)^B696</f>
        <v>8466.8397927083097</v>
      </c>
      <c r="O696" s="304">
        <f t="shared" si="96"/>
        <v>967.21054075209031</v>
      </c>
      <c r="P696" s="304">
        <f t="shared" si="97"/>
        <v>100.30255260482257</v>
      </c>
      <c r="Q696" s="274"/>
      <c r="R696" s="281"/>
      <c r="S696" s="281"/>
      <c r="T696" s="281"/>
      <c r="U696" s="281"/>
      <c r="V696" s="281"/>
      <c r="W696" s="281"/>
      <c r="X696" s="281"/>
      <c r="Y696" s="281"/>
      <c r="Z696" s="281"/>
      <c r="AA696" s="281"/>
      <c r="AB696" s="281"/>
      <c r="AC696" s="281"/>
      <c r="AD696" s="281"/>
    </row>
    <row r="697" spans="1:30" s="288" customFormat="1" x14ac:dyDescent="0.25">
      <c r="A697" s="287"/>
      <c r="B697" s="274">
        <f t="shared" si="90"/>
        <v>682</v>
      </c>
      <c r="C697" s="304">
        <f t="shared" ca="1" si="93"/>
        <v>0</v>
      </c>
      <c r="D697" s="304">
        <f ca="1">IF(ROUND(E696,0)&lt;&gt;0, IF(ROUND(D696,0)&lt;&gt;0, 'Career Comparison'!$F$28-C697, 0), 0)</f>
        <v>0</v>
      </c>
      <c r="E697" s="304">
        <f ca="1">IF(G$7&gt;=B697, E696*(1+'Government Figures'!$D$8/12)-'Career Comparison'!$F$28, 0)</f>
        <v>0</v>
      </c>
      <c r="F697" s="312">
        <f>'College Schedule'!$L$8*(1+'Government Figures'!$B$8/12)^B697</f>
        <v>6347.2034705075239</v>
      </c>
      <c r="G697" s="278">
        <v>1</v>
      </c>
      <c r="H697" s="279">
        <f t="shared" ca="1" si="91"/>
        <v>0.17320110972991043</v>
      </c>
      <c r="I697" s="304">
        <f>G697*('College Schedule'!$L$9)*(1+'Government Figures'!$B$8/12)^B697</f>
        <v>14134.918653938033</v>
      </c>
      <c r="J697" s="304">
        <f t="shared" ca="1" si="94"/>
        <v>5339.53158662643</v>
      </c>
      <c r="K697" s="304">
        <f t="shared" ca="1" si="95"/>
        <v>551.88537296568722</v>
      </c>
      <c r="L697" s="278">
        <v>1</v>
      </c>
      <c r="M697" s="279">
        <f t="shared" si="92"/>
        <v>0.13735784313725496</v>
      </c>
      <c r="N697" s="304">
        <f>L697*('College Schedule'!$L$10)*(1+'Government Figures'!$B$8/12)^B697</f>
        <v>8480.9511923628215</v>
      </c>
      <c r="O697" s="304">
        <f t="shared" si="96"/>
        <v>968.8225583200101</v>
      </c>
      <c r="P697" s="304">
        <f t="shared" si="97"/>
        <v>100.1359370689341</v>
      </c>
      <c r="Q697" s="274"/>
      <c r="R697" s="281"/>
      <c r="S697" s="281"/>
      <c r="T697" s="281"/>
      <c r="U697" s="281"/>
      <c r="V697" s="281"/>
      <c r="W697" s="281"/>
      <c r="X697" s="281"/>
      <c r="Y697" s="281"/>
      <c r="Z697" s="281"/>
      <c r="AA697" s="281"/>
      <c r="AB697" s="281"/>
      <c r="AC697" s="281"/>
      <c r="AD697" s="281"/>
    </row>
    <row r="698" spans="1:30" s="288" customFormat="1" x14ac:dyDescent="0.25">
      <c r="A698" s="287"/>
      <c r="B698" s="274">
        <f t="shared" si="90"/>
        <v>683</v>
      </c>
      <c r="C698" s="304">
        <f t="shared" ca="1" si="93"/>
        <v>0</v>
      </c>
      <c r="D698" s="304">
        <f ca="1">IF(ROUND(E697,0)&lt;&gt;0, IF(ROUND(D697,0)&lt;&gt;0, 'Career Comparison'!$F$28-C698, 0), 0)</f>
        <v>0</v>
      </c>
      <c r="E698" s="304">
        <f ca="1">IF(G$7&gt;=B698, E697*(1+'Government Figures'!$D$8/12)-'Career Comparison'!$F$28, 0)</f>
        <v>0</v>
      </c>
      <c r="F698" s="312">
        <f>'College Schedule'!$L$8*(1+'Government Figures'!$B$8/12)^B698</f>
        <v>6357.782142958371</v>
      </c>
      <c r="G698" s="278">
        <v>1</v>
      </c>
      <c r="H698" s="279">
        <f t="shared" ca="1" si="91"/>
        <v>0.17320110972991043</v>
      </c>
      <c r="I698" s="304">
        <f>G698*('College Schedule'!$L$9)*(1+'Government Figures'!$B$8/12)^B698</f>
        <v>14158.476851694601</v>
      </c>
      <c r="J698" s="304">
        <f t="shared" ca="1" si="94"/>
        <v>5348.4308059374762</v>
      </c>
      <c r="K698" s="304">
        <f t="shared" ca="1" si="95"/>
        <v>550.96861985444866</v>
      </c>
      <c r="L698" s="278">
        <v>1</v>
      </c>
      <c r="M698" s="279">
        <f t="shared" si="92"/>
        <v>0.13735784313725496</v>
      </c>
      <c r="N698" s="304">
        <f>L698*('College Schedule'!$L$10)*(1+'Government Figures'!$B$8/12)^B698</f>
        <v>8495.0861110167607</v>
      </c>
      <c r="O698" s="304">
        <f t="shared" si="96"/>
        <v>970.43726258387596</v>
      </c>
      <c r="P698" s="304">
        <f t="shared" si="97"/>
        <v>99.969598303038751</v>
      </c>
      <c r="Q698" s="274"/>
      <c r="R698" s="281"/>
      <c r="S698" s="281"/>
      <c r="T698" s="281"/>
      <c r="U698" s="281"/>
      <c r="V698" s="281"/>
      <c r="W698" s="281"/>
      <c r="X698" s="281"/>
      <c r="Y698" s="281"/>
      <c r="Z698" s="281"/>
      <c r="AA698" s="281"/>
      <c r="AB698" s="281"/>
      <c r="AC698" s="281"/>
      <c r="AD698" s="281"/>
    </row>
    <row r="699" spans="1:30" s="288" customFormat="1" x14ac:dyDescent="0.25">
      <c r="A699" s="287"/>
      <c r="B699" s="274">
        <f t="shared" si="90"/>
        <v>684</v>
      </c>
      <c r="C699" s="304">
        <f t="shared" ca="1" si="93"/>
        <v>0</v>
      </c>
      <c r="D699" s="304">
        <f ca="1">IF(ROUND(E698,0)&lt;&gt;0, IF(ROUND(D698,0)&lt;&gt;0, 'Career Comparison'!$F$28-C699, 0), 0)</f>
        <v>0</v>
      </c>
      <c r="E699" s="304">
        <f ca="1">IF(G$7&gt;=B699, E698*(1+'Government Figures'!$D$8/12)-'Career Comparison'!$F$28, 0)</f>
        <v>0</v>
      </c>
      <c r="F699" s="312">
        <f>'College Schedule'!$L$8*(1+'Government Figures'!$B$8/12)^B699</f>
        <v>6368.3784465299686</v>
      </c>
      <c r="G699" s="278">
        <v>1</v>
      </c>
      <c r="H699" s="279">
        <f t="shared" ca="1" si="91"/>
        <v>0.17320110972991043</v>
      </c>
      <c r="I699" s="304">
        <f>G699*('College Schedule'!$L$9)*(1+'Government Figures'!$B$8/12)^B699</f>
        <v>14182.074313114092</v>
      </c>
      <c r="J699" s="304">
        <f t="shared" ca="1" si="94"/>
        <v>5357.3448572807047</v>
      </c>
      <c r="K699" s="304">
        <f t="shared" ca="1" si="95"/>
        <v>550.05338958890968</v>
      </c>
      <c r="L699" s="278">
        <v>1</v>
      </c>
      <c r="M699" s="279">
        <f t="shared" si="92"/>
        <v>0.13735784313725496</v>
      </c>
      <c r="N699" s="304">
        <f>L699*('College Schedule'!$L$10)*(1+'Government Figures'!$B$8/12)^B699</f>
        <v>8509.2445878684557</v>
      </c>
      <c r="O699" s="304">
        <f t="shared" si="96"/>
        <v>972.05465802151593</v>
      </c>
      <c r="P699" s="304">
        <f t="shared" si="97"/>
        <v>99.803535847385888</v>
      </c>
      <c r="Q699" s="274"/>
      <c r="R699" s="281"/>
      <c r="S699" s="281"/>
      <c r="T699" s="281"/>
      <c r="U699" s="281"/>
      <c r="V699" s="281"/>
      <c r="W699" s="281"/>
      <c r="X699" s="281"/>
      <c r="Y699" s="281"/>
      <c r="Z699" s="281"/>
      <c r="AA699" s="281"/>
      <c r="AB699" s="281"/>
      <c r="AC699" s="281"/>
      <c r="AD699" s="281"/>
    </row>
    <row r="700" spans="1:30" s="288" customFormat="1" x14ac:dyDescent="0.25">
      <c r="A700" s="287"/>
      <c r="B700" s="274">
        <f t="shared" si="90"/>
        <v>685</v>
      </c>
      <c r="C700" s="304">
        <f t="shared" ca="1" si="93"/>
        <v>0</v>
      </c>
      <c r="D700" s="304">
        <f ca="1">IF(ROUND(E699,0)&lt;&gt;0, IF(ROUND(D699,0)&lt;&gt;0, 'Career Comparison'!$F$28-C700, 0), 0)</f>
        <v>0</v>
      </c>
      <c r="E700" s="304">
        <f ca="1">IF(G$7&gt;=B700, E699*(1+'Government Figures'!$D$8/12)-'Career Comparison'!$F$28, 0)</f>
        <v>0</v>
      </c>
      <c r="F700" s="312">
        <f>'College Schedule'!$L$8*(1+'Government Figures'!$B$8/12)^B700</f>
        <v>6378.9924106075196</v>
      </c>
      <c r="G700" s="278">
        <v>1</v>
      </c>
      <c r="H700" s="279">
        <f t="shared" ca="1" si="91"/>
        <v>0.17320110972991043</v>
      </c>
      <c r="I700" s="304">
        <f>G700*('College Schedule'!$L$9)*(1+'Government Figures'!$B$8/12)^B700</f>
        <v>14205.711103635951</v>
      </c>
      <c r="J700" s="304">
        <f t="shared" ca="1" si="94"/>
        <v>5366.2737653761742</v>
      </c>
      <c r="K700" s="304">
        <f t="shared" ca="1" si="95"/>
        <v>549.13967963942662</v>
      </c>
      <c r="L700" s="278">
        <v>1</v>
      </c>
      <c r="M700" s="279">
        <f t="shared" si="92"/>
        <v>0.13735784313725496</v>
      </c>
      <c r="N700" s="304">
        <f>L700*('College Schedule'!$L$10)*(1+'Government Figures'!$B$8/12)^B700</f>
        <v>8523.4266621815732</v>
      </c>
      <c r="O700" s="304">
        <f t="shared" si="96"/>
        <v>973.67474911822046</v>
      </c>
      <c r="P700" s="304">
        <f t="shared" si="97"/>
        <v>99.637749242988448</v>
      </c>
      <c r="Q700" s="274"/>
      <c r="R700" s="281"/>
      <c r="S700" s="281"/>
      <c r="T700" s="281"/>
      <c r="U700" s="281"/>
      <c r="V700" s="281"/>
      <c r="W700" s="281"/>
      <c r="X700" s="281"/>
      <c r="Y700" s="281"/>
      <c r="Z700" s="281"/>
      <c r="AA700" s="281"/>
      <c r="AB700" s="281"/>
      <c r="AC700" s="281"/>
      <c r="AD700" s="281"/>
    </row>
    <row r="701" spans="1:30" s="288" customFormat="1" x14ac:dyDescent="0.25">
      <c r="A701" s="287"/>
      <c r="B701" s="274">
        <f t="shared" si="90"/>
        <v>686</v>
      </c>
      <c r="C701" s="304">
        <f t="shared" ca="1" si="93"/>
        <v>0</v>
      </c>
      <c r="D701" s="304">
        <f ca="1">IF(ROUND(E700,0)&lt;&gt;0, IF(ROUND(D700,0)&lt;&gt;0, 'Career Comparison'!$F$28-C701, 0), 0)</f>
        <v>0</v>
      </c>
      <c r="E701" s="304">
        <f ca="1">IF(G$7&gt;=B701, E700*(1+'Government Figures'!$D$8/12)-'Career Comparison'!$F$28, 0)</f>
        <v>0</v>
      </c>
      <c r="F701" s="312">
        <f>'College Schedule'!$L$8*(1+'Government Figures'!$B$8/12)^B701</f>
        <v>6389.624064625199</v>
      </c>
      <c r="G701" s="278">
        <v>1</v>
      </c>
      <c r="H701" s="279">
        <f t="shared" ca="1" si="91"/>
        <v>0.17320110972991043</v>
      </c>
      <c r="I701" s="304">
        <f>G701*('College Schedule'!$L$9)*(1+'Government Figures'!$B$8/12)^B701</f>
        <v>14229.387288808677</v>
      </c>
      <c r="J701" s="304">
        <f t="shared" ca="1" si="94"/>
        <v>5375.2175549851345</v>
      </c>
      <c r="K701" s="304">
        <f t="shared" ca="1" si="95"/>
        <v>548.22748748055699</v>
      </c>
      <c r="L701" s="278">
        <v>1</v>
      </c>
      <c r="M701" s="279">
        <f t="shared" si="92"/>
        <v>0.13735784313725496</v>
      </c>
      <c r="N701" s="304">
        <f>L701*('College Schedule'!$L$10)*(1+'Government Figures'!$B$8/12)^B701</f>
        <v>8537.6323732852088</v>
      </c>
      <c r="O701" s="304">
        <f t="shared" si="96"/>
        <v>975.29754036675058</v>
      </c>
      <c r="P701" s="304">
        <f t="shared" si="97"/>
        <v>99.472238031621316</v>
      </c>
      <c r="Q701" s="274"/>
      <c r="R701" s="281"/>
      <c r="S701" s="281"/>
      <c r="T701" s="281"/>
      <c r="U701" s="281"/>
      <c r="V701" s="281"/>
      <c r="W701" s="281"/>
      <c r="X701" s="281"/>
      <c r="Y701" s="281"/>
      <c r="Z701" s="281"/>
      <c r="AA701" s="281"/>
      <c r="AB701" s="281"/>
      <c r="AC701" s="281"/>
      <c r="AD701" s="281"/>
    </row>
    <row r="702" spans="1:30" s="288" customFormat="1" x14ac:dyDescent="0.25">
      <c r="A702" s="287"/>
      <c r="B702" s="274">
        <f t="shared" si="90"/>
        <v>687</v>
      </c>
      <c r="C702" s="304">
        <f t="shared" ca="1" si="93"/>
        <v>0</v>
      </c>
      <c r="D702" s="304">
        <f ca="1">IF(ROUND(E701,0)&lt;&gt;0, IF(ROUND(D701,0)&lt;&gt;0, 'Career Comparison'!$F$28-C702, 0), 0)</f>
        <v>0</v>
      </c>
      <c r="E702" s="304">
        <f ca="1">IF(G$7&gt;=B702, E701*(1+'Government Figures'!$D$8/12)-'Career Comparison'!$F$28, 0)</f>
        <v>0</v>
      </c>
      <c r="F702" s="312">
        <f>'College Schedule'!$L$8*(1+'Government Figures'!$B$8/12)^B702</f>
        <v>6400.2734380662414</v>
      </c>
      <c r="G702" s="278">
        <v>1</v>
      </c>
      <c r="H702" s="279">
        <f t="shared" ca="1" si="91"/>
        <v>0.17320110972991043</v>
      </c>
      <c r="I702" s="304">
        <f>G702*('College Schedule'!$L$9)*(1+'Government Figures'!$B$8/12)^B702</f>
        <v>14253.102934290027</v>
      </c>
      <c r="J702" s="304">
        <f t="shared" ca="1" si="94"/>
        <v>5384.1762509101109</v>
      </c>
      <c r="K702" s="304">
        <f t="shared" ca="1" si="95"/>
        <v>547.31681059105438</v>
      </c>
      <c r="L702" s="278">
        <v>1</v>
      </c>
      <c r="M702" s="279">
        <f t="shared" si="92"/>
        <v>0.13735784313725496</v>
      </c>
      <c r="N702" s="304">
        <f>L702*('College Schedule'!$L$10)*(1+'Government Figures'!$B$8/12)^B702</f>
        <v>8551.8617605740183</v>
      </c>
      <c r="O702" s="304">
        <f t="shared" si="96"/>
        <v>976.92303626736157</v>
      </c>
      <c r="P702" s="304">
        <f t="shared" si="97"/>
        <v>99.307001755821219</v>
      </c>
      <c r="Q702" s="274"/>
      <c r="R702" s="281"/>
      <c r="S702" s="281"/>
      <c r="T702" s="281"/>
      <c r="U702" s="281"/>
      <c r="V702" s="281"/>
      <c r="W702" s="281"/>
      <c r="X702" s="281"/>
      <c r="Y702" s="281"/>
      <c r="Z702" s="281"/>
      <c r="AA702" s="281"/>
      <c r="AB702" s="281"/>
      <c r="AC702" s="281"/>
      <c r="AD702" s="281"/>
    </row>
    <row r="703" spans="1:30" s="288" customFormat="1" x14ac:dyDescent="0.25">
      <c r="A703" s="287"/>
      <c r="B703" s="274">
        <f t="shared" si="90"/>
        <v>688</v>
      </c>
      <c r="C703" s="304">
        <f t="shared" ca="1" si="93"/>
        <v>0</v>
      </c>
      <c r="D703" s="304">
        <f ca="1">IF(ROUND(E702,0)&lt;&gt;0, IF(ROUND(D702,0)&lt;&gt;0, 'Career Comparison'!$F$28-C703, 0), 0)</f>
        <v>0</v>
      </c>
      <c r="E703" s="304">
        <f ca="1">IF(G$7&gt;=B703, E702*(1+'Government Figures'!$D$8/12)-'Career Comparison'!$F$28, 0)</f>
        <v>0</v>
      </c>
      <c r="F703" s="312">
        <f>'College Schedule'!$L$8*(1+'Government Figures'!$B$8/12)^B703</f>
        <v>6410.9405604630192</v>
      </c>
      <c r="G703" s="278">
        <v>1</v>
      </c>
      <c r="H703" s="279">
        <f t="shared" ca="1" si="91"/>
        <v>0.17320110972991043</v>
      </c>
      <c r="I703" s="304">
        <f>G703*('College Schedule'!$L$9)*(1+'Government Figures'!$B$8/12)^B703</f>
        <v>14276.858105847179</v>
      </c>
      <c r="J703" s="304">
        <f t="shared" ca="1" si="94"/>
        <v>5393.1498779949616</v>
      </c>
      <c r="K703" s="304">
        <f t="shared" ca="1" si="95"/>
        <v>546.40764645386002</v>
      </c>
      <c r="L703" s="278">
        <v>1</v>
      </c>
      <c r="M703" s="279">
        <f t="shared" si="92"/>
        <v>0.13735784313725496</v>
      </c>
      <c r="N703" s="304">
        <f>L703*('College Schedule'!$L$10)*(1+'Government Figures'!$B$8/12)^B703</f>
        <v>8566.1148635083082</v>
      </c>
      <c r="O703" s="304">
        <f t="shared" si="96"/>
        <v>978.55124132780657</v>
      </c>
      <c r="P703" s="304">
        <f t="shared" si="97"/>
        <v>99.142039958884595</v>
      </c>
      <c r="Q703" s="274"/>
      <c r="R703" s="281"/>
      <c r="S703" s="281"/>
      <c r="T703" s="281"/>
      <c r="U703" s="281"/>
      <c r="V703" s="281"/>
      <c r="W703" s="281"/>
      <c r="X703" s="281"/>
      <c r="Y703" s="281"/>
      <c r="Z703" s="281"/>
      <c r="AA703" s="281"/>
      <c r="AB703" s="281"/>
      <c r="AC703" s="281"/>
      <c r="AD703" s="281"/>
    </row>
    <row r="704" spans="1:30" s="288" customFormat="1" x14ac:dyDescent="0.25">
      <c r="A704" s="287"/>
      <c r="B704" s="274">
        <f t="shared" si="90"/>
        <v>689</v>
      </c>
      <c r="C704" s="304">
        <f t="shared" ca="1" si="93"/>
        <v>0</v>
      </c>
      <c r="D704" s="304">
        <f ca="1">IF(ROUND(E703,0)&lt;&gt;0, IF(ROUND(D703,0)&lt;&gt;0, 'Career Comparison'!$F$28-C704, 0), 0)</f>
        <v>0</v>
      </c>
      <c r="E704" s="304">
        <f ca="1">IF(G$7&gt;=B704, E703*(1+'Government Figures'!$D$8/12)-'Career Comparison'!$F$28, 0)</f>
        <v>0</v>
      </c>
      <c r="F704" s="312">
        <f>'College Schedule'!$L$8*(1+'Government Figures'!$B$8/12)^B704</f>
        <v>6421.6254613971241</v>
      </c>
      <c r="G704" s="278">
        <v>1</v>
      </c>
      <c r="H704" s="279">
        <f t="shared" ca="1" si="91"/>
        <v>0.17320110972991043</v>
      </c>
      <c r="I704" s="304">
        <f>G704*('College Schedule'!$L$9)*(1+'Government Figures'!$B$8/12)^B704</f>
        <v>14300.652869356923</v>
      </c>
      <c r="J704" s="304">
        <f t="shared" ca="1" si="94"/>
        <v>5402.1384611249532</v>
      </c>
      <c r="K704" s="304">
        <f t="shared" ca="1" si="95"/>
        <v>545.499992556096</v>
      </c>
      <c r="L704" s="278">
        <v>1</v>
      </c>
      <c r="M704" s="279">
        <f t="shared" si="92"/>
        <v>0.13735784313725496</v>
      </c>
      <c r="N704" s="304">
        <f>L704*('College Schedule'!$L$10)*(1+'Government Figures'!$B$8/12)^B704</f>
        <v>8580.3917216141563</v>
      </c>
      <c r="O704" s="304">
        <f t="shared" si="96"/>
        <v>980.18216006335388</v>
      </c>
      <c r="P704" s="304">
        <f t="shared" si="97"/>
        <v>98.977352184866575</v>
      </c>
      <c r="Q704" s="274"/>
      <c r="R704" s="281"/>
      <c r="S704" s="281"/>
      <c r="T704" s="281"/>
      <c r="U704" s="281"/>
      <c r="V704" s="281"/>
      <c r="W704" s="281"/>
      <c r="X704" s="281"/>
      <c r="Y704" s="281"/>
      <c r="Z704" s="281"/>
      <c r="AA704" s="281"/>
      <c r="AB704" s="281"/>
      <c r="AC704" s="281"/>
      <c r="AD704" s="281"/>
    </row>
    <row r="705" spans="1:30" s="288" customFormat="1" x14ac:dyDescent="0.25">
      <c r="A705" s="287"/>
      <c r="B705" s="274">
        <f t="shared" si="90"/>
        <v>690</v>
      </c>
      <c r="C705" s="304">
        <f t="shared" ca="1" si="93"/>
        <v>0</v>
      </c>
      <c r="D705" s="304">
        <f ca="1">IF(ROUND(E704,0)&lt;&gt;0, IF(ROUND(D704,0)&lt;&gt;0, 'Career Comparison'!$F$28-C705, 0), 0)</f>
        <v>0</v>
      </c>
      <c r="E705" s="304">
        <f ca="1">IF(G$7&gt;=B705, E704*(1+'Government Figures'!$D$8/12)-'Career Comparison'!$F$28, 0)</f>
        <v>0</v>
      </c>
      <c r="F705" s="312">
        <f>'College Schedule'!$L$8*(1+'Government Figures'!$B$8/12)^B705</f>
        <v>6432.3281704994533</v>
      </c>
      <c r="G705" s="278">
        <v>1</v>
      </c>
      <c r="H705" s="279">
        <f t="shared" ca="1" si="91"/>
        <v>0.17320110972991043</v>
      </c>
      <c r="I705" s="304">
        <f>G705*('College Schedule'!$L$9)*(1+'Government Figures'!$B$8/12)^B705</f>
        <v>14324.487290805851</v>
      </c>
      <c r="J705" s="304">
        <f t="shared" ca="1" si="94"/>
        <v>5411.1420252268272</v>
      </c>
      <c r="K705" s="304">
        <f t="shared" ca="1" si="95"/>
        <v>544.59384638905919</v>
      </c>
      <c r="L705" s="278">
        <v>1</v>
      </c>
      <c r="M705" s="279">
        <f t="shared" si="92"/>
        <v>0.13735784313725496</v>
      </c>
      <c r="N705" s="304">
        <f>L705*('College Schedule'!$L$10)*(1+'Government Figures'!$B$8/12)^B705</f>
        <v>8594.692374483513</v>
      </c>
      <c r="O705" s="304">
        <f t="shared" si="96"/>
        <v>981.81579699679151</v>
      </c>
      <c r="P705" s="304">
        <f t="shared" si="97"/>
        <v>98.812937978579285</v>
      </c>
      <c r="Q705" s="274"/>
      <c r="R705" s="281"/>
      <c r="S705" s="281"/>
      <c r="T705" s="281"/>
      <c r="U705" s="281"/>
      <c r="V705" s="281"/>
      <c r="W705" s="281"/>
      <c r="X705" s="281"/>
      <c r="Y705" s="281"/>
      <c r="Z705" s="281"/>
      <c r="AA705" s="281"/>
      <c r="AB705" s="281"/>
      <c r="AC705" s="281"/>
      <c r="AD705" s="281"/>
    </row>
    <row r="706" spans="1:30" s="288" customFormat="1" x14ac:dyDescent="0.25">
      <c r="A706" s="287"/>
      <c r="B706" s="274">
        <f t="shared" si="90"/>
        <v>691</v>
      </c>
      <c r="C706" s="304">
        <f t="shared" ca="1" si="93"/>
        <v>0</v>
      </c>
      <c r="D706" s="304">
        <f ca="1">IF(ROUND(E705,0)&lt;&gt;0, IF(ROUND(D705,0)&lt;&gt;0, 'Career Comparison'!$F$28-C706, 0), 0)</f>
        <v>0</v>
      </c>
      <c r="E706" s="304">
        <f ca="1">IF(G$7&gt;=B706, E705*(1+'Government Figures'!$D$8/12)-'Career Comparison'!$F$28, 0)</f>
        <v>0</v>
      </c>
      <c r="F706" s="312">
        <f>'College Schedule'!$L$8*(1+'Government Figures'!$B$8/12)^B706</f>
        <v>6443.0487174502869</v>
      </c>
      <c r="G706" s="278">
        <v>1</v>
      </c>
      <c r="H706" s="279">
        <f t="shared" ca="1" si="91"/>
        <v>0.17320110972991043</v>
      </c>
      <c r="I706" s="304">
        <f>G706*('College Schedule'!$L$9)*(1+'Government Figures'!$B$8/12)^B706</f>
        <v>14348.361436290532</v>
      </c>
      <c r="J706" s="304">
        <f t="shared" ca="1" si="94"/>
        <v>5420.1605952688733</v>
      </c>
      <c r="K706" s="304">
        <f t="shared" ca="1" si="95"/>
        <v>543.68920544821367</v>
      </c>
      <c r="L706" s="278">
        <v>1</v>
      </c>
      <c r="M706" s="279">
        <f t="shared" si="92"/>
        <v>0.13735784313725496</v>
      </c>
      <c r="N706" s="304">
        <f>L706*('College Schedule'!$L$10)*(1+'Government Figures'!$B$8/12)^B706</f>
        <v>8609.0168617743202</v>
      </c>
      <c r="O706" s="304">
        <f t="shared" si="96"/>
        <v>983.45215665845353</v>
      </c>
      <c r="P706" s="304">
        <f t="shared" si="97"/>
        <v>98.648796885591665</v>
      </c>
      <c r="Q706" s="274"/>
      <c r="R706" s="281"/>
      <c r="S706" s="281"/>
      <c r="T706" s="281"/>
      <c r="U706" s="281"/>
      <c r="V706" s="281"/>
      <c r="W706" s="281"/>
      <c r="X706" s="281"/>
      <c r="Y706" s="281"/>
      <c r="Z706" s="281"/>
      <c r="AA706" s="281"/>
      <c r="AB706" s="281"/>
      <c r="AC706" s="281"/>
      <c r="AD706" s="281"/>
    </row>
    <row r="707" spans="1:30" s="288" customFormat="1" x14ac:dyDescent="0.25">
      <c r="A707" s="287"/>
      <c r="B707" s="274">
        <f t="shared" si="90"/>
        <v>692</v>
      </c>
      <c r="C707" s="304">
        <f t="shared" ca="1" si="93"/>
        <v>0</v>
      </c>
      <c r="D707" s="304">
        <f ca="1">IF(ROUND(E706,0)&lt;&gt;0, IF(ROUND(D706,0)&lt;&gt;0, 'Career Comparison'!$F$28-C707, 0), 0)</f>
        <v>0</v>
      </c>
      <c r="E707" s="304">
        <f ca="1">IF(G$7&gt;=B707, E706*(1+'Government Figures'!$D$8/12)-'Career Comparison'!$F$28, 0)</f>
        <v>0</v>
      </c>
      <c r="F707" s="312">
        <f>'College Schedule'!$L$8*(1+'Government Figures'!$B$8/12)^B707</f>
        <v>6453.7871319793703</v>
      </c>
      <c r="G707" s="278">
        <v>1</v>
      </c>
      <c r="H707" s="279">
        <f t="shared" ca="1" si="91"/>
        <v>0.17320110972991043</v>
      </c>
      <c r="I707" s="304">
        <f>G707*('College Schedule'!$L$9)*(1+'Government Figures'!$B$8/12)^B707</f>
        <v>14372.275372017682</v>
      </c>
      <c r="J707" s="304">
        <f t="shared" ca="1" si="94"/>
        <v>5429.194196260989</v>
      </c>
      <c r="K707" s="304">
        <f t="shared" ca="1" si="95"/>
        <v>542.78606723318353</v>
      </c>
      <c r="L707" s="278">
        <v>1</v>
      </c>
      <c r="M707" s="279">
        <f t="shared" si="92"/>
        <v>0.13735784313725496</v>
      </c>
      <c r="N707" s="304">
        <f>L707*('College Schedule'!$L$10)*(1+'Government Figures'!$B$8/12)^B707</f>
        <v>8623.3652232106106</v>
      </c>
      <c r="O707" s="304">
        <f t="shared" si="96"/>
        <v>985.09124358621739</v>
      </c>
      <c r="P707" s="304">
        <f t="shared" si="97"/>
        <v>98.484928452226882</v>
      </c>
      <c r="Q707" s="274"/>
      <c r="R707" s="281"/>
      <c r="S707" s="281"/>
      <c r="T707" s="281"/>
      <c r="U707" s="281"/>
      <c r="V707" s="281"/>
      <c r="W707" s="281"/>
      <c r="X707" s="281"/>
      <c r="Y707" s="281"/>
      <c r="Z707" s="281"/>
      <c r="AA707" s="281"/>
      <c r="AB707" s="281"/>
      <c r="AC707" s="281"/>
      <c r="AD707" s="281"/>
    </row>
    <row r="708" spans="1:30" s="288" customFormat="1" x14ac:dyDescent="0.25">
      <c r="A708" s="287"/>
      <c r="B708" s="274">
        <f t="shared" si="90"/>
        <v>693</v>
      </c>
      <c r="C708" s="304">
        <f t="shared" ca="1" si="93"/>
        <v>0</v>
      </c>
      <c r="D708" s="304">
        <f ca="1">IF(ROUND(E707,0)&lt;&gt;0, IF(ROUND(D707,0)&lt;&gt;0, 'Career Comparison'!$F$28-C708, 0), 0)</f>
        <v>0</v>
      </c>
      <c r="E708" s="304">
        <f ca="1">IF(G$7&gt;=B708, E707*(1+'Government Figures'!$D$8/12)-'Career Comparison'!$F$28, 0)</f>
        <v>0</v>
      </c>
      <c r="F708" s="312">
        <f>'College Schedule'!$L$8*(1+'Government Figures'!$B$8/12)^B708</f>
        <v>6464.5434438660031</v>
      </c>
      <c r="G708" s="278">
        <v>1</v>
      </c>
      <c r="H708" s="279">
        <f t="shared" ca="1" si="91"/>
        <v>0.17320110972991043</v>
      </c>
      <c r="I708" s="304">
        <f>G708*('College Schedule'!$L$9)*(1+'Government Figures'!$B$8/12)^B708</f>
        <v>14396.229164304379</v>
      </c>
      <c r="J708" s="304">
        <f t="shared" ca="1" si="94"/>
        <v>5438.2428532547565</v>
      </c>
      <c r="K708" s="304">
        <f t="shared" ca="1" si="95"/>
        <v>541.8844292477462</v>
      </c>
      <c r="L708" s="278">
        <v>1</v>
      </c>
      <c r="M708" s="279">
        <f t="shared" si="92"/>
        <v>0.13735784313725496</v>
      </c>
      <c r="N708" s="304">
        <f>L708*('College Schedule'!$L$10)*(1+'Government Figures'!$B$8/12)^B708</f>
        <v>8637.73749858263</v>
      </c>
      <c r="O708" s="304">
        <f t="shared" si="96"/>
        <v>986.73306232552932</v>
      </c>
      <c r="P708" s="304">
        <f t="shared" si="97"/>
        <v>98.321332225562216</v>
      </c>
      <c r="Q708" s="274"/>
      <c r="R708" s="281"/>
      <c r="S708" s="281"/>
      <c r="T708" s="281"/>
      <c r="U708" s="281"/>
      <c r="V708" s="281"/>
      <c r="W708" s="281"/>
      <c r="X708" s="281"/>
      <c r="Y708" s="281"/>
      <c r="Z708" s="281"/>
      <c r="AA708" s="281"/>
      <c r="AB708" s="281"/>
      <c r="AC708" s="281"/>
      <c r="AD708" s="281"/>
    </row>
    <row r="709" spans="1:30" s="288" customFormat="1" x14ac:dyDescent="0.25">
      <c r="A709" s="287"/>
      <c r="B709" s="274">
        <f t="shared" si="90"/>
        <v>694</v>
      </c>
      <c r="C709" s="304">
        <f t="shared" ca="1" si="93"/>
        <v>0</v>
      </c>
      <c r="D709" s="304">
        <f ca="1">IF(ROUND(E708,0)&lt;&gt;0, IF(ROUND(D708,0)&lt;&gt;0, 'Career Comparison'!$F$28-C709, 0), 0)</f>
        <v>0</v>
      </c>
      <c r="E709" s="304">
        <f ca="1">IF(G$7&gt;=B709, E708*(1+'Government Figures'!$D$8/12)-'Career Comparison'!$F$28, 0)</f>
        <v>0</v>
      </c>
      <c r="F709" s="312">
        <f>'College Schedule'!$L$8*(1+'Government Figures'!$B$8/12)^B709</f>
        <v>6475.3176829391132</v>
      </c>
      <c r="G709" s="278">
        <v>1</v>
      </c>
      <c r="H709" s="279">
        <f t="shared" ca="1" si="91"/>
        <v>0.17320110972991043</v>
      </c>
      <c r="I709" s="304">
        <f>G709*('College Schedule'!$L$9)*(1+'Government Figures'!$B$8/12)^B709</f>
        <v>14420.222879578219</v>
      </c>
      <c r="J709" s="304">
        <f t="shared" ca="1" si="94"/>
        <v>5447.3065913435139</v>
      </c>
      <c r="K709" s="304">
        <f t="shared" ca="1" si="95"/>
        <v>540.98428899982616</v>
      </c>
      <c r="L709" s="278">
        <v>1</v>
      </c>
      <c r="M709" s="279">
        <f t="shared" si="92"/>
        <v>0.13735784313725496</v>
      </c>
      <c r="N709" s="304">
        <f>L709*('College Schedule'!$L$10)*(1+'Government Figures'!$B$8/12)^B709</f>
        <v>8652.1337277469338</v>
      </c>
      <c r="O709" s="304">
        <f t="shared" si="96"/>
        <v>988.37761742940438</v>
      </c>
      <c r="P709" s="304">
        <f t="shared" si="97"/>
        <v>98.158007753426617</v>
      </c>
      <c r="Q709" s="274"/>
      <c r="R709" s="281"/>
      <c r="S709" s="281"/>
      <c r="T709" s="281"/>
      <c r="U709" s="281"/>
      <c r="V709" s="281"/>
      <c r="W709" s="281"/>
      <c r="X709" s="281"/>
      <c r="Y709" s="281"/>
      <c r="Z709" s="281"/>
      <c r="AA709" s="281"/>
      <c r="AB709" s="281"/>
      <c r="AC709" s="281"/>
      <c r="AD709" s="281"/>
    </row>
    <row r="710" spans="1:30" s="288" customFormat="1" x14ac:dyDescent="0.25">
      <c r="A710" s="287"/>
      <c r="B710" s="274">
        <f t="shared" si="90"/>
        <v>695</v>
      </c>
      <c r="C710" s="304">
        <f t="shared" ca="1" si="93"/>
        <v>0</v>
      </c>
      <c r="D710" s="304">
        <f ca="1">IF(ROUND(E709,0)&lt;&gt;0, IF(ROUND(D709,0)&lt;&gt;0, 'Career Comparison'!$F$28-C710, 0), 0)</f>
        <v>0</v>
      </c>
      <c r="E710" s="304">
        <f ca="1">IF(G$7&gt;=B710, E709*(1+'Government Figures'!$D$8/12)-'Career Comparison'!$F$28, 0)</f>
        <v>0</v>
      </c>
      <c r="F710" s="312">
        <f>'College Schedule'!$L$8*(1+'Government Figures'!$B$8/12)^B710</f>
        <v>6486.1098790773458</v>
      </c>
      <c r="G710" s="278">
        <v>1</v>
      </c>
      <c r="H710" s="279">
        <f t="shared" ca="1" si="91"/>
        <v>0.17320110972991043</v>
      </c>
      <c r="I710" s="304">
        <f>G710*('College Schedule'!$L$9)*(1+'Government Figures'!$B$8/12)^B710</f>
        <v>14444.256584377517</v>
      </c>
      <c r="J710" s="304">
        <f t="shared" ca="1" si="94"/>
        <v>5456.3854356624206</v>
      </c>
      <c r="K710" s="304">
        <f t="shared" ca="1" si="95"/>
        <v>540.08564400148759</v>
      </c>
      <c r="L710" s="278">
        <v>1</v>
      </c>
      <c r="M710" s="279">
        <f t="shared" si="92"/>
        <v>0.13735784313725496</v>
      </c>
      <c r="N710" s="304">
        <f>L710*('College Schedule'!$L$10)*(1+'Government Figures'!$B$8/12)^B710</f>
        <v>8666.5539506265122</v>
      </c>
      <c r="O710" s="304">
        <f t="shared" si="96"/>
        <v>990.02491345845283</v>
      </c>
      <c r="P710" s="304">
        <f t="shared" si="97"/>
        <v>97.994954584400929</v>
      </c>
      <c r="Q710" s="274"/>
      <c r="R710" s="281"/>
      <c r="S710" s="281"/>
      <c r="T710" s="281"/>
      <c r="U710" s="281"/>
      <c r="V710" s="281"/>
      <c r="W710" s="281"/>
      <c r="X710" s="281"/>
      <c r="Y710" s="281"/>
      <c r="Z710" s="281"/>
      <c r="AA710" s="281"/>
      <c r="AB710" s="281"/>
      <c r="AC710" s="281"/>
      <c r="AD710" s="281"/>
    </row>
    <row r="711" spans="1:30" s="288" customFormat="1" x14ac:dyDescent="0.25">
      <c r="A711" s="287"/>
      <c r="B711" s="274">
        <f t="shared" si="90"/>
        <v>696</v>
      </c>
      <c r="C711" s="304">
        <f t="shared" ca="1" si="93"/>
        <v>0</v>
      </c>
      <c r="D711" s="304">
        <f ca="1">IF(ROUND(E710,0)&lt;&gt;0, IF(ROUND(D710,0)&lt;&gt;0, 'Career Comparison'!$F$28-C711, 0), 0)</f>
        <v>0</v>
      </c>
      <c r="E711" s="304">
        <f ca="1">IF(G$7&gt;=B711, E710*(1+'Government Figures'!$D$8/12)-'Career Comparison'!$F$28, 0)</f>
        <v>0</v>
      </c>
      <c r="F711" s="312">
        <f>'College Schedule'!$L$8*(1+'Government Figures'!$B$8/12)^B711</f>
        <v>6496.920062209143</v>
      </c>
      <c r="G711" s="278">
        <v>1</v>
      </c>
      <c r="H711" s="279">
        <f t="shared" ca="1" si="91"/>
        <v>0.17320110972991043</v>
      </c>
      <c r="I711" s="304">
        <f>G711*('College Schedule'!$L$9)*(1+'Government Figures'!$B$8/12)^B711</f>
        <v>14468.330345351485</v>
      </c>
      <c r="J711" s="304">
        <f t="shared" ca="1" si="94"/>
        <v>5465.4794113885273</v>
      </c>
      <c r="K711" s="304">
        <f t="shared" ca="1" si="95"/>
        <v>539.18849176892729</v>
      </c>
      <c r="L711" s="278">
        <v>1</v>
      </c>
      <c r="M711" s="279">
        <f t="shared" si="92"/>
        <v>0.13735784313725496</v>
      </c>
      <c r="N711" s="304">
        <f>L711*('College Schedule'!$L$10)*(1+'Government Figures'!$B$8/12)^B711</f>
        <v>8680.9982072108924</v>
      </c>
      <c r="O711" s="304">
        <f t="shared" si="96"/>
        <v>991.67495498088374</v>
      </c>
      <c r="P711" s="304">
        <f t="shared" si="97"/>
        <v>97.832172267815565</v>
      </c>
      <c r="Q711" s="274"/>
      <c r="R711" s="281"/>
      <c r="S711" s="281"/>
      <c r="T711" s="281"/>
      <c r="U711" s="281"/>
      <c r="V711" s="281"/>
      <c r="W711" s="281"/>
      <c r="X711" s="281"/>
      <c r="Y711" s="281"/>
      <c r="Z711" s="281"/>
      <c r="AA711" s="281"/>
      <c r="AB711" s="281"/>
      <c r="AC711" s="281"/>
      <c r="AD711" s="281"/>
    </row>
    <row r="712" spans="1:30" s="288" customFormat="1" x14ac:dyDescent="0.25">
      <c r="A712" s="287"/>
      <c r="B712" s="274">
        <f t="shared" si="90"/>
        <v>697</v>
      </c>
      <c r="C712" s="304">
        <f t="shared" ca="1" si="93"/>
        <v>0</v>
      </c>
      <c r="D712" s="304">
        <f ca="1">IF(ROUND(E711,0)&lt;&gt;0, IF(ROUND(D711,0)&lt;&gt;0, 'Career Comparison'!$F$28-C712, 0), 0)</f>
        <v>0</v>
      </c>
      <c r="E712" s="304">
        <f ca="1">IF(G$7&gt;=B712, E711*(1+'Government Figures'!$D$8/12)-'Career Comparison'!$F$28, 0)</f>
        <v>0</v>
      </c>
      <c r="F712" s="312">
        <f>'College Schedule'!$L$8*(1+'Government Figures'!$B$8/12)^B712</f>
        <v>6507.7482623128235</v>
      </c>
      <c r="G712" s="278">
        <v>1</v>
      </c>
      <c r="H712" s="279">
        <f t="shared" ca="1" si="91"/>
        <v>0.17320110972991043</v>
      </c>
      <c r="I712" s="304">
        <f>G712*('College Schedule'!$L$9)*(1+'Government Figures'!$B$8/12)^B712</f>
        <v>14492.444229260402</v>
      </c>
      <c r="J712" s="304">
        <f t="shared" ca="1" si="94"/>
        <v>5474.5885437408397</v>
      </c>
      <c r="K712" s="304">
        <f t="shared" ca="1" si="95"/>
        <v>538.29282982246718</v>
      </c>
      <c r="L712" s="278">
        <v>1</v>
      </c>
      <c r="M712" s="279">
        <f t="shared" si="92"/>
        <v>0.13735784313725496</v>
      </c>
      <c r="N712" s="304">
        <f>L712*('College Schedule'!$L$10)*(1+'Government Figures'!$B$8/12)^B712</f>
        <v>8695.4665375562417</v>
      </c>
      <c r="O712" s="304">
        <f t="shared" si="96"/>
        <v>993.32774657251866</v>
      </c>
      <c r="P712" s="304">
        <f t="shared" si="97"/>
        <v>97.669660353749435</v>
      </c>
      <c r="Q712" s="274"/>
      <c r="R712" s="281"/>
      <c r="S712" s="281"/>
      <c r="T712" s="281"/>
      <c r="U712" s="281"/>
      <c r="V712" s="281"/>
      <c r="W712" s="281"/>
      <c r="X712" s="281"/>
      <c r="Y712" s="281"/>
      <c r="Z712" s="281"/>
      <c r="AA712" s="281"/>
      <c r="AB712" s="281"/>
      <c r="AC712" s="281"/>
      <c r="AD712" s="281"/>
    </row>
    <row r="713" spans="1:30" s="288" customFormat="1" x14ac:dyDescent="0.25">
      <c r="A713" s="287"/>
      <c r="B713" s="274">
        <f t="shared" si="90"/>
        <v>698</v>
      </c>
      <c r="C713" s="304">
        <f t="shared" ca="1" si="93"/>
        <v>0</v>
      </c>
      <c r="D713" s="304">
        <f ca="1">IF(ROUND(E712,0)&lt;&gt;0, IF(ROUND(D712,0)&lt;&gt;0, 'Career Comparison'!$F$28-C713, 0), 0)</f>
        <v>0</v>
      </c>
      <c r="E713" s="304">
        <f ca="1">IF(G$7&gt;=B713, E712*(1+'Government Figures'!$D$8/12)-'Career Comparison'!$F$28, 0)</f>
        <v>0</v>
      </c>
      <c r="F713" s="312">
        <f>'College Schedule'!$L$8*(1+'Government Figures'!$B$8/12)^B713</f>
        <v>6518.59450941668</v>
      </c>
      <c r="G713" s="278">
        <v>1</v>
      </c>
      <c r="H713" s="279">
        <f t="shared" ca="1" si="91"/>
        <v>0.17320110972991043</v>
      </c>
      <c r="I713" s="304">
        <f>G713*('College Schedule'!$L$9)*(1+'Government Figures'!$B$8/12)^B713</f>
        <v>14516.598302975839</v>
      </c>
      <c r="J713" s="304">
        <f t="shared" ca="1" si="94"/>
        <v>5483.7128579804084</v>
      </c>
      <c r="K713" s="304">
        <f t="shared" ca="1" si="95"/>
        <v>537.39865568654943</v>
      </c>
      <c r="L713" s="278">
        <v>1</v>
      </c>
      <c r="M713" s="279">
        <f t="shared" si="92"/>
        <v>0.13735784313725496</v>
      </c>
      <c r="N713" s="304">
        <f>L713*('College Schedule'!$L$10)*(1+'Government Figures'!$B$8/12)^B713</f>
        <v>8709.9589817855049</v>
      </c>
      <c r="O713" s="304">
        <f t="shared" si="96"/>
        <v>994.98329281680617</v>
      </c>
      <c r="P713" s="304">
        <f t="shared" si="97"/>
        <v>97.507418393028914</v>
      </c>
      <c r="Q713" s="274"/>
      <c r="R713" s="281"/>
      <c r="S713" s="281"/>
      <c r="T713" s="281"/>
      <c r="U713" s="281"/>
      <c r="V713" s="281"/>
      <c r="W713" s="281"/>
      <c r="X713" s="281"/>
      <c r="Y713" s="281"/>
      <c r="Z713" s="281"/>
      <c r="AA713" s="281"/>
      <c r="AB713" s="281"/>
      <c r="AC713" s="281"/>
      <c r="AD713" s="281"/>
    </row>
    <row r="714" spans="1:30" s="288" customFormat="1" x14ac:dyDescent="0.25">
      <c r="A714" s="287"/>
      <c r="B714" s="274">
        <f t="shared" si="90"/>
        <v>699</v>
      </c>
      <c r="C714" s="304">
        <f t="shared" ca="1" si="93"/>
        <v>0</v>
      </c>
      <c r="D714" s="304">
        <f ca="1">IF(ROUND(E713,0)&lt;&gt;0, IF(ROUND(D713,0)&lt;&gt;0, 'Career Comparison'!$F$28-C714, 0), 0)</f>
        <v>0</v>
      </c>
      <c r="E714" s="304">
        <f ca="1">IF(G$7&gt;=B714, E713*(1+'Government Figures'!$D$8/12)-'Career Comparison'!$F$28, 0)</f>
        <v>0</v>
      </c>
      <c r="F714" s="312">
        <f>'College Schedule'!$L$8*(1+'Government Figures'!$B$8/12)^B714</f>
        <v>6529.4588335990411</v>
      </c>
      <c r="G714" s="278">
        <v>1</v>
      </c>
      <c r="H714" s="279">
        <f t="shared" ca="1" si="91"/>
        <v>0.17320110972991043</v>
      </c>
      <c r="I714" s="304">
        <f>G714*('College Schedule'!$L$9)*(1+'Government Figures'!$B$8/12)^B714</f>
        <v>14540.792633480798</v>
      </c>
      <c r="J714" s="304">
        <f t="shared" ca="1" si="94"/>
        <v>5492.8523794103767</v>
      </c>
      <c r="K714" s="304">
        <f t="shared" ca="1" si="95"/>
        <v>536.50596688972792</v>
      </c>
      <c r="L714" s="278">
        <v>1</v>
      </c>
      <c r="M714" s="279">
        <f t="shared" si="92"/>
        <v>0.13735784313725496</v>
      </c>
      <c r="N714" s="304">
        <f>L714*('College Schedule'!$L$10)*(1+'Government Figures'!$B$8/12)^B714</f>
        <v>8724.4755800884795</v>
      </c>
      <c r="O714" s="304">
        <f t="shared" si="96"/>
        <v>996.64159830483368</v>
      </c>
      <c r="P714" s="304">
        <f t="shared" si="97"/>
        <v>97.345445937226472</v>
      </c>
      <c r="Q714" s="274"/>
      <c r="R714" s="281"/>
      <c r="S714" s="281"/>
      <c r="T714" s="281"/>
      <c r="U714" s="281"/>
      <c r="V714" s="281"/>
      <c r="W714" s="281"/>
      <c r="X714" s="281"/>
      <c r="Y714" s="281"/>
      <c r="Z714" s="281"/>
      <c r="AA714" s="281"/>
      <c r="AB714" s="281"/>
      <c r="AC714" s="281"/>
      <c r="AD714" s="281"/>
    </row>
    <row r="715" spans="1:30" s="288" customFormat="1" x14ac:dyDescent="0.25">
      <c r="A715" s="287"/>
      <c r="B715" s="274">
        <f t="shared" si="90"/>
        <v>700</v>
      </c>
      <c r="C715" s="304">
        <f t="shared" ca="1" si="93"/>
        <v>0</v>
      </c>
      <c r="D715" s="304">
        <f ca="1">IF(ROUND(E714,0)&lt;&gt;0, IF(ROUND(D714,0)&lt;&gt;0, 'Career Comparison'!$F$28-C715, 0), 0)</f>
        <v>0</v>
      </c>
      <c r="E715" s="304">
        <f ca="1">IF(G$7&gt;=B715, E714*(1+'Government Figures'!$D$8/12)-'Career Comparison'!$F$28, 0)</f>
        <v>0</v>
      </c>
      <c r="F715" s="312">
        <f>'College Schedule'!$L$8*(1+'Government Figures'!$B$8/12)^B715</f>
        <v>6540.341264988373</v>
      </c>
      <c r="G715" s="278">
        <v>1</v>
      </c>
      <c r="H715" s="279">
        <f t="shared" ca="1" si="91"/>
        <v>0.17320110972991043</v>
      </c>
      <c r="I715" s="304">
        <f>G715*('College Schedule'!$L$9)*(1+'Government Figures'!$B$8/12)^B715</f>
        <v>14565.027287869932</v>
      </c>
      <c r="J715" s="304">
        <f t="shared" ca="1" si="94"/>
        <v>5502.0071333760598</v>
      </c>
      <c r="K715" s="304">
        <f t="shared" ca="1" si="95"/>
        <v>535.61476096466174</v>
      </c>
      <c r="L715" s="278">
        <v>1</v>
      </c>
      <c r="M715" s="279">
        <f t="shared" si="92"/>
        <v>0.13735784313725496</v>
      </c>
      <c r="N715" s="304">
        <f>L715*('College Schedule'!$L$10)*(1+'Government Figures'!$B$8/12)^B715</f>
        <v>8739.0163727219606</v>
      </c>
      <c r="O715" s="304">
        <f t="shared" si="96"/>
        <v>998.302667635342</v>
      </c>
      <c r="P715" s="304">
        <f t="shared" si="97"/>
        <v>97.183742538659672</v>
      </c>
      <c r="Q715" s="274"/>
      <c r="R715" s="281"/>
      <c r="S715" s="281"/>
      <c r="T715" s="281"/>
      <c r="U715" s="281"/>
      <c r="V715" s="281"/>
      <c r="W715" s="281"/>
      <c r="X715" s="281"/>
      <c r="Y715" s="281"/>
      <c r="Z715" s="281"/>
      <c r="AA715" s="281"/>
      <c r="AB715" s="281"/>
      <c r="AC715" s="281"/>
      <c r="AD715" s="281"/>
    </row>
    <row r="716" spans="1:30" s="288" customFormat="1" x14ac:dyDescent="0.25">
      <c r="A716" s="287"/>
      <c r="B716" s="274">
        <f t="shared" si="90"/>
        <v>701</v>
      </c>
      <c r="C716" s="304">
        <f t="shared" ca="1" si="93"/>
        <v>0</v>
      </c>
      <c r="D716" s="304">
        <f ca="1">IF(ROUND(E715,0)&lt;&gt;0, IF(ROUND(D715,0)&lt;&gt;0, 'Career Comparison'!$F$28-C716, 0), 0)</f>
        <v>0</v>
      </c>
      <c r="E716" s="304">
        <f ca="1">IF(G$7&gt;=B716, E715*(1+'Government Figures'!$D$8/12)-'Career Comparison'!$F$28, 0)</f>
        <v>0</v>
      </c>
      <c r="F716" s="312">
        <f>'College Schedule'!$L$8*(1+'Government Figures'!$B$8/12)^B716</f>
        <v>6551.2418337633544</v>
      </c>
      <c r="G716" s="278">
        <v>1</v>
      </c>
      <c r="H716" s="279">
        <f t="shared" ca="1" si="91"/>
        <v>0.17320110972991043</v>
      </c>
      <c r="I716" s="304">
        <f>G716*('College Schedule'!$L$9)*(1+'Government Figures'!$B$8/12)^B716</f>
        <v>14589.302333349719</v>
      </c>
      <c r="J716" s="304">
        <f t="shared" ca="1" si="94"/>
        <v>5511.1771452650219</v>
      </c>
      <c r="K716" s="304">
        <f t="shared" ca="1" si="95"/>
        <v>534.72503544810945</v>
      </c>
      <c r="L716" s="278">
        <v>1</v>
      </c>
      <c r="M716" s="279">
        <f t="shared" si="92"/>
        <v>0.13735784313725496</v>
      </c>
      <c r="N716" s="304">
        <f>L716*('College Schedule'!$L$10)*(1+'Government Figures'!$B$8/12)^B716</f>
        <v>8753.5814000098326</v>
      </c>
      <c r="O716" s="304">
        <f t="shared" si="96"/>
        <v>999.96650541473446</v>
      </c>
      <c r="P716" s="304">
        <f t="shared" si="97"/>
        <v>97.022307750389501</v>
      </c>
      <c r="Q716" s="274"/>
      <c r="R716" s="281"/>
      <c r="S716" s="281"/>
      <c r="T716" s="281"/>
      <c r="U716" s="281"/>
      <c r="V716" s="281"/>
      <c r="W716" s="281"/>
      <c r="X716" s="281"/>
      <c r="Y716" s="281"/>
      <c r="Z716" s="281"/>
      <c r="AA716" s="281"/>
      <c r="AB716" s="281"/>
      <c r="AC716" s="281"/>
      <c r="AD716" s="281"/>
    </row>
    <row r="717" spans="1:30" s="288" customFormat="1" x14ac:dyDescent="0.25">
      <c r="A717" s="287"/>
      <c r="B717" s="274">
        <f t="shared" si="90"/>
        <v>702</v>
      </c>
      <c r="C717" s="304">
        <f t="shared" ca="1" si="93"/>
        <v>0</v>
      </c>
      <c r="D717" s="304">
        <f ca="1">IF(ROUND(E716,0)&lt;&gt;0, IF(ROUND(D716,0)&lt;&gt;0, 'Career Comparison'!$F$28-C717, 0), 0)</f>
        <v>0</v>
      </c>
      <c r="E717" s="304">
        <f ca="1">IF(G$7&gt;=B717, E716*(1+'Government Figures'!$D$8/12)-'Career Comparison'!$F$28, 0)</f>
        <v>0</v>
      </c>
      <c r="F717" s="312">
        <f>'College Schedule'!$L$8*(1+'Government Figures'!$B$8/12)^B717</f>
        <v>6562.1605701529597</v>
      </c>
      <c r="G717" s="278">
        <v>1</v>
      </c>
      <c r="H717" s="279">
        <f t="shared" ca="1" si="91"/>
        <v>0.17320110972991043</v>
      </c>
      <c r="I717" s="304">
        <f>G717*('College Schedule'!$L$9)*(1+'Government Figures'!$B$8/12)^B717</f>
        <v>14613.617837238635</v>
      </c>
      <c r="J717" s="304">
        <f t="shared" ca="1" si="94"/>
        <v>5520.3624405071305</v>
      </c>
      <c r="K717" s="304">
        <f t="shared" ca="1" si="95"/>
        <v>533.83678788091993</v>
      </c>
      <c r="L717" s="278">
        <v>1</v>
      </c>
      <c r="M717" s="279">
        <f t="shared" si="92"/>
        <v>0.13735784313725496</v>
      </c>
      <c r="N717" s="304">
        <f>L717*('College Schedule'!$L$10)*(1+'Government Figures'!$B$8/12)^B717</f>
        <v>8768.1707023431827</v>
      </c>
      <c r="O717" s="304">
        <f t="shared" si="96"/>
        <v>1001.6331162570932</v>
      </c>
      <c r="P717" s="304">
        <f t="shared" si="97"/>
        <v>96.861141126219493</v>
      </c>
      <c r="Q717" s="274"/>
      <c r="R717" s="281"/>
      <c r="S717" s="281"/>
      <c r="T717" s="281"/>
      <c r="U717" s="281"/>
      <c r="V717" s="281"/>
      <c r="W717" s="281"/>
      <c r="X717" s="281"/>
      <c r="Y717" s="281"/>
      <c r="Z717" s="281"/>
      <c r="AA717" s="281"/>
      <c r="AB717" s="281"/>
      <c r="AC717" s="281"/>
      <c r="AD717" s="281"/>
    </row>
    <row r="718" spans="1:30" s="288" customFormat="1" x14ac:dyDescent="0.25">
      <c r="A718" s="287"/>
      <c r="B718" s="274">
        <f t="shared" si="90"/>
        <v>703</v>
      </c>
      <c r="C718" s="304">
        <f t="shared" ca="1" si="93"/>
        <v>0</v>
      </c>
      <c r="D718" s="304">
        <f ca="1">IF(ROUND(E717,0)&lt;&gt;0, IF(ROUND(D717,0)&lt;&gt;0, 'Career Comparison'!$F$28-C718, 0), 0)</f>
        <v>0</v>
      </c>
      <c r="E718" s="304">
        <f ca="1">IF(G$7&gt;=B718, E717*(1+'Government Figures'!$D$8/12)-'Career Comparison'!$F$28, 0)</f>
        <v>0</v>
      </c>
      <c r="F718" s="312">
        <f>'College Schedule'!$L$8*(1+'Government Figures'!$B$8/12)^B718</f>
        <v>6573.0975044365505</v>
      </c>
      <c r="G718" s="278">
        <v>1</v>
      </c>
      <c r="H718" s="279">
        <f t="shared" ca="1" si="91"/>
        <v>0.17320110972991043</v>
      </c>
      <c r="I718" s="304">
        <f>G718*('College Schedule'!$L$9)*(1+'Government Figures'!$B$8/12)^B718</f>
        <v>14637.97386696737</v>
      </c>
      <c r="J718" s="304">
        <f t="shared" ca="1" si="94"/>
        <v>5529.5630445746419</v>
      </c>
      <c r="K718" s="304">
        <f t="shared" ca="1" si="95"/>
        <v>532.95001580802784</v>
      </c>
      <c r="L718" s="278">
        <v>1</v>
      </c>
      <c r="M718" s="279">
        <f t="shared" si="92"/>
        <v>0.13735784313725496</v>
      </c>
      <c r="N718" s="304">
        <f>L718*('College Schedule'!$L$10)*(1+'Government Figures'!$B$8/12)^B718</f>
        <v>8782.7843201804244</v>
      </c>
      <c r="O718" s="304">
        <f t="shared" si="96"/>
        <v>1003.3025047841884</v>
      </c>
      <c r="P718" s="304">
        <f t="shared" si="97"/>
        <v>96.700242220694179</v>
      </c>
      <c r="Q718" s="274"/>
      <c r="R718" s="281"/>
      <c r="S718" s="281"/>
      <c r="T718" s="281"/>
      <c r="U718" s="281"/>
      <c r="V718" s="281"/>
      <c r="W718" s="281"/>
      <c r="X718" s="281"/>
      <c r="Y718" s="281"/>
      <c r="Z718" s="281"/>
      <c r="AA718" s="281"/>
      <c r="AB718" s="281"/>
      <c r="AC718" s="281"/>
      <c r="AD718" s="281"/>
    </row>
    <row r="719" spans="1:30" s="288" customFormat="1" x14ac:dyDescent="0.25">
      <c r="A719" s="287"/>
      <c r="B719" s="274">
        <f t="shared" si="90"/>
        <v>704</v>
      </c>
      <c r="C719" s="304">
        <f t="shared" ca="1" si="93"/>
        <v>0</v>
      </c>
      <c r="D719" s="304">
        <f ca="1">IF(ROUND(E718,0)&lt;&gt;0, IF(ROUND(D718,0)&lt;&gt;0, 'Career Comparison'!$F$28-C719, 0), 0)</f>
        <v>0</v>
      </c>
      <c r="E719" s="304">
        <f ca="1">IF(G$7&gt;=B719, E718*(1+'Government Figures'!$D$8/12)-'Career Comparison'!$F$28, 0)</f>
        <v>0</v>
      </c>
      <c r="F719" s="312">
        <f>'College Schedule'!$L$8*(1+'Government Figures'!$B$8/12)^B719</f>
        <v>6584.0526669439441</v>
      </c>
      <c r="G719" s="278">
        <v>1</v>
      </c>
      <c r="H719" s="279">
        <f t="shared" ca="1" si="91"/>
        <v>0.17320110972991043</v>
      </c>
      <c r="I719" s="304">
        <f>G719*('College Schedule'!$L$9)*(1+'Government Figures'!$B$8/12)^B719</f>
        <v>14662.370490078982</v>
      </c>
      <c r="J719" s="304">
        <f t="shared" ca="1" si="94"/>
        <v>5538.7789829822668</v>
      </c>
      <c r="K719" s="304">
        <f t="shared" ca="1" si="95"/>
        <v>532.06471677844638</v>
      </c>
      <c r="L719" s="278">
        <v>1</v>
      </c>
      <c r="M719" s="279">
        <f t="shared" si="92"/>
        <v>0.13735784313725496</v>
      </c>
      <c r="N719" s="304">
        <f>L719*('College Schedule'!$L$10)*(1+'Government Figures'!$B$8/12)^B719</f>
        <v>8797.4222940473901</v>
      </c>
      <c r="O719" s="304">
        <f t="shared" si="96"/>
        <v>1004.9746756254945</v>
      </c>
      <c r="P719" s="304">
        <f t="shared" si="97"/>
        <v>96.539610589098245</v>
      </c>
      <c r="Q719" s="274"/>
      <c r="R719" s="281"/>
      <c r="S719" s="281"/>
      <c r="T719" s="281"/>
      <c r="U719" s="281"/>
      <c r="V719" s="281"/>
      <c r="W719" s="281"/>
      <c r="X719" s="281"/>
      <c r="Y719" s="281"/>
      <c r="Z719" s="281"/>
      <c r="AA719" s="281"/>
      <c r="AB719" s="281"/>
      <c r="AC719" s="281"/>
      <c r="AD719" s="281"/>
    </row>
    <row r="720" spans="1:30" s="288" customFormat="1" x14ac:dyDescent="0.25">
      <c r="A720" s="287"/>
      <c r="B720" s="274">
        <f t="shared" ref="B720:B735" si="98">B719+1</f>
        <v>705</v>
      </c>
      <c r="C720" s="304">
        <f t="shared" ca="1" si="93"/>
        <v>0</v>
      </c>
      <c r="D720" s="304">
        <f ca="1">IF(ROUND(E719,0)&lt;&gt;0, IF(ROUND(D719,0)&lt;&gt;0, 'Career Comparison'!$F$28-C720, 0), 0)</f>
        <v>0</v>
      </c>
      <c r="E720" s="304">
        <f ca="1">IF(G$7&gt;=B720, E719*(1+'Government Figures'!$D$8/12)-'Career Comparison'!$F$28, 0)</f>
        <v>0</v>
      </c>
      <c r="F720" s="312">
        <f>'College Schedule'!$L$8*(1+'Government Figures'!$B$8/12)^B720</f>
        <v>6595.0260880555188</v>
      </c>
      <c r="G720" s="278">
        <v>1</v>
      </c>
      <c r="H720" s="279">
        <f t="shared" ca="1" si="91"/>
        <v>0.17320110972991043</v>
      </c>
      <c r="I720" s="304">
        <f>G720*('College Schedule'!$L$9)*(1+'Government Figures'!$B$8/12)^B720</f>
        <v>14686.807774229117</v>
      </c>
      <c r="J720" s="304">
        <f t="shared" ca="1" si="94"/>
        <v>5548.0102812872401</v>
      </c>
      <c r="K720" s="304">
        <f t="shared" ca="1" si="95"/>
        <v>531.18088834525975</v>
      </c>
      <c r="L720" s="278">
        <v>1</v>
      </c>
      <c r="M720" s="279">
        <f t="shared" si="92"/>
        <v>0.13735784313725496</v>
      </c>
      <c r="N720" s="304">
        <f>L720*('College Schedule'!$L$10)*(1+'Government Figures'!$B$8/12)^B720</f>
        <v>8812.0846645374713</v>
      </c>
      <c r="O720" s="304">
        <f t="shared" si="96"/>
        <v>1006.6496334182048</v>
      </c>
      <c r="P720" s="304">
        <f t="shared" si="97"/>
        <v>96.379245787455332</v>
      </c>
      <c r="Q720" s="274"/>
      <c r="R720" s="281"/>
      <c r="S720" s="281"/>
      <c r="T720" s="281"/>
      <c r="U720" s="281"/>
      <c r="V720" s="281"/>
      <c r="W720" s="281"/>
      <c r="X720" s="281"/>
      <c r="Y720" s="281"/>
      <c r="Z720" s="281"/>
      <c r="AA720" s="281"/>
      <c r="AB720" s="281"/>
      <c r="AC720" s="281"/>
      <c r="AD720" s="281"/>
    </row>
    <row r="721" spans="1:30" s="288" customFormat="1" x14ac:dyDescent="0.25">
      <c r="A721" s="287"/>
      <c r="B721" s="274">
        <f t="shared" si="98"/>
        <v>706</v>
      </c>
      <c r="C721" s="304">
        <f t="shared" ca="1" si="93"/>
        <v>0</v>
      </c>
      <c r="D721" s="304">
        <f ca="1">IF(ROUND(E720,0)&lt;&gt;0, IF(ROUND(D720,0)&lt;&gt;0, 'Career Comparison'!$F$28-C721, 0), 0)</f>
        <v>0</v>
      </c>
      <c r="E721" s="304">
        <f ca="1">IF(G$7&gt;=B721, E720*(1+'Government Figures'!$D$8/12)-'Career Comparison'!$F$28, 0)</f>
        <v>0</v>
      </c>
      <c r="F721" s="312">
        <f>'College Schedule'!$L$8*(1+'Government Figures'!$B$8/12)^B721</f>
        <v>6606.0177982022769</v>
      </c>
      <c r="G721" s="278">
        <v>1</v>
      </c>
      <c r="H721" s="279">
        <f t="shared" ca="1" si="91"/>
        <v>0.17320110972991043</v>
      </c>
      <c r="I721" s="304">
        <f>G721*('College Schedule'!$L$9)*(1+'Government Figures'!$B$8/12)^B721</f>
        <v>14711.285787186163</v>
      </c>
      <c r="J721" s="304">
        <f t="shared" ca="1" si="94"/>
        <v>5557.2569650893847</v>
      </c>
      <c r="K721" s="304">
        <f t="shared" ca="1" si="95"/>
        <v>530.29852806561632</v>
      </c>
      <c r="L721" s="278">
        <v>1</v>
      </c>
      <c r="M721" s="279">
        <f t="shared" si="92"/>
        <v>0.13735784313725496</v>
      </c>
      <c r="N721" s="304">
        <f>L721*('College Schedule'!$L$10)*(1+'Government Figures'!$B$8/12)^B721</f>
        <v>8826.7714723117006</v>
      </c>
      <c r="O721" s="304">
        <f t="shared" si="96"/>
        <v>1008.3273828072361</v>
      </c>
      <c r="P721" s="304">
        <f t="shared" si="97"/>
        <v>96.219147372526081</v>
      </c>
      <c r="Q721" s="274"/>
      <c r="R721" s="281"/>
      <c r="S721" s="281"/>
      <c r="T721" s="281"/>
      <c r="U721" s="281"/>
      <c r="V721" s="281"/>
      <c r="W721" s="281"/>
      <c r="X721" s="281"/>
      <c r="Y721" s="281"/>
      <c r="Z721" s="281"/>
      <c r="AA721" s="281"/>
      <c r="AB721" s="281"/>
      <c r="AC721" s="281"/>
      <c r="AD721" s="281"/>
    </row>
    <row r="722" spans="1:30" s="288" customFormat="1" x14ac:dyDescent="0.25">
      <c r="A722" s="287"/>
      <c r="B722" s="274">
        <f t="shared" si="98"/>
        <v>707</v>
      </c>
      <c r="C722" s="304">
        <f t="shared" ca="1" si="93"/>
        <v>0</v>
      </c>
      <c r="D722" s="304">
        <f ca="1">IF(ROUND(E721,0)&lt;&gt;0, IF(ROUND(D721,0)&lt;&gt;0, 'Career Comparison'!$F$28-C722, 0), 0)</f>
        <v>0</v>
      </c>
      <c r="E722" s="304">
        <f ca="1">IF(G$7&gt;=B722, E721*(1+'Government Figures'!$D$8/12)-'Career Comparison'!$F$28, 0)</f>
        <v>0</v>
      </c>
      <c r="F722" s="312">
        <f>'College Schedule'!$L$8*(1+'Government Figures'!$B$8/12)^B722</f>
        <v>6617.0278278659489</v>
      </c>
      <c r="G722" s="278">
        <v>1</v>
      </c>
      <c r="H722" s="279">
        <f t="shared" ref="H722:H735" ca="1" si="99">H721</f>
        <v>0.17320110972991043</v>
      </c>
      <c r="I722" s="304">
        <f>G722*('College Schedule'!$L$9)*(1+'Government Figures'!$B$8/12)^B722</f>
        <v>14735.804596831476</v>
      </c>
      <c r="J722" s="304">
        <f t="shared" ca="1" si="94"/>
        <v>5566.5190600312008</v>
      </c>
      <c r="K722" s="304">
        <f t="shared" ca="1" si="95"/>
        <v>529.41763350072324</v>
      </c>
      <c r="L722" s="278">
        <v>1</v>
      </c>
      <c r="M722" s="279">
        <f t="shared" ref="M722:M735" si="100">M721</f>
        <v>0.13735784313725496</v>
      </c>
      <c r="N722" s="304">
        <f>L722*('College Schedule'!$L$10)*(1+'Government Figures'!$B$8/12)^B722</f>
        <v>8841.4827580988876</v>
      </c>
      <c r="O722" s="304">
        <f t="shared" si="96"/>
        <v>1010.0079284452477</v>
      </c>
      <c r="P722" s="304">
        <f t="shared" si="97"/>
        <v>96.059314901807539</v>
      </c>
      <c r="Q722" s="274"/>
      <c r="R722" s="281"/>
      <c r="S722" s="281"/>
      <c r="T722" s="281"/>
      <c r="U722" s="281"/>
      <c r="V722" s="281"/>
      <c r="W722" s="281"/>
      <c r="X722" s="281"/>
      <c r="Y722" s="281"/>
      <c r="Z722" s="281"/>
      <c r="AA722" s="281"/>
      <c r="AB722" s="281"/>
      <c r="AC722" s="281"/>
      <c r="AD722" s="281"/>
    </row>
    <row r="723" spans="1:30" s="288" customFormat="1" x14ac:dyDescent="0.25">
      <c r="A723" s="287"/>
      <c r="B723" s="274">
        <f t="shared" si="98"/>
        <v>708</v>
      </c>
      <c r="C723" s="304">
        <f t="shared" ca="1" si="93"/>
        <v>0</v>
      </c>
      <c r="D723" s="304">
        <f ca="1">IF(ROUND(E722,0)&lt;&gt;0, IF(ROUND(D722,0)&lt;&gt;0, 'Career Comparison'!$F$28-C723, 0), 0)</f>
        <v>0</v>
      </c>
      <c r="E723" s="304">
        <f ca="1">IF(G$7&gt;=B723, E722*(1+'Government Figures'!$D$8/12)-'Career Comparison'!$F$28, 0)</f>
        <v>0</v>
      </c>
      <c r="F723" s="312">
        <f>'College Schedule'!$L$8*(1+'Government Figures'!$B$8/12)^B723</f>
        <v>6628.0562075790576</v>
      </c>
      <c r="G723" s="278">
        <v>1</v>
      </c>
      <c r="H723" s="279">
        <f t="shared" ca="1" si="99"/>
        <v>0.17320110972991043</v>
      </c>
      <c r="I723" s="304">
        <f>G723*('College Schedule'!$L$9)*(1+'Government Figures'!$B$8/12)^B723</f>
        <v>14760.364271159528</v>
      </c>
      <c r="J723" s="304">
        <f t="shared" ca="1" si="94"/>
        <v>5575.7965917979191</v>
      </c>
      <c r="K723" s="304">
        <f t="shared" ca="1" si="95"/>
        <v>528.53820221583828</v>
      </c>
      <c r="L723" s="278">
        <v>1</v>
      </c>
      <c r="M723" s="279">
        <f t="shared" si="100"/>
        <v>0.13735784313725496</v>
      </c>
      <c r="N723" s="304">
        <f>L723*('College Schedule'!$L$10)*(1+'Government Figures'!$B$8/12)^B723</f>
        <v>8856.218562695718</v>
      </c>
      <c r="O723" s="304">
        <f t="shared" si="96"/>
        <v>1011.691274992656</v>
      </c>
      <c r="P723" s="304">
        <f t="shared" si="97"/>
        <v>95.899747933532069</v>
      </c>
      <c r="Q723" s="274"/>
      <c r="R723" s="281"/>
      <c r="S723" s="281"/>
      <c r="T723" s="281"/>
      <c r="U723" s="281"/>
      <c r="V723" s="281"/>
      <c r="W723" s="281"/>
      <c r="X723" s="281"/>
      <c r="Y723" s="281"/>
      <c r="Z723" s="281"/>
      <c r="AA723" s="281"/>
      <c r="AB723" s="281"/>
      <c r="AC723" s="281"/>
      <c r="AD723" s="281"/>
    </row>
    <row r="724" spans="1:30" s="288" customFormat="1" x14ac:dyDescent="0.25">
      <c r="A724" s="287"/>
      <c r="B724" s="274">
        <f t="shared" si="98"/>
        <v>709</v>
      </c>
      <c r="C724" s="304">
        <f t="shared" ca="1" si="93"/>
        <v>0</v>
      </c>
      <c r="D724" s="304">
        <f ca="1">IF(ROUND(E723,0)&lt;&gt;0, IF(ROUND(D723,0)&lt;&gt;0, 'Career Comparison'!$F$28-C724, 0), 0)</f>
        <v>0</v>
      </c>
      <c r="E724" s="304">
        <f ca="1">IF(G$7&gt;=B724, E723*(1+'Government Figures'!$D$8/12)-'Career Comparison'!$F$28, 0)</f>
        <v>0</v>
      </c>
      <c r="F724" s="312">
        <f>'College Schedule'!$L$8*(1+'Government Figures'!$B$8/12)^B724</f>
        <v>6639.1029679250223</v>
      </c>
      <c r="G724" s="278">
        <v>1</v>
      </c>
      <c r="H724" s="279">
        <f t="shared" ca="1" si="99"/>
        <v>0.17320110972991043</v>
      </c>
      <c r="I724" s="304">
        <f>G724*('College Schedule'!$L$9)*(1+'Government Figures'!$B$8/12)^B724</f>
        <v>14784.964878278124</v>
      </c>
      <c r="J724" s="304">
        <f t="shared" ca="1" si="94"/>
        <v>5585.0895861175813</v>
      </c>
      <c r="K724" s="304">
        <f t="shared" ca="1" si="95"/>
        <v>527.66023178026376</v>
      </c>
      <c r="L724" s="278">
        <v>1</v>
      </c>
      <c r="M724" s="279">
        <f t="shared" si="100"/>
        <v>0.13735784313725496</v>
      </c>
      <c r="N724" s="304">
        <f>L724*('College Schedule'!$L$10)*(1+'Government Figures'!$B$8/12)^B724</f>
        <v>8870.9789269668763</v>
      </c>
      <c r="O724" s="304">
        <f t="shared" si="96"/>
        <v>1013.3774271176435</v>
      </c>
      <c r="P724" s="304">
        <f t="shared" si="97"/>
        <v>95.740446026665722</v>
      </c>
      <c r="Q724" s="274"/>
      <c r="R724" s="281"/>
      <c r="S724" s="281"/>
      <c r="T724" s="281"/>
      <c r="U724" s="281"/>
      <c r="V724" s="281"/>
      <c r="W724" s="281"/>
      <c r="X724" s="281"/>
      <c r="Y724" s="281"/>
      <c r="Z724" s="281"/>
      <c r="AA724" s="281"/>
      <c r="AB724" s="281"/>
      <c r="AC724" s="281"/>
      <c r="AD724" s="281"/>
    </row>
    <row r="725" spans="1:30" s="288" customFormat="1" x14ac:dyDescent="0.25">
      <c r="A725" s="287"/>
      <c r="B725" s="274">
        <f t="shared" si="98"/>
        <v>710</v>
      </c>
      <c r="C725" s="304">
        <f t="shared" ca="1" si="93"/>
        <v>0</v>
      </c>
      <c r="D725" s="304">
        <f ca="1">IF(ROUND(E724,0)&lt;&gt;0, IF(ROUND(D724,0)&lt;&gt;0, 'Career Comparison'!$F$28-C725, 0), 0)</f>
        <v>0</v>
      </c>
      <c r="E725" s="304">
        <f ca="1">IF(G$7&gt;=B725, E724*(1+'Government Figures'!$D$8/12)-'Career Comparison'!$F$28, 0)</f>
        <v>0</v>
      </c>
      <c r="F725" s="312">
        <f>'College Schedule'!$L$8*(1+'Government Figures'!$B$8/12)^B725</f>
        <v>6650.1681395382311</v>
      </c>
      <c r="G725" s="278">
        <v>1</v>
      </c>
      <c r="H725" s="279">
        <f t="shared" ca="1" si="99"/>
        <v>0.17320110972991043</v>
      </c>
      <c r="I725" s="304">
        <f>G725*('College Schedule'!$L$9)*(1+'Government Figures'!$B$8/12)^B725</f>
        <v>14809.606486408589</v>
      </c>
      <c r="J725" s="304">
        <f t="shared" ca="1" si="94"/>
        <v>5594.3980687611111</v>
      </c>
      <c r="K725" s="304">
        <f t="shared" ca="1" si="95"/>
        <v>526.78371976733956</v>
      </c>
      <c r="L725" s="278">
        <v>1</v>
      </c>
      <c r="M725" s="279">
        <f t="shared" si="100"/>
        <v>0.13735784313725496</v>
      </c>
      <c r="N725" s="304">
        <f>L725*('College Schedule'!$L$10)*(1+'Government Figures'!$B$8/12)^B725</f>
        <v>8885.7638918451557</v>
      </c>
      <c r="O725" s="304">
        <f t="shared" si="96"/>
        <v>1015.0663894961735</v>
      </c>
      <c r="P725" s="304">
        <f t="shared" si="97"/>
        <v>95.581408740907179</v>
      </c>
      <c r="Q725" s="274"/>
      <c r="R725" s="281"/>
      <c r="S725" s="281"/>
      <c r="T725" s="281"/>
      <c r="U725" s="281"/>
      <c r="V725" s="281"/>
      <c r="W725" s="281"/>
      <c r="X725" s="281"/>
      <c r="Y725" s="281"/>
      <c r="Z725" s="281"/>
      <c r="AA725" s="281"/>
      <c r="AB725" s="281"/>
      <c r="AC725" s="281"/>
      <c r="AD725" s="281"/>
    </row>
    <row r="726" spans="1:30" s="288" customFormat="1" x14ac:dyDescent="0.25">
      <c r="A726" s="287"/>
      <c r="B726" s="274">
        <f t="shared" si="98"/>
        <v>711</v>
      </c>
      <c r="C726" s="304">
        <f t="shared" ca="1" si="93"/>
        <v>0</v>
      </c>
      <c r="D726" s="304">
        <f ca="1">IF(ROUND(E725,0)&lt;&gt;0, IF(ROUND(D725,0)&lt;&gt;0, 'Career Comparison'!$F$28-C726, 0), 0)</f>
        <v>0</v>
      </c>
      <c r="E726" s="304">
        <f ca="1">IF(G$7&gt;=B726, E725*(1+'Government Figures'!$D$8/12)-'Career Comparison'!$F$28, 0)</f>
        <v>0</v>
      </c>
      <c r="F726" s="312">
        <f>'College Schedule'!$L$8*(1+'Government Figures'!$B$8/12)^B726</f>
        <v>6661.2517531041294</v>
      </c>
      <c r="G726" s="278">
        <v>1</v>
      </c>
      <c r="H726" s="279">
        <f t="shared" ca="1" si="99"/>
        <v>0.17320110972991043</v>
      </c>
      <c r="I726" s="304">
        <f>G726*('College Schedule'!$L$9)*(1+'Government Figures'!$B$8/12)^B726</f>
        <v>14834.289163885938</v>
      </c>
      <c r="J726" s="304">
        <f t="shared" ca="1" si="94"/>
        <v>5603.7220655423798</v>
      </c>
      <c r="K726" s="304">
        <f t="shared" ca="1" si="95"/>
        <v>525.90866375443693</v>
      </c>
      <c r="L726" s="278">
        <v>1</v>
      </c>
      <c r="M726" s="279">
        <f t="shared" si="100"/>
        <v>0.13735784313725496</v>
      </c>
      <c r="N726" s="304">
        <f>L726*('College Schedule'!$L$10)*(1+'Government Figures'!$B$8/12)^B726</f>
        <v>8900.5734983315651</v>
      </c>
      <c r="O726" s="304">
        <f t="shared" si="96"/>
        <v>1016.7581668120001</v>
      </c>
      <c r="P726" s="304">
        <f t="shared" si="97"/>
        <v>95.422635636686337</v>
      </c>
      <c r="Q726" s="274"/>
      <c r="R726" s="281"/>
      <c r="S726" s="281"/>
      <c r="T726" s="281"/>
      <c r="U726" s="281"/>
      <c r="V726" s="281"/>
      <c r="W726" s="281"/>
      <c r="X726" s="281"/>
      <c r="Y726" s="281"/>
      <c r="Z726" s="281"/>
      <c r="AA726" s="281"/>
      <c r="AB726" s="281"/>
      <c r="AC726" s="281"/>
      <c r="AD726" s="281"/>
    </row>
    <row r="727" spans="1:30" s="288" customFormat="1" x14ac:dyDescent="0.25">
      <c r="A727" s="287"/>
      <c r="B727" s="274">
        <f t="shared" si="98"/>
        <v>712</v>
      </c>
      <c r="C727" s="304">
        <f t="shared" ref="C727:C735" ca="1" si="101">E726-E727</f>
        <v>0</v>
      </c>
      <c r="D727" s="304">
        <f ca="1">IF(ROUND(E726,0)&lt;&gt;0, IF(ROUND(D726,0)&lt;&gt;0, 'Career Comparison'!$F$28-C727, 0), 0)</f>
        <v>0</v>
      </c>
      <c r="E727" s="304">
        <f ca="1">IF(G$7&gt;=B727, E726*(1+'Government Figures'!$D$8/12)-'Career Comparison'!$F$28, 0)</f>
        <v>0</v>
      </c>
      <c r="F727" s="312">
        <f>'College Schedule'!$L$8*(1+'Government Figures'!$B$8/12)^B727</f>
        <v>6672.3538393593044</v>
      </c>
      <c r="G727" s="278">
        <v>1</v>
      </c>
      <c r="H727" s="279">
        <f t="shared" ca="1" si="99"/>
        <v>0.17320110972991043</v>
      </c>
      <c r="I727" s="304">
        <f>G727*('College Schedule'!$L$9)*(1+'Government Figures'!$B$8/12)^B727</f>
        <v>14859.012979159086</v>
      </c>
      <c r="J727" s="304">
        <f t="shared" ref="J727:J735" ca="1" si="102">I727*(1-H727)-F727-C727-D727</f>
        <v>5613.0616023182847</v>
      </c>
      <c r="K727" s="304">
        <f t="shared" ref="K727:K735" ca="1" si="103">J727/(1+($G$9/12))^B727</f>
        <v>525.03506132295126</v>
      </c>
      <c r="L727" s="278">
        <v>1</v>
      </c>
      <c r="M727" s="279">
        <f t="shared" si="100"/>
        <v>0.13735784313725496</v>
      </c>
      <c r="N727" s="304">
        <f>L727*('College Schedule'!$L$10)*(1+'Government Figures'!$B$8/12)^B727</f>
        <v>8915.4077874954528</v>
      </c>
      <c r="O727" s="304">
        <f t="shared" ref="O727:O735" si="104">N727*(1-M727)-F727</f>
        <v>1018.4527637566871</v>
      </c>
      <c r="P727" s="304">
        <f t="shared" ref="P727:P735" si="105">O727/(1+($G$9/12))^B727</f>
        <v>95.264126275163648</v>
      </c>
      <c r="Q727" s="274"/>
      <c r="R727" s="281"/>
      <c r="S727" s="281"/>
      <c r="T727" s="281"/>
      <c r="U727" s="281"/>
      <c r="V727" s="281"/>
      <c r="W727" s="281"/>
      <c r="X727" s="281"/>
      <c r="Y727" s="281"/>
      <c r="Z727" s="281"/>
      <c r="AA727" s="281"/>
      <c r="AB727" s="281"/>
      <c r="AC727" s="281"/>
      <c r="AD727" s="281"/>
    </row>
    <row r="728" spans="1:30" s="288" customFormat="1" x14ac:dyDescent="0.25">
      <c r="A728" s="287"/>
      <c r="B728" s="274">
        <f t="shared" si="98"/>
        <v>713</v>
      </c>
      <c r="C728" s="304">
        <f t="shared" ca="1" si="101"/>
        <v>0</v>
      </c>
      <c r="D728" s="304">
        <f ca="1">IF(ROUND(E727,0)&lt;&gt;0, IF(ROUND(D727,0)&lt;&gt;0, 'Career Comparison'!$F$28-C728, 0), 0)</f>
        <v>0</v>
      </c>
      <c r="E728" s="304">
        <f ca="1">IF(G$7&gt;=B728, E727*(1+'Government Figures'!$D$8/12)-'Career Comparison'!$F$28, 0)</f>
        <v>0</v>
      </c>
      <c r="F728" s="312">
        <f>'College Schedule'!$L$8*(1+'Government Figures'!$B$8/12)^B728</f>
        <v>6683.4744290915696</v>
      </c>
      <c r="G728" s="278">
        <v>1</v>
      </c>
      <c r="H728" s="279">
        <f t="shared" ca="1" si="99"/>
        <v>0.17320110972991043</v>
      </c>
      <c r="I728" s="304">
        <f>G728*('College Schedule'!$L$9)*(1+'Government Figures'!$B$8/12)^B728</f>
        <v>14883.778000791017</v>
      </c>
      <c r="J728" s="304">
        <f t="shared" ca="1" si="102"/>
        <v>5622.4167049888147</v>
      </c>
      <c r="K728" s="304">
        <f t="shared" ca="1" si="103"/>
        <v>524.16291005829532</v>
      </c>
      <c r="L728" s="278">
        <v>1</v>
      </c>
      <c r="M728" s="279">
        <f t="shared" si="100"/>
        <v>0.13735784313725496</v>
      </c>
      <c r="N728" s="304">
        <f>L728*('College Schedule'!$L$10)*(1+'Government Figures'!$B$8/12)^B728</f>
        <v>8930.266800474612</v>
      </c>
      <c r="O728" s="304">
        <f t="shared" si="104"/>
        <v>1020.1501850296145</v>
      </c>
      <c r="P728" s="304">
        <f t="shared" si="105"/>
        <v>95.105880218228137</v>
      </c>
      <c r="Q728" s="274"/>
      <c r="R728" s="281"/>
      <c r="S728" s="281"/>
      <c r="T728" s="281"/>
      <c r="U728" s="281"/>
      <c r="V728" s="281"/>
      <c r="W728" s="281"/>
      <c r="X728" s="281"/>
      <c r="Y728" s="281"/>
      <c r="Z728" s="281"/>
      <c r="AA728" s="281"/>
      <c r="AB728" s="281"/>
      <c r="AC728" s="281"/>
      <c r="AD728" s="281"/>
    </row>
    <row r="729" spans="1:30" s="288" customFormat="1" x14ac:dyDescent="0.25">
      <c r="A729" s="287"/>
      <c r="B729" s="274">
        <f t="shared" si="98"/>
        <v>714</v>
      </c>
      <c r="C729" s="304">
        <f t="shared" ca="1" si="101"/>
        <v>0</v>
      </c>
      <c r="D729" s="304">
        <f ca="1">IF(ROUND(E728,0)&lt;&gt;0, IF(ROUND(D728,0)&lt;&gt;0, 'Career Comparison'!$F$28-C729, 0), 0)</f>
        <v>0</v>
      </c>
      <c r="E729" s="304">
        <f ca="1">IF(G$7&gt;=B729, E728*(1+'Government Figures'!$D$8/12)-'Career Comparison'!$F$28, 0)</f>
        <v>0</v>
      </c>
      <c r="F729" s="312">
        <f>'College Schedule'!$L$8*(1+'Government Figures'!$B$8/12)^B729</f>
        <v>6694.613553140056</v>
      </c>
      <c r="G729" s="278">
        <v>1</v>
      </c>
      <c r="H729" s="279">
        <f t="shared" ca="1" si="99"/>
        <v>0.17320110972991043</v>
      </c>
      <c r="I729" s="304">
        <f>G729*('College Schedule'!$L$9)*(1+'Government Figures'!$B$8/12)^B729</f>
        <v>14908.584297459003</v>
      </c>
      <c r="J729" s="304">
        <f t="shared" ca="1" si="102"/>
        <v>5631.7873994971305</v>
      </c>
      <c r="K729" s="304">
        <f t="shared" ca="1" si="103"/>
        <v>523.29220754989274</v>
      </c>
      <c r="L729" s="278">
        <v>1</v>
      </c>
      <c r="M729" s="279">
        <f t="shared" si="100"/>
        <v>0.13735784313725496</v>
      </c>
      <c r="N729" s="304">
        <f>L729*('College Schedule'!$L$10)*(1+'Government Figures'!$B$8/12)^B729</f>
        <v>8945.1505784754027</v>
      </c>
      <c r="O729" s="304">
        <f t="shared" si="104"/>
        <v>1021.8504353379967</v>
      </c>
      <c r="P729" s="304">
        <f t="shared" si="105"/>
        <v>94.947897028496783</v>
      </c>
      <c r="Q729" s="274"/>
      <c r="R729" s="281"/>
      <c r="S729" s="281"/>
      <c r="T729" s="281"/>
      <c r="U729" s="281"/>
      <c r="V729" s="281"/>
      <c r="W729" s="281"/>
      <c r="X729" s="281"/>
      <c r="Y729" s="281"/>
      <c r="Z729" s="281"/>
      <c r="AA729" s="281"/>
      <c r="AB729" s="281"/>
      <c r="AC729" s="281"/>
      <c r="AD729" s="281"/>
    </row>
    <row r="730" spans="1:30" s="288" customFormat="1" x14ac:dyDescent="0.25">
      <c r="A730" s="287"/>
      <c r="B730" s="274">
        <f t="shared" si="98"/>
        <v>715</v>
      </c>
      <c r="C730" s="304">
        <f t="shared" ca="1" si="101"/>
        <v>0</v>
      </c>
      <c r="D730" s="304">
        <f ca="1">IF(ROUND(E729,0)&lt;&gt;0, IF(ROUND(D729,0)&lt;&gt;0, 'Career Comparison'!$F$28-C730, 0), 0)</f>
        <v>0</v>
      </c>
      <c r="E730" s="304">
        <f ca="1">IF(G$7&gt;=B730, E729*(1+'Government Figures'!$D$8/12)-'Career Comparison'!$F$28, 0)</f>
        <v>0</v>
      </c>
      <c r="F730" s="312">
        <f>'College Schedule'!$L$8*(1+'Government Figures'!$B$8/12)^B730</f>
        <v>6705.7712423952908</v>
      </c>
      <c r="G730" s="278">
        <v>1</v>
      </c>
      <c r="H730" s="279">
        <f t="shared" ca="1" si="99"/>
        <v>0.17320110972991043</v>
      </c>
      <c r="I730" s="304">
        <f>G730*('College Schedule'!$L$9)*(1+'Government Figures'!$B$8/12)^B730</f>
        <v>14933.431937954771</v>
      </c>
      <c r="J730" s="304">
        <f t="shared" ca="1" si="102"/>
        <v>5641.173711829626</v>
      </c>
      <c r="K730" s="304">
        <f t="shared" ca="1" si="103"/>
        <v>522.42295139117186</v>
      </c>
      <c r="L730" s="278">
        <v>1</v>
      </c>
      <c r="M730" s="279">
        <f t="shared" si="100"/>
        <v>0.13735784313725496</v>
      </c>
      <c r="N730" s="304">
        <f>L730*('College Schedule'!$L$10)*(1+'Government Figures'!$B$8/12)^B730</f>
        <v>8960.0591627728645</v>
      </c>
      <c r="O730" s="304">
        <f t="shared" si="104"/>
        <v>1023.5535193968944</v>
      </c>
      <c r="P730" s="304">
        <f t="shared" si="105"/>
        <v>94.790176269313321</v>
      </c>
      <c r="Q730" s="274"/>
      <c r="R730" s="281"/>
      <c r="S730" s="281"/>
      <c r="T730" s="281"/>
      <c r="U730" s="281"/>
      <c r="V730" s="281"/>
      <c r="W730" s="281"/>
      <c r="X730" s="281"/>
      <c r="Y730" s="281"/>
      <c r="Z730" s="281"/>
      <c r="AA730" s="281"/>
      <c r="AB730" s="281"/>
      <c r="AC730" s="281"/>
      <c r="AD730" s="281"/>
    </row>
    <row r="731" spans="1:30" s="288" customFormat="1" x14ac:dyDescent="0.25">
      <c r="A731" s="287"/>
      <c r="B731" s="274">
        <f t="shared" si="98"/>
        <v>716</v>
      </c>
      <c r="C731" s="304">
        <f t="shared" ca="1" si="101"/>
        <v>0</v>
      </c>
      <c r="D731" s="304">
        <f ca="1">IF(ROUND(E730,0)&lt;&gt;0, IF(ROUND(D730,0)&lt;&gt;0, 'Career Comparison'!$F$28-C731, 0), 0)</f>
        <v>0</v>
      </c>
      <c r="E731" s="304">
        <f ca="1">IF(G$7&gt;=B731, E730*(1+'Government Figures'!$D$8/12)-'Career Comparison'!$F$28, 0)</f>
        <v>0</v>
      </c>
      <c r="F731" s="312">
        <f>'College Schedule'!$L$8*(1+'Government Figures'!$B$8/12)^B731</f>
        <v>6716.9475277992824</v>
      </c>
      <c r="G731" s="278">
        <v>1</v>
      </c>
      <c r="H731" s="279">
        <f t="shared" ca="1" si="99"/>
        <v>0.17320110972991043</v>
      </c>
      <c r="I731" s="304">
        <f>G731*('College Schedule'!$L$9)*(1+'Government Figures'!$B$8/12)^B731</f>
        <v>14958.320991184693</v>
      </c>
      <c r="J731" s="304">
        <f t="shared" ca="1" si="102"/>
        <v>5650.5756680160084</v>
      </c>
      <c r="K731" s="304">
        <f t="shared" ca="1" si="103"/>
        <v>521.55513917955864</v>
      </c>
      <c r="L731" s="278">
        <v>1</v>
      </c>
      <c r="M731" s="279">
        <f t="shared" si="100"/>
        <v>0.13735784313725496</v>
      </c>
      <c r="N731" s="304">
        <f>L731*('College Schedule'!$L$10)*(1+'Government Figures'!$B$8/12)^B731</f>
        <v>8974.9925947108186</v>
      </c>
      <c r="O731" s="304">
        <f t="shared" si="104"/>
        <v>1025.2594419292227</v>
      </c>
      <c r="P731" s="304">
        <f t="shared" si="105"/>
        <v>94.632717504746353</v>
      </c>
      <c r="Q731" s="274"/>
      <c r="R731" s="281"/>
      <c r="S731" s="281"/>
      <c r="T731" s="281"/>
      <c r="U731" s="281"/>
      <c r="V731" s="281"/>
      <c r="W731" s="281"/>
      <c r="X731" s="281"/>
      <c r="Y731" s="281"/>
      <c r="Z731" s="281"/>
      <c r="AA731" s="281"/>
      <c r="AB731" s="281"/>
      <c r="AC731" s="281"/>
      <c r="AD731" s="281"/>
    </row>
    <row r="732" spans="1:30" s="288" customFormat="1" x14ac:dyDescent="0.25">
      <c r="A732" s="287"/>
      <c r="B732" s="274">
        <f t="shared" si="98"/>
        <v>717</v>
      </c>
      <c r="C732" s="304">
        <f t="shared" ca="1" si="101"/>
        <v>0</v>
      </c>
      <c r="D732" s="304">
        <f ca="1">IF(ROUND(E731,0)&lt;&gt;0, IF(ROUND(D731,0)&lt;&gt;0, 'Career Comparison'!$F$28-C732, 0), 0)</f>
        <v>0</v>
      </c>
      <c r="E732" s="304">
        <f ca="1">IF(G$7&gt;=B732, E731*(1+'Government Figures'!$D$8/12)-'Career Comparison'!$F$28, 0)</f>
        <v>0</v>
      </c>
      <c r="F732" s="312">
        <f>'College Schedule'!$L$8*(1+'Government Figures'!$B$8/12)^B732</f>
        <v>6728.1424403456158</v>
      </c>
      <c r="G732" s="278">
        <v>1</v>
      </c>
      <c r="H732" s="279">
        <f t="shared" ca="1" si="99"/>
        <v>0.17320110972991043</v>
      </c>
      <c r="I732" s="304">
        <f>G732*('College Schedule'!$L$9)*(1+'Government Figures'!$B$8/12)^B732</f>
        <v>14983.251526170005</v>
      </c>
      <c r="J732" s="304">
        <f t="shared" ca="1" si="102"/>
        <v>5659.9932941293691</v>
      </c>
      <c r="K732" s="304">
        <f t="shared" ca="1" si="103"/>
        <v>520.68876851646974</v>
      </c>
      <c r="L732" s="278">
        <v>1</v>
      </c>
      <c r="M732" s="279">
        <f t="shared" si="100"/>
        <v>0.13735784313725496</v>
      </c>
      <c r="N732" s="304">
        <f>L732*('College Schedule'!$L$10)*(1+'Government Figures'!$B$8/12)^B732</f>
        <v>8989.9509157020038</v>
      </c>
      <c r="O732" s="304">
        <f t="shared" si="104"/>
        <v>1026.9682076657709</v>
      </c>
      <c r="P732" s="304">
        <f t="shared" si="105"/>
        <v>94.475520299588936</v>
      </c>
      <c r="Q732" s="274"/>
      <c r="R732" s="281"/>
      <c r="S732" s="281"/>
      <c r="T732" s="281"/>
      <c r="U732" s="281"/>
      <c r="V732" s="281"/>
      <c r="W732" s="281"/>
      <c r="X732" s="281"/>
      <c r="Y732" s="281"/>
      <c r="Z732" s="281"/>
      <c r="AA732" s="281"/>
      <c r="AB732" s="281"/>
      <c r="AC732" s="281"/>
      <c r="AD732" s="281"/>
    </row>
    <row r="733" spans="1:30" s="288" customFormat="1" x14ac:dyDescent="0.25">
      <c r="A733" s="287"/>
      <c r="B733" s="274">
        <f t="shared" si="98"/>
        <v>718</v>
      </c>
      <c r="C733" s="304">
        <f t="shared" ca="1" si="101"/>
        <v>0</v>
      </c>
      <c r="D733" s="304">
        <f ca="1">IF(ROUND(E732,0)&lt;&gt;0, IF(ROUND(D732,0)&lt;&gt;0, 'Career Comparison'!$F$28-C733, 0), 0)</f>
        <v>0</v>
      </c>
      <c r="E733" s="304">
        <f ca="1">IF(G$7&gt;=B733, E732*(1+'Government Figures'!$D$8/12)-'Career Comparison'!$F$28, 0)</f>
        <v>0</v>
      </c>
      <c r="F733" s="312">
        <f>'College Schedule'!$L$8*(1+'Government Figures'!$B$8/12)^B733</f>
        <v>6739.3560110795252</v>
      </c>
      <c r="G733" s="278">
        <v>1</v>
      </c>
      <c r="H733" s="279">
        <f t="shared" ca="1" si="99"/>
        <v>0.17320110972991043</v>
      </c>
      <c r="I733" s="304">
        <f>G733*('College Schedule'!$L$9)*(1+'Government Figures'!$B$8/12)^B733</f>
        <v>15008.223612046955</v>
      </c>
      <c r="J733" s="304">
        <f t="shared" ca="1" si="102"/>
        <v>5669.4266162862523</v>
      </c>
      <c r="K733" s="304">
        <f t="shared" ca="1" si="103"/>
        <v>519.82383700730622</v>
      </c>
      <c r="L733" s="278">
        <v>1</v>
      </c>
      <c r="M733" s="279">
        <f t="shared" si="100"/>
        <v>0.13735784313725496</v>
      </c>
      <c r="N733" s="304">
        <f>L733*('College Schedule'!$L$10)*(1+'Government Figures'!$B$8/12)^B733</f>
        <v>9004.9341672281753</v>
      </c>
      <c r="O733" s="304">
        <f t="shared" si="104"/>
        <v>1028.6798213452148</v>
      </c>
      <c r="P733" s="304">
        <f t="shared" si="105"/>
        <v>94.318584219357149</v>
      </c>
      <c r="Q733" s="274"/>
      <c r="R733" s="281"/>
      <c r="S733" s="281"/>
      <c r="T733" s="281"/>
      <c r="U733" s="281"/>
      <c r="V733" s="281"/>
      <c r="W733" s="281"/>
      <c r="X733" s="281"/>
      <c r="Y733" s="281"/>
      <c r="Z733" s="281"/>
      <c r="AA733" s="281"/>
      <c r="AB733" s="281"/>
      <c r="AC733" s="281"/>
      <c r="AD733" s="281"/>
    </row>
    <row r="734" spans="1:30" s="288" customFormat="1" x14ac:dyDescent="0.25">
      <c r="A734" s="287"/>
      <c r="B734" s="274">
        <f t="shared" si="98"/>
        <v>719</v>
      </c>
      <c r="C734" s="304">
        <f t="shared" ca="1" si="101"/>
        <v>0</v>
      </c>
      <c r="D734" s="304">
        <f ca="1">IF(ROUND(E733,0)&lt;&gt;0, IF(ROUND(D733,0)&lt;&gt;0, 'Career Comparison'!$F$28-C734, 0), 0)</f>
        <v>0</v>
      </c>
      <c r="E734" s="304">
        <f ca="1">IF(G$7&gt;=B734, E733*(1+'Government Figures'!$D$8/12)-'Career Comparison'!$F$28, 0)</f>
        <v>0</v>
      </c>
      <c r="F734" s="312">
        <f>'College Schedule'!$L$8*(1+'Government Figures'!$B$8/12)^B734</f>
        <v>6750.5882710979904</v>
      </c>
      <c r="G734" s="278">
        <v>1</v>
      </c>
      <c r="H734" s="279">
        <f t="shared" ca="1" si="99"/>
        <v>0.17320110972991043</v>
      </c>
      <c r="I734" s="304">
        <f>G734*('College Schedule'!$L$9)*(1+'Government Figures'!$B$8/12)^B734</f>
        <v>15033.237318067031</v>
      </c>
      <c r="J734" s="304">
        <f t="shared" ca="1" si="102"/>
        <v>5678.8756606467277</v>
      </c>
      <c r="K734" s="304">
        <f t="shared" ca="1" si="103"/>
        <v>518.96034226144661</v>
      </c>
      <c r="L734" s="278">
        <v>1</v>
      </c>
      <c r="M734" s="279">
        <f t="shared" si="100"/>
        <v>0.13735784313725496</v>
      </c>
      <c r="N734" s="304">
        <f>L734*('College Schedule'!$L$10)*(1+'Government Figures'!$B$8/12)^B734</f>
        <v>9019.9423908402205</v>
      </c>
      <c r="O734" s="304">
        <f t="shared" si="104"/>
        <v>1030.3942877141226</v>
      </c>
      <c r="P734" s="304">
        <f t="shared" si="105"/>
        <v>94.161908830288326</v>
      </c>
      <c r="Q734" s="274"/>
      <c r="R734" s="281"/>
      <c r="S734" s="281"/>
      <c r="T734" s="281"/>
      <c r="U734" s="281"/>
      <c r="V734" s="281"/>
      <c r="W734" s="281"/>
      <c r="X734" s="281"/>
      <c r="Y734" s="281"/>
      <c r="Z734" s="281"/>
      <c r="AA734" s="281"/>
      <c r="AB734" s="281"/>
      <c r="AC734" s="281"/>
      <c r="AD734" s="281"/>
    </row>
    <row r="735" spans="1:30" s="288" customFormat="1" x14ac:dyDescent="0.25">
      <c r="A735" s="287"/>
      <c r="B735" s="274">
        <f t="shared" si="98"/>
        <v>720</v>
      </c>
      <c r="C735" s="304">
        <f t="shared" ca="1" si="101"/>
        <v>0</v>
      </c>
      <c r="D735" s="304">
        <f ca="1">IF(ROUND(E734,0)&lt;&gt;0, IF(ROUND(D734,0)&lt;&gt;0, 'Career Comparison'!$F$28-C735, 0), 0)</f>
        <v>0</v>
      </c>
      <c r="E735" s="304">
        <f ca="1">IF(G$7&gt;=B735, E734*(1+'Government Figures'!$D$8/12)-'Career Comparison'!$F$28, 0)</f>
        <v>0</v>
      </c>
      <c r="F735" s="312">
        <f>'College Schedule'!$L$8*(1+'Government Figures'!$B$8/12)^B735</f>
        <v>6761.8392515498217</v>
      </c>
      <c r="G735" s="278">
        <v>1</v>
      </c>
      <c r="H735" s="279">
        <f t="shared" ca="1" si="99"/>
        <v>0.17320110972991043</v>
      </c>
      <c r="I735" s="304">
        <f>G735*('College Schedule'!$L$9)*(1+'Government Figures'!$B$8/12)^B735</f>
        <v>15058.292713597148</v>
      </c>
      <c r="J735" s="304">
        <f t="shared" ca="1" si="102"/>
        <v>5688.3404534144756</v>
      </c>
      <c r="K735" s="304">
        <f t="shared" ca="1" si="103"/>
        <v>518.09828189224186</v>
      </c>
      <c r="L735" s="278">
        <v>1</v>
      </c>
      <c r="M735" s="279">
        <f t="shared" si="100"/>
        <v>0.13735784313725496</v>
      </c>
      <c r="N735" s="304">
        <f>L735*('College Schedule'!$L$10)*(1+'Government Figures'!$B$8/12)^B735</f>
        <v>9034.9756281582904</v>
      </c>
      <c r="O735" s="304">
        <f t="shared" si="104"/>
        <v>1032.1116115269806</v>
      </c>
      <c r="P735" s="304">
        <f t="shared" si="105"/>
        <v>94.005493699341102</v>
      </c>
      <c r="Q735" s="274"/>
      <c r="R735" s="281"/>
      <c r="S735" s="281"/>
      <c r="T735" s="281"/>
      <c r="U735" s="281"/>
      <c r="V735" s="281"/>
      <c r="W735" s="281"/>
      <c r="X735" s="281"/>
      <c r="Y735" s="281"/>
      <c r="Z735" s="281"/>
      <c r="AA735" s="281"/>
      <c r="AB735" s="281"/>
      <c r="AC735" s="281"/>
      <c r="AD735" s="281"/>
    </row>
  </sheetData>
  <mergeCells count="15">
    <mergeCell ref="E7:F7"/>
    <mergeCell ref="E8:F8"/>
    <mergeCell ref="C15:D15"/>
    <mergeCell ref="B2:F2"/>
    <mergeCell ref="H2:L4"/>
    <mergeCell ref="B3:F3"/>
    <mergeCell ref="B4:F4"/>
    <mergeCell ref="G13:K13"/>
    <mergeCell ref="L13:P13"/>
    <mergeCell ref="B13:B14"/>
    <mergeCell ref="F13:F14"/>
    <mergeCell ref="G12:P12"/>
    <mergeCell ref="C13:C14"/>
    <mergeCell ref="D13:D14"/>
    <mergeCell ref="E13:E14"/>
  </mergeCells>
  <hyperlinks>
    <hyperlink ref="B4" r:id="rId1" xr:uid="{00000000-0004-0000-0400-000000000000}"/>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8"/>
  <sheetViews>
    <sheetView zoomScale="150" zoomScaleNormal="150" workbookViewId="0">
      <selection activeCell="B2" sqref="B2:E2"/>
    </sheetView>
  </sheetViews>
  <sheetFormatPr defaultColWidth="8.85546875" defaultRowHeight="15" x14ac:dyDescent="0.25"/>
  <cols>
    <col min="1" max="1" width="1.5703125" style="7" customWidth="1"/>
    <col min="2" max="2" width="22.42578125" style="7" customWidth="1"/>
    <col min="3" max="3" width="8.5703125" style="7" customWidth="1"/>
    <col min="4" max="4" width="13.5703125" style="222" customWidth="1"/>
    <col min="5" max="5" width="38.85546875" style="7" customWidth="1"/>
    <col min="6" max="6" width="1.5703125" style="7" customWidth="1"/>
    <col min="7" max="7" width="9.85546875" style="3" customWidth="1"/>
    <col min="8" max="8" width="22.85546875" style="3" customWidth="1"/>
    <col min="9" max="9" width="24.5703125" style="3" customWidth="1"/>
    <col min="10" max="10" width="26.28515625" style="3" customWidth="1"/>
    <col min="11" max="11" width="8.85546875" style="3"/>
    <col min="12" max="16384" width="8.85546875" style="7"/>
  </cols>
  <sheetData>
    <row r="1" spans="1:12" s="3" customFormat="1" ht="3" customHeight="1" x14ac:dyDescent="0.25">
      <c r="A1" s="21"/>
      <c r="B1" s="21"/>
      <c r="C1" s="21"/>
      <c r="D1" s="210"/>
      <c r="E1" s="21"/>
      <c r="K1" s="6"/>
      <c r="L1" s="20"/>
    </row>
    <row r="2" spans="1:12" s="3" customFormat="1" ht="24.6" customHeight="1" x14ac:dyDescent="0.25">
      <c r="A2" s="21"/>
      <c r="B2" s="389" t="s">
        <v>257</v>
      </c>
      <c r="C2" s="389"/>
      <c r="D2" s="389"/>
      <c r="E2" s="389"/>
      <c r="F2" s="57"/>
      <c r="G2" s="57"/>
      <c r="H2" s="57"/>
      <c r="I2" s="57"/>
      <c r="J2" s="57"/>
      <c r="K2" s="57"/>
      <c r="L2" s="20"/>
    </row>
    <row r="3" spans="1:12" s="3" customFormat="1" ht="3" customHeight="1" x14ac:dyDescent="0.25">
      <c r="A3" s="21"/>
      <c r="B3" s="21"/>
      <c r="C3" s="21"/>
      <c r="D3" s="258"/>
      <c r="E3" s="21"/>
      <c r="I3" s="215"/>
      <c r="J3" s="215"/>
      <c r="K3" s="58"/>
      <c r="L3" s="20"/>
    </row>
    <row r="4" spans="1:12" ht="45.95" customHeight="1" x14ac:dyDescent="0.25">
      <c r="A4" s="8"/>
      <c r="B4" s="390" t="s">
        <v>258</v>
      </c>
      <c r="C4" s="390"/>
      <c r="D4" s="390"/>
      <c r="E4" s="390"/>
      <c r="F4" s="213"/>
      <c r="G4" s="59"/>
      <c r="H4" s="59"/>
      <c r="I4" s="59"/>
      <c r="J4" s="59"/>
      <c r="K4" s="59"/>
    </row>
    <row r="5" spans="1:12" ht="3" customHeight="1" x14ac:dyDescent="0.25">
      <c r="A5" s="8"/>
      <c r="B5" s="8"/>
      <c r="C5" s="8"/>
      <c r="D5" s="242"/>
      <c r="E5" s="8"/>
    </row>
    <row r="6" spans="1:12" s="216" customFormat="1" ht="15" customHeight="1" x14ac:dyDescent="0.25">
      <c r="A6" s="214"/>
      <c r="B6" s="388" t="s">
        <v>148</v>
      </c>
      <c r="C6" s="388"/>
      <c r="D6" s="388"/>
      <c r="E6" s="388"/>
      <c r="G6" s="215"/>
      <c r="H6" s="215"/>
      <c r="K6" s="215"/>
    </row>
    <row r="7" spans="1:12" s="216" customFormat="1" ht="3" customHeight="1" x14ac:dyDescent="0.25">
      <c r="A7" s="214"/>
      <c r="B7" s="214"/>
      <c r="C7" s="214"/>
      <c r="D7" s="242"/>
      <c r="E7" s="214"/>
      <c r="G7" s="215"/>
      <c r="H7" s="215"/>
      <c r="I7" s="215"/>
      <c r="J7" s="215"/>
      <c r="K7" s="215"/>
    </row>
    <row r="8" spans="1:12" s="216" customFormat="1" ht="15" customHeight="1" thickBot="1" x14ac:dyDescent="0.3">
      <c r="A8" s="214"/>
      <c r="B8" s="259" t="s">
        <v>149</v>
      </c>
      <c r="C8" s="259" t="s">
        <v>150</v>
      </c>
      <c r="D8" s="259" t="s">
        <v>151</v>
      </c>
      <c r="E8" s="259" t="s">
        <v>152</v>
      </c>
      <c r="F8" s="215"/>
      <c r="G8" s="215" t="s">
        <v>153</v>
      </c>
      <c r="H8" s="215" t="s">
        <v>154</v>
      </c>
      <c r="I8" s="215" t="s">
        <v>155</v>
      </c>
      <c r="J8" s="215" t="s">
        <v>266</v>
      </c>
      <c r="K8" s="215" t="s">
        <v>312</v>
      </c>
    </row>
    <row r="9" spans="1:12" s="216" customFormat="1" ht="3" customHeight="1" x14ac:dyDescent="0.25">
      <c r="A9" s="214"/>
      <c r="B9" s="242"/>
      <c r="C9" s="242"/>
      <c r="D9" s="242"/>
      <c r="E9" s="242"/>
      <c r="G9" s="215"/>
      <c r="H9" s="215"/>
      <c r="I9" s="215"/>
      <c r="J9" s="215"/>
      <c r="K9" s="215"/>
    </row>
    <row r="10" spans="1:12" s="216" customFormat="1" ht="30" customHeight="1" x14ac:dyDescent="0.25">
      <c r="A10" s="214"/>
      <c r="B10" s="217" t="s">
        <v>259</v>
      </c>
      <c r="C10" s="217" t="s">
        <v>156</v>
      </c>
      <c r="D10" s="224" t="s">
        <v>157</v>
      </c>
      <c r="E10" s="242" t="s">
        <v>158</v>
      </c>
      <c r="G10" s="215" t="s">
        <v>159</v>
      </c>
      <c r="H10" s="215" t="s">
        <v>160</v>
      </c>
      <c r="I10" s="218" t="s">
        <v>296</v>
      </c>
      <c r="J10" s="238"/>
      <c r="K10" s="215"/>
    </row>
    <row r="11" spans="1:12" s="216" customFormat="1" ht="15" customHeight="1" x14ac:dyDescent="0.25">
      <c r="A11" s="214"/>
      <c r="B11" s="242" t="s">
        <v>260</v>
      </c>
      <c r="C11" s="219" t="s">
        <v>161</v>
      </c>
      <c r="D11" s="220">
        <f>44100*(1+D23)^4</f>
        <v>47735.258256000001</v>
      </c>
      <c r="E11" s="242" t="s">
        <v>158</v>
      </c>
      <c r="G11" s="215" t="s">
        <v>159</v>
      </c>
      <c r="H11" s="215" t="s">
        <v>292</v>
      </c>
      <c r="I11" s="218" t="s">
        <v>296</v>
      </c>
      <c r="J11" s="218"/>
      <c r="K11" s="243" t="s">
        <v>162</v>
      </c>
    </row>
    <row r="12" spans="1:12" s="216" customFormat="1" ht="30" customHeight="1" x14ac:dyDescent="0.25">
      <c r="A12" s="214"/>
      <c r="B12" s="217" t="s">
        <v>261</v>
      </c>
      <c r="C12" s="217" t="s">
        <v>156</v>
      </c>
      <c r="D12" s="221" t="s">
        <v>163</v>
      </c>
      <c r="E12" s="242" t="s">
        <v>158</v>
      </c>
      <c r="G12" s="215" t="s">
        <v>159</v>
      </c>
      <c r="H12" s="215" t="s">
        <v>160</v>
      </c>
      <c r="I12" s="218" t="s">
        <v>296</v>
      </c>
      <c r="J12" s="218"/>
      <c r="K12" s="215"/>
    </row>
    <row r="13" spans="1:12" s="216" customFormat="1" ht="15" customHeight="1" x14ac:dyDescent="0.25">
      <c r="A13" s="214"/>
      <c r="B13" s="242" t="s">
        <v>260</v>
      </c>
      <c r="C13" s="219" t="s">
        <v>164</v>
      </c>
      <c r="D13" s="220">
        <f>28600*(1+D23)^4</f>
        <v>30957.559775999998</v>
      </c>
      <c r="E13" s="242" t="s">
        <v>158</v>
      </c>
      <c r="G13" s="215" t="s">
        <v>159</v>
      </c>
      <c r="H13" s="215" t="s">
        <v>293</v>
      </c>
      <c r="I13" s="218" t="s">
        <v>296</v>
      </c>
      <c r="J13" s="218"/>
      <c r="K13" s="215"/>
    </row>
    <row r="14" spans="1:12" s="216" customFormat="1" ht="15" customHeight="1" x14ac:dyDescent="0.25">
      <c r="A14" s="214"/>
      <c r="B14" s="217" t="s">
        <v>12</v>
      </c>
      <c r="C14" s="219" t="s">
        <v>167</v>
      </c>
      <c r="D14" s="220">
        <f>7500*(1+D23)^8</f>
        <v>8787.4453575169919</v>
      </c>
      <c r="E14" s="242" t="s">
        <v>168</v>
      </c>
      <c r="G14" s="215"/>
      <c r="H14" s="215" t="s">
        <v>169</v>
      </c>
      <c r="I14" s="218" t="s">
        <v>294</v>
      </c>
      <c r="J14" s="218"/>
      <c r="K14" s="215"/>
    </row>
    <row r="15" spans="1:12" s="216" customFormat="1" ht="15" customHeight="1" x14ac:dyDescent="0.25">
      <c r="A15" s="214"/>
      <c r="B15" s="217" t="s">
        <v>11</v>
      </c>
      <c r="C15" s="219" t="s">
        <v>170</v>
      </c>
      <c r="D15" s="220">
        <f>10*900</f>
        <v>9000</v>
      </c>
      <c r="E15" s="242" t="s">
        <v>171</v>
      </c>
      <c r="G15" s="215"/>
      <c r="H15" s="215" t="s">
        <v>255</v>
      </c>
      <c r="I15" s="225" t="s">
        <v>295</v>
      </c>
      <c r="J15" s="218"/>
      <c r="K15" s="215"/>
    </row>
    <row r="16" spans="1:12" s="216" customFormat="1" ht="30" customHeight="1" x14ac:dyDescent="0.25">
      <c r="A16" s="214"/>
      <c r="B16" s="223" t="s">
        <v>13</v>
      </c>
      <c r="C16" s="219" t="s">
        <v>172</v>
      </c>
      <c r="D16" s="220">
        <f>8394*(1+D23)^2</f>
        <v>8733.1175999999996</v>
      </c>
      <c r="E16" s="242" t="s">
        <v>173</v>
      </c>
      <c r="G16" s="215" t="s">
        <v>174</v>
      </c>
      <c r="H16" s="215" t="s">
        <v>253</v>
      </c>
      <c r="I16" s="225" t="s">
        <v>297</v>
      </c>
      <c r="J16" s="218"/>
      <c r="K16" s="215"/>
    </row>
    <row r="17" spans="1:11" s="216" customFormat="1" ht="30" customHeight="1" x14ac:dyDescent="0.25">
      <c r="A17" s="214"/>
      <c r="B17" s="223" t="s">
        <v>15</v>
      </c>
      <c r="C17" s="219" t="s">
        <v>256</v>
      </c>
      <c r="D17" s="220">
        <f>9650*(1+D24)^1</f>
        <v>9987.75</v>
      </c>
      <c r="E17" s="224" t="s">
        <v>175</v>
      </c>
      <c r="G17" s="215" t="s">
        <v>176</v>
      </c>
      <c r="H17" s="215" t="s">
        <v>254</v>
      </c>
      <c r="I17" s="225" t="s">
        <v>298</v>
      </c>
      <c r="J17" s="222" t="s">
        <v>178</v>
      </c>
      <c r="K17" s="225" t="s">
        <v>313</v>
      </c>
    </row>
    <row r="18" spans="1:11" s="216" customFormat="1" ht="3" customHeight="1" x14ac:dyDescent="0.25">
      <c r="A18" s="214"/>
      <c r="B18" s="214"/>
      <c r="C18" s="214"/>
      <c r="D18" s="242"/>
      <c r="E18" s="214"/>
      <c r="G18" s="215"/>
      <c r="H18" s="215"/>
      <c r="I18" s="215"/>
      <c r="J18" s="215"/>
      <c r="K18" s="215"/>
    </row>
    <row r="19" spans="1:11" s="216" customFormat="1" ht="15" customHeight="1" x14ac:dyDescent="0.25">
      <c r="A19" s="214"/>
      <c r="B19" s="388" t="s">
        <v>250</v>
      </c>
      <c r="C19" s="388"/>
      <c r="D19" s="388"/>
      <c r="E19" s="388"/>
      <c r="G19" s="215"/>
      <c r="H19" s="215"/>
      <c r="I19" s="215"/>
      <c r="J19" s="215"/>
      <c r="K19" s="215"/>
    </row>
    <row r="20" spans="1:11" s="216" customFormat="1" ht="3" customHeight="1" x14ac:dyDescent="0.25">
      <c r="A20" s="214"/>
      <c r="B20" s="214"/>
      <c r="C20" s="214"/>
      <c r="D20" s="242"/>
      <c r="E20" s="214"/>
      <c r="G20" s="215"/>
      <c r="H20" s="215"/>
      <c r="I20" s="215"/>
      <c r="J20" s="215"/>
      <c r="K20" s="215"/>
    </row>
    <row r="21" spans="1:11" s="216" customFormat="1" ht="15" customHeight="1" thickBot="1" x14ac:dyDescent="0.3">
      <c r="A21" s="214"/>
      <c r="B21" s="259" t="s">
        <v>149</v>
      </c>
      <c r="C21" s="259" t="s">
        <v>150</v>
      </c>
      <c r="D21" s="259" t="s">
        <v>151</v>
      </c>
      <c r="E21" s="259" t="s">
        <v>152</v>
      </c>
      <c r="F21" s="215"/>
      <c r="G21" s="215"/>
      <c r="I21" s="215" t="s">
        <v>155</v>
      </c>
      <c r="J21" s="215"/>
      <c r="K21" s="215"/>
    </row>
    <row r="22" spans="1:11" s="216" customFormat="1" ht="3" customHeight="1" x14ac:dyDescent="0.25">
      <c r="A22" s="214"/>
      <c r="B22" s="242"/>
      <c r="C22" s="242"/>
      <c r="D22" s="242"/>
      <c r="E22" s="242"/>
      <c r="G22" s="215"/>
      <c r="H22" s="215"/>
      <c r="I22" s="215"/>
      <c r="J22" s="215"/>
      <c r="K22" s="215"/>
    </row>
    <row r="23" spans="1:11" s="216" customFormat="1" ht="16.350000000000001" customHeight="1" x14ac:dyDescent="0.25">
      <c r="A23" s="214"/>
      <c r="B23" s="217" t="s">
        <v>26</v>
      </c>
      <c r="C23" s="227" t="s">
        <v>187</v>
      </c>
      <c r="D23" s="229">
        <v>0.02</v>
      </c>
      <c r="E23" s="242" t="s">
        <v>245</v>
      </c>
      <c r="G23" s="215"/>
      <c r="H23" s="215" t="s">
        <v>246</v>
      </c>
      <c r="I23" s="218" t="s">
        <v>299</v>
      </c>
      <c r="J23" s="222" t="s">
        <v>188</v>
      </c>
      <c r="K23" s="244" t="s">
        <v>311</v>
      </c>
    </row>
    <row r="24" spans="1:11" s="216" customFormat="1" ht="16.350000000000001" customHeight="1" x14ac:dyDescent="0.25">
      <c r="A24" s="214"/>
      <c r="B24" s="217" t="s">
        <v>25</v>
      </c>
      <c r="C24" s="219" t="s">
        <v>186</v>
      </c>
      <c r="D24" s="229">
        <v>3.5000000000000003E-2</v>
      </c>
      <c r="E24" s="242" t="s">
        <v>175</v>
      </c>
      <c r="G24" s="215"/>
      <c r="H24" s="215" t="s">
        <v>160</v>
      </c>
      <c r="I24" s="225" t="s">
        <v>298</v>
      </c>
      <c r="J24" s="218"/>
      <c r="K24" s="215"/>
    </row>
    <row r="25" spans="1:11" s="216" customFormat="1" ht="16.350000000000001" customHeight="1" x14ac:dyDescent="0.25">
      <c r="A25" s="214"/>
      <c r="B25" s="217" t="s">
        <v>27</v>
      </c>
      <c r="C25" s="227" t="s">
        <v>189</v>
      </c>
      <c r="D25" s="229">
        <v>4.4499999999999998E-2</v>
      </c>
      <c r="E25" s="242" t="s">
        <v>190</v>
      </c>
      <c r="G25" s="215"/>
      <c r="H25" s="215" t="s">
        <v>244</v>
      </c>
      <c r="I25" s="225" t="s">
        <v>300</v>
      </c>
      <c r="J25" s="244"/>
      <c r="K25" s="215"/>
    </row>
    <row r="26" spans="1:11" s="216" customFormat="1" ht="16.350000000000001" customHeight="1" x14ac:dyDescent="0.25">
      <c r="A26" s="214"/>
      <c r="B26" s="217" t="s">
        <v>29</v>
      </c>
      <c r="C26" s="219" t="s">
        <v>191</v>
      </c>
      <c r="D26" s="230">
        <v>4050</v>
      </c>
      <c r="E26" s="242" t="s">
        <v>192</v>
      </c>
      <c r="G26" s="215"/>
      <c r="H26" s="215" t="s">
        <v>246</v>
      </c>
      <c r="I26" s="225" t="s">
        <v>301</v>
      </c>
      <c r="J26" s="244"/>
      <c r="K26" s="215"/>
    </row>
    <row r="27" spans="1:11" s="216" customFormat="1" ht="16.350000000000001" customHeight="1" x14ac:dyDescent="0.25">
      <c r="A27" s="214"/>
      <c r="B27" s="217" t="s">
        <v>30</v>
      </c>
      <c r="C27" s="219" t="s">
        <v>193</v>
      </c>
      <c r="D27" s="230">
        <v>6350</v>
      </c>
      <c r="E27" s="242" t="s">
        <v>192</v>
      </c>
      <c r="G27" s="215"/>
      <c r="H27" s="215" t="s">
        <v>246</v>
      </c>
      <c r="I27" s="225" t="s">
        <v>301</v>
      </c>
      <c r="J27" s="218"/>
      <c r="K27" s="215"/>
    </row>
    <row r="28" spans="1:11" s="216" customFormat="1" ht="30" customHeight="1" x14ac:dyDescent="0.25">
      <c r="A28" s="214"/>
      <c r="B28" s="217" t="s">
        <v>31</v>
      </c>
      <c r="C28" s="219" t="s">
        <v>194</v>
      </c>
      <c r="D28" s="224" t="s">
        <v>195</v>
      </c>
      <c r="E28" s="242" t="s">
        <v>192</v>
      </c>
      <c r="G28" s="215"/>
      <c r="H28" s="215" t="s">
        <v>246</v>
      </c>
      <c r="I28" s="225" t="s">
        <v>301</v>
      </c>
      <c r="J28" s="244"/>
      <c r="K28" s="215"/>
    </row>
    <row r="29" spans="1:11" s="216" customFormat="1" ht="16.350000000000001" customHeight="1" x14ac:dyDescent="0.25">
      <c r="A29" s="214"/>
      <c r="B29" s="217" t="s">
        <v>36</v>
      </c>
      <c r="C29" s="219" t="s">
        <v>196</v>
      </c>
      <c r="D29" s="229">
        <v>6.2E-2</v>
      </c>
      <c r="E29" s="242" t="s">
        <v>197</v>
      </c>
      <c r="G29" s="215"/>
      <c r="H29" s="215" t="s">
        <v>246</v>
      </c>
      <c r="I29" s="225" t="s">
        <v>302</v>
      </c>
      <c r="J29" s="244"/>
      <c r="K29" s="215"/>
    </row>
    <row r="30" spans="1:11" s="216" customFormat="1" ht="16.350000000000001" customHeight="1" x14ac:dyDescent="0.25">
      <c r="A30" s="214"/>
      <c r="B30" s="217" t="s">
        <v>198</v>
      </c>
      <c r="C30" s="219" t="s">
        <v>199</v>
      </c>
      <c r="D30" s="220">
        <v>127200</v>
      </c>
      <c r="E30" s="242" t="s">
        <v>197</v>
      </c>
      <c r="G30" s="215"/>
      <c r="H30" s="215" t="s">
        <v>246</v>
      </c>
      <c r="I30" s="225" t="s">
        <v>302</v>
      </c>
      <c r="J30" s="218"/>
      <c r="K30" s="215"/>
    </row>
    <row r="31" spans="1:11" s="216" customFormat="1" ht="16.350000000000001" customHeight="1" x14ac:dyDescent="0.25">
      <c r="A31" s="214"/>
      <c r="B31" s="217" t="s">
        <v>40</v>
      </c>
      <c r="C31" s="219" t="s">
        <v>200</v>
      </c>
      <c r="D31" s="229">
        <v>1.4500000000000001E-2</v>
      </c>
      <c r="E31" s="242" t="s">
        <v>197</v>
      </c>
      <c r="G31" s="215"/>
      <c r="H31" s="215" t="s">
        <v>246</v>
      </c>
      <c r="I31" s="225" t="s">
        <v>302</v>
      </c>
      <c r="J31" s="244"/>
      <c r="K31" s="215"/>
    </row>
    <row r="32" spans="1:11" s="216" customFormat="1" ht="16.350000000000001" customHeight="1" x14ac:dyDescent="0.25">
      <c r="A32" s="214"/>
      <c r="B32" s="217" t="s">
        <v>201</v>
      </c>
      <c r="C32" s="219" t="s">
        <v>202</v>
      </c>
      <c r="D32" s="220">
        <v>200000</v>
      </c>
      <c r="E32" s="242" t="s">
        <v>197</v>
      </c>
      <c r="G32" s="215"/>
      <c r="H32" s="215" t="s">
        <v>246</v>
      </c>
      <c r="I32" s="225" t="s">
        <v>302</v>
      </c>
      <c r="J32" s="244"/>
      <c r="K32" s="215"/>
    </row>
    <row r="33" spans="1:11" s="216" customFormat="1" ht="16.350000000000001" customHeight="1" x14ac:dyDescent="0.25">
      <c r="A33" s="214"/>
      <c r="B33" s="217" t="s">
        <v>42</v>
      </c>
      <c r="C33" s="219" t="s">
        <v>203</v>
      </c>
      <c r="D33" s="229">
        <v>8.9999999999999993E-3</v>
      </c>
      <c r="E33" s="242" t="s">
        <v>197</v>
      </c>
      <c r="G33" s="215"/>
      <c r="H33" s="215" t="s">
        <v>246</v>
      </c>
      <c r="I33" s="225" t="s">
        <v>302</v>
      </c>
      <c r="J33" s="244"/>
      <c r="K33" s="215"/>
    </row>
    <row r="34" spans="1:11" s="216" customFormat="1" ht="16.350000000000001" customHeight="1" x14ac:dyDescent="0.25">
      <c r="A34" s="214"/>
      <c r="B34" s="217" t="s">
        <v>48</v>
      </c>
      <c r="C34" s="219" t="s">
        <v>204</v>
      </c>
      <c r="D34" s="229">
        <v>4.2500000000000003E-2</v>
      </c>
      <c r="E34" s="242" t="s">
        <v>205</v>
      </c>
      <c r="G34" s="215"/>
      <c r="H34" s="215" t="s">
        <v>247</v>
      </c>
      <c r="I34" s="225" t="s">
        <v>303</v>
      </c>
      <c r="J34" s="218"/>
      <c r="K34" s="215"/>
    </row>
    <row r="35" spans="1:11" s="216" customFormat="1" ht="16.350000000000001" customHeight="1" x14ac:dyDescent="0.25">
      <c r="A35" s="214"/>
      <c r="B35" s="217" t="s">
        <v>50</v>
      </c>
      <c r="C35" s="219" t="s">
        <v>206</v>
      </c>
      <c r="D35" s="229">
        <v>0</v>
      </c>
      <c r="E35" s="242" t="s">
        <v>207</v>
      </c>
      <c r="G35" s="215"/>
      <c r="H35" s="215" t="s">
        <v>248</v>
      </c>
      <c r="I35" s="218" t="s">
        <v>304</v>
      </c>
      <c r="J35" s="218"/>
      <c r="K35" s="215"/>
    </row>
    <row r="36" spans="1:11" s="216" customFormat="1" ht="15" customHeight="1" x14ac:dyDescent="0.25">
      <c r="A36" s="214"/>
      <c r="B36" s="217" t="s">
        <v>249</v>
      </c>
      <c r="C36" s="219" t="s">
        <v>165</v>
      </c>
      <c r="D36" s="220">
        <v>23770</v>
      </c>
      <c r="E36" s="242" t="s">
        <v>166</v>
      </c>
      <c r="G36" s="215"/>
      <c r="H36" s="215" t="s">
        <v>252</v>
      </c>
      <c r="I36" s="218" t="s">
        <v>305</v>
      </c>
      <c r="J36" s="218"/>
      <c r="K36" s="215"/>
    </row>
    <row r="37" spans="1:11" ht="30" customHeight="1" x14ac:dyDescent="0.25">
      <c r="A37" s="8"/>
      <c r="B37" s="224" t="str">
        <f>'[1]College Schedule'!D11</f>
        <v>Months until college graduation</v>
      </c>
      <c r="C37" s="226" t="s">
        <v>68</v>
      </c>
      <c r="D37" s="242">
        <v>52</v>
      </c>
      <c r="E37" s="224" t="s">
        <v>179</v>
      </c>
      <c r="G37" s="215"/>
      <c r="H37" s="215" t="s">
        <v>243</v>
      </c>
      <c r="I37" s="218" t="s">
        <v>306</v>
      </c>
      <c r="J37" s="218"/>
    </row>
    <row r="38" spans="1:11" ht="16.350000000000001" customHeight="1" x14ac:dyDescent="0.25">
      <c r="A38" s="8"/>
      <c r="B38" s="224" t="s">
        <v>180</v>
      </c>
      <c r="C38" s="219" t="s">
        <v>181</v>
      </c>
      <c r="D38" s="242">
        <v>3</v>
      </c>
      <c r="E38" s="224" t="s">
        <v>182</v>
      </c>
      <c r="G38" s="215"/>
      <c r="H38" s="215" t="s">
        <v>242</v>
      </c>
      <c r="I38" s="218"/>
      <c r="J38" s="245" t="s">
        <v>267</v>
      </c>
      <c r="K38" s="246" t="s">
        <v>310</v>
      </c>
    </row>
    <row r="39" spans="1:11" s="216" customFormat="1" ht="30" customHeight="1" x14ac:dyDescent="0.25">
      <c r="A39" s="214"/>
      <c r="B39" s="223" t="s">
        <v>14</v>
      </c>
      <c r="C39" s="219" t="s">
        <v>256</v>
      </c>
      <c r="D39" s="220">
        <f>3520*(1+D24)^1</f>
        <v>3643.2</v>
      </c>
      <c r="E39" s="224" t="s">
        <v>175</v>
      </c>
      <c r="G39" s="215" t="s">
        <v>176</v>
      </c>
      <c r="H39" s="215" t="s">
        <v>254</v>
      </c>
      <c r="I39" s="225" t="s">
        <v>298</v>
      </c>
      <c r="J39" s="222" t="s">
        <v>177</v>
      </c>
      <c r="K39" s="225" t="s">
        <v>309</v>
      </c>
    </row>
    <row r="40" spans="1:11" s="216" customFormat="1" ht="16.350000000000001" customHeight="1" x14ac:dyDescent="0.25">
      <c r="A40" s="214"/>
      <c r="B40" s="223" t="s">
        <v>277</v>
      </c>
      <c r="C40" s="219" t="s">
        <v>278</v>
      </c>
      <c r="D40" s="319">
        <v>240</v>
      </c>
      <c r="E40" s="319" t="s">
        <v>183</v>
      </c>
      <c r="G40" s="215"/>
      <c r="H40" s="215" t="s">
        <v>241</v>
      </c>
      <c r="I40" s="246" t="s">
        <v>307</v>
      </c>
      <c r="J40" s="222"/>
      <c r="K40" s="225"/>
    </row>
    <row r="41" spans="1:11" ht="16.350000000000001" customHeight="1" x14ac:dyDescent="0.25">
      <c r="A41" s="8"/>
      <c r="B41" s="242" t="str">
        <f>'[1]Career Schedule'!F8</f>
        <v>Working Months</v>
      </c>
      <c r="C41" s="219" t="s">
        <v>97</v>
      </c>
      <c r="D41" s="242">
        <v>480</v>
      </c>
      <c r="E41" s="242" t="s">
        <v>285</v>
      </c>
      <c r="G41" s="215"/>
      <c r="H41" s="7" t="s">
        <v>284</v>
      </c>
      <c r="I41" s="329" t="s">
        <v>308</v>
      </c>
      <c r="J41" s="246"/>
    </row>
    <row r="42" spans="1:11" s="216" customFormat="1" ht="16.350000000000001" customHeight="1" x14ac:dyDescent="0.25">
      <c r="A42" s="214"/>
      <c r="B42" s="217" t="s">
        <v>184</v>
      </c>
      <c r="C42" s="227" t="s">
        <v>185</v>
      </c>
      <c r="D42" s="228">
        <f>D23*2</f>
        <v>0.04</v>
      </c>
      <c r="E42" s="242" t="s">
        <v>156</v>
      </c>
      <c r="G42" s="215"/>
      <c r="H42" s="215" t="s">
        <v>240</v>
      </c>
      <c r="J42" s="222" t="s">
        <v>316</v>
      </c>
      <c r="K42" s="244" t="s">
        <v>317</v>
      </c>
    </row>
    <row r="43" spans="1:11" s="216" customFormat="1" ht="15" customHeight="1" x14ac:dyDescent="0.25">
      <c r="A43" s="214"/>
      <c r="B43" s="242"/>
      <c r="C43" s="237"/>
      <c r="D43" s="237"/>
      <c r="E43" s="214"/>
      <c r="G43" s="215"/>
      <c r="H43" s="215"/>
      <c r="I43" s="218"/>
      <c r="J43" s="218"/>
      <c r="K43" s="215"/>
    </row>
    <row r="44" spans="1:11" s="234" customFormat="1" ht="25.35" customHeight="1" x14ac:dyDescent="0.25">
      <c r="A44" s="231"/>
      <c r="B44" s="232" t="s">
        <v>208</v>
      </c>
      <c r="C44" s="232"/>
      <c r="D44" s="233"/>
      <c r="E44" s="232"/>
      <c r="G44" s="57"/>
      <c r="H44" s="57"/>
      <c r="I44" s="218"/>
      <c r="J44" s="218"/>
      <c r="K44" s="57"/>
    </row>
    <row r="45" spans="1:11" ht="30" customHeight="1" x14ac:dyDescent="0.25">
      <c r="A45" s="8"/>
      <c r="B45" s="242" t="s">
        <v>209</v>
      </c>
      <c r="C45" s="219" t="s">
        <v>276</v>
      </c>
      <c r="D45" s="235">
        <f>30100*(1+D24)^(2+4.5)</f>
        <v>37642.526884374522</v>
      </c>
      <c r="E45" s="224" t="s">
        <v>210</v>
      </c>
      <c r="G45" s="215"/>
      <c r="H45" s="240" t="s">
        <v>251</v>
      </c>
      <c r="I45" s="246" t="s">
        <v>314</v>
      </c>
      <c r="J45" s="246"/>
    </row>
    <row r="46" spans="1:11" s="216" customFormat="1" ht="15" customHeight="1" x14ac:dyDescent="0.25">
      <c r="A46" s="214"/>
      <c r="B46" s="242" t="s">
        <v>209</v>
      </c>
      <c r="D46" s="236">
        <v>39335.444281236902</v>
      </c>
      <c r="E46" s="242" t="s">
        <v>211</v>
      </c>
      <c r="G46" s="215"/>
      <c r="H46" s="215"/>
      <c r="I46" s="218" t="s">
        <v>134</v>
      </c>
      <c r="J46" s="218"/>
      <c r="K46" s="215"/>
    </row>
    <row r="47" spans="1:11" x14ac:dyDescent="0.25">
      <c r="A47" s="8"/>
      <c r="B47" s="242" t="s">
        <v>212</v>
      </c>
      <c r="C47" s="8"/>
      <c r="D47" s="242"/>
      <c r="E47" s="242" t="s">
        <v>213</v>
      </c>
      <c r="G47" s="215"/>
      <c r="H47" s="215"/>
      <c r="I47" s="244" t="s">
        <v>315</v>
      </c>
      <c r="J47" s="244"/>
    </row>
    <row r="48" spans="1:11" x14ac:dyDescent="0.25">
      <c r="A48" s="8"/>
      <c r="B48" s="264" t="s">
        <v>274</v>
      </c>
      <c r="C48" s="8"/>
      <c r="D48" s="242" t="s">
        <v>275</v>
      </c>
      <c r="E48" s="8"/>
    </row>
  </sheetData>
  <mergeCells count="4">
    <mergeCell ref="B19:E19"/>
    <mergeCell ref="B2:E2"/>
    <mergeCell ref="B4:E4"/>
    <mergeCell ref="B6:E6"/>
  </mergeCells>
  <hyperlinks>
    <hyperlink ref="K39" r:id="rId1" display="https://bigfuture.collegeboard.org/pay-for-college/college-costs/college-costs-faqs" xr:uid="{00000000-0004-0000-0500-000000000000}"/>
    <hyperlink ref="K42" r:id="rId2" location="page_scan_tab_contents" display="http://www.jstor.org/stable/2677897?seq=1#page_scan_tab_contents" xr:uid="{00000000-0004-0000-0500-000001000000}"/>
    <hyperlink ref="K17" r:id="rId3" display="http://collegemeasures.org/4-year_colleges/state/MI/compare-colleges/cost-per-student/" xr:uid="{00000000-0004-0000-0500-000002000000}"/>
    <hyperlink ref="I47" r:id="rId4" display="https://wmich.edu/about/facts" xr:uid="{00000000-0004-0000-0500-000003000000}"/>
    <hyperlink ref="I37" r:id="rId5" display="https://nces.ed.gov/pubs2011/2011236.pdf" xr:uid="{00000000-0004-0000-0500-000004000000}"/>
    <hyperlink ref="I40" r:id="rId6" display="https://studentaid.ed.gov/sa/repay-loans/understand/plans/standard" xr:uid="{00000000-0004-0000-0500-000005000000}"/>
    <hyperlink ref="I45" r:id="rId7" display="http://ticas.org/sites/default/files/pub_files/classof2015.pdf" xr:uid="{00000000-0004-0000-0500-000006000000}"/>
    <hyperlink ref="I46" r:id="rId8" display="https://wmich.edu/businessnews/mattross.html" xr:uid="{00000000-0004-0000-0500-000007000000}"/>
    <hyperlink ref="I35" r:id="rId9" xr:uid="{00000000-0004-0000-0500-000008000000}"/>
    <hyperlink ref="I36" r:id="rId10" display="https://professionals.collegeboard.org/higher-ed/financial-aid/living-expense/12-month" xr:uid="{00000000-0004-0000-0500-000009000000}"/>
    <hyperlink ref="K11" r:id="rId11" xr:uid="{00000000-0004-0000-0500-00000A000000}"/>
    <hyperlink ref="K23" r:id="rId12" display="https://fred.stlouisfed.org/series/MICH" xr:uid="{00000000-0004-0000-0500-00000B000000}"/>
    <hyperlink ref="K38" r:id="rId13" display="http://topwritingreviews.com/blog/semester-vs-quarter-system " xr:uid="{00000000-0004-0000-0500-00000C000000}"/>
    <hyperlink ref="I41" r:id="rId14" display="https://www.ssa.gov/planners/retire/stopwork.html" xr:uid="{00000000-0004-0000-0500-00000D000000}"/>
    <hyperlink ref="I10" r:id="rId15" display="College Board" xr:uid="{00000000-0004-0000-0500-00000E000000}"/>
    <hyperlink ref="I14" r:id="rId16" xr:uid="{00000000-0004-0000-0500-00000F000000}"/>
    <hyperlink ref="I15" r:id="rId17" xr:uid="{00000000-0004-0000-0500-000010000000}"/>
    <hyperlink ref="I11" r:id="rId18" display="College Board" xr:uid="{00000000-0004-0000-0500-000011000000}"/>
    <hyperlink ref="I12" r:id="rId19" display="College Board" xr:uid="{00000000-0004-0000-0500-000012000000}"/>
    <hyperlink ref="I13" r:id="rId20" display="College Board" xr:uid="{00000000-0004-0000-0500-000013000000}"/>
    <hyperlink ref="I16" r:id="rId21" xr:uid="{00000000-0004-0000-0500-000014000000}"/>
    <hyperlink ref="I17" r:id="rId22" xr:uid="{00000000-0004-0000-0500-000015000000}"/>
    <hyperlink ref="I23" r:id="rId23" xr:uid="{00000000-0004-0000-0500-000016000000}"/>
    <hyperlink ref="I24" r:id="rId24" xr:uid="{00000000-0004-0000-0500-000017000000}"/>
    <hyperlink ref="I25" r:id="rId25" location="interest-rates" xr:uid="{00000000-0004-0000-0500-000018000000}"/>
    <hyperlink ref="I26" r:id="rId26" xr:uid="{00000000-0004-0000-0500-000019000000}"/>
    <hyperlink ref="I27" r:id="rId27" xr:uid="{00000000-0004-0000-0500-00001A000000}"/>
    <hyperlink ref="I28" r:id="rId28" xr:uid="{00000000-0004-0000-0500-00001B000000}"/>
    <hyperlink ref="I29" r:id="rId29" xr:uid="{00000000-0004-0000-0500-00001C000000}"/>
    <hyperlink ref="I30" r:id="rId30" xr:uid="{00000000-0004-0000-0500-00001D000000}"/>
    <hyperlink ref="I31" r:id="rId31" xr:uid="{00000000-0004-0000-0500-00001E000000}"/>
    <hyperlink ref="I32" r:id="rId32" xr:uid="{00000000-0004-0000-0500-00001F000000}"/>
    <hyperlink ref="I33" r:id="rId33" xr:uid="{00000000-0004-0000-0500-000020000000}"/>
    <hyperlink ref="I34" r:id="rId34" xr:uid="{00000000-0004-0000-0500-000021000000}"/>
    <hyperlink ref="I39" r:id="rId35" xr:uid="{00000000-0004-0000-0500-000022000000}"/>
  </hyperlinks>
  <pageMargins left="0.7" right="0.7" top="0.75" bottom="0.75" header="0.3" footer="0.3"/>
  <pageSetup orientation="portrait" r:id="rId36"/>
  <drawing r:id="rId3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X63"/>
  <sheetViews>
    <sheetView topLeftCell="A10" zoomScale="150" zoomScaleNormal="150" workbookViewId="0">
      <selection activeCell="B2" sqref="B2:G2"/>
    </sheetView>
  </sheetViews>
  <sheetFormatPr defaultColWidth="8.85546875" defaultRowHeight="15" x14ac:dyDescent="0.25"/>
  <cols>
    <col min="1" max="1" width="1.5703125" style="7" customWidth="1"/>
    <col min="2" max="2" width="10.5703125" style="7" customWidth="1"/>
    <col min="3" max="3" width="12.5703125" style="7" customWidth="1"/>
    <col min="4" max="4" width="24.5703125" style="7" customWidth="1"/>
    <col min="5" max="7" width="10.5703125" style="7" customWidth="1"/>
    <col min="8" max="8" width="1.5703125" style="7" customWidth="1"/>
    <col min="9" max="9" width="8.85546875" style="2"/>
    <col min="10" max="10" width="12.140625" style="2" bestFit="1" customWidth="1"/>
    <col min="11" max="12" width="8.85546875" style="2"/>
    <col min="13" max="13" width="8.85546875" style="7"/>
    <col min="14" max="14" width="12.42578125" style="7" customWidth="1"/>
    <col min="15" max="18" width="8.85546875" style="7"/>
    <col min="19" max="16384" width="8.85546875" style="2"/>
  </cols>
  <sheetData>
    <row r="1" spans="1:154" s="5" customFormat="1" ht="3" customHeight="1" x14ac:dyDescent="0.4">
      <c r="A1" s="21"/>
      <c r="B1" s="21"/>
      <c r="C1" s="21"/>
      <c r="D1" s="21"/>
      <c r="E1" s="21"/>
      <c r="F1" s="21"/>
      <c r="G1" s="22"/>
      <c r="H1" s="6"/>
      <c r="I1" s="6"/>
      <c r="J1" s="6"/>
      <c r="K1" s="6"/>
      <c r="L1" s="6"/>
      <c r="M1" s="6"/>
      <c r="N1" s="24"/>
      <c r="O1" s="24"/>
      <c r="P1" s="24"/>
      <c r="Q1" s="24"/>
      <c r="R1" s="19"/>
      <c r="S1" s="19"/>
      <c r="T1" s="19"/>
      <c r="U1" s="19"/>
      <c r="V1" s="20"/>
      <c r="W1" s="20"/>
      <c r="X1" s="20"/>
      <c r="Y1" s="20"/>
      <c r="Z1" s="20"/>
      <c r="AA1" s="20"/>
      <c r="AB1" s="20"/>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row>
    <row r="2" spans="1:154" s="5" customFormat="1" ht="24.6" customHeight="1" x14ac:dyDescent="0.4">
      <c r="A2" s="21"/>
      <c r="B2" s="389" t="s">
        <v>214</v>
      </c>
      <c r="C2" s="389"/>
      <c r="D2" s="389"/>
      <c r="E2" s="389"/>
      <c r="F2" s="389"/>
      <c r="G2" s="389"/>
      <c r="H2" s="57"/>
      <c r="I2" s="57"/>
      <c r="J2" s="57"/>
      <c r="K2" s="57"/>
      <c r="L2" s="57"/>
      <c r="M2" s="57"/>
      <c r="N2" s="24"/>
      <c r="O2" s="18"/>
      <c r="P2" s="18"/>
      <c r="Q2" s="18"/>
      <c r="R2" s="18"/>
      <c r="S2" s="18"/>
      <c r="T2" s="18"/>
      <c r="U2" s="18"/>
      <c r="V2" s="18"/>
      <c r="W2" s="18"/>
      <c r="X2" s="18"/>
      <c r="Y2" s="18"/>
      <c r="Z2" s="18"/>
      <c r="AA2" s="18"/>
      <c r="AB2" s="20"/>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row>
    <row r="3" spans="1:154" s="5" customFormat="1" ht="3" customHeight="1" x14ac:dyDescent="0.4">
      <c r="A3" s="21"/>
      <c r="B3" s="21"/>
      <c r="C3" s="21"/>
      <c r="D3" s="21"/>
      <c r="E3" s="21"/>
      <c r="F3" s="211"/>
      <c r="G3" s="212"/>
      <c r="H3" s="58"/>
      <c r="I3" s="58"/>
      <c r="J3" s="58"/>
      <c r="K3" s="58"/>
      <c r="L3" s="58"/>
      <c r="M3" s="6"/>
      <c r="N3" s="24"/>
      <c r="O3" s="18"/>
      <c r="P3" s="18"/>
      <c r="Q3" s="18"/>
      <c r="R3" s="18"/>
      <c r="S3" s="18"/>
      <c r="T3" s="18"/>
      <c r="U3" s="18"/>
      <c r="V3" s="18"/>
      <c r="W3" s="18"/>
      <c r="X3" s="18"/>
      <c r="Y3" s="18"/>
      <c r="Z3" s="18"/>
      <c r="AA3" s="18"/>
      <c r="AB3" s="20"/>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row>
    <row r="4" spans="1:154" ht="45" customHeight="1" x14ac:dyDescent="0.25">
      <c r="A4" s="8"/>
      <c r="B4" s="390" t="s">
        <v>215</v>
      </c>
      <c r="C4" s="390"/>
      <c r="D4" s="390"/>
      <c r="E4" s="390"/>
      <c r="F4" s="390"/>
      <c r="G4" s="390"/>
      <c r="H4" s="213"/>
      <c r="I4" s="213"/>
      <c r="J4" s="213"/>
      <c r="K4" s="213"/>
      <c r="L4" s="213"/>
      <c r="S4" s="7"/>
      <c r="T4" s="7"/>
    </row>
    <row r="5" spans="1:154" s="216" customFormat="1" ht="15" customHeight="1" x14ac:dyDescent="0.25">
      <c r="A5" s="214"/>
      <c r="B5" s="388" t="s">
        <v>271</v>
      </c>
      <c r="C5" s="388"/>
      <c r="D5" s="388"/>
      <c r="E5" s="388"/>
      <c r="F5" s="388"/>
      <c r="G5" s="388"/>
      <c r="H5" s="215"/>
      <c r="I5" s="215"/>
      <c r="J5" s="215"/>
      <c r="K5" s="215"/>
    </row>
    <row r="6" spans="1:154" s="216" customFormat="1" ht="3" customHeight="1" x14ac:dyDescent="0.25">
      <c r="A6" s="214"/>
      <c r="B6" s="214"/>
      <c r="C6" s="214"/>
      <c r="D6" s="239"/>
      <c r="E6" s="214"/>
      <c r="F6" s="214"/>
      <c r="G6" s="211"/>
      <c r="H6" s="215"/>
      <c r="I6" s="215"/>
      <c r="J6" s="215"/>
      <c r="K6" s="215"/>
    </row>
    <row r="7" spans="1:154" ht="15" customHeight="1" x14ac:dyDescent="0.25">
      <c r="A7" s="8"/>
      <c r="B7" s="391" t="s">
        <v>120</v>
      </c>
      <c r="C7" s="391" t="s">
        <v>216</v>
      </c>
      <c r="D7" s="391" t="s">
        <v>217</v>
      </c>
      <c r="E7" s="392" t="s">
        <v>218</v>
      </c>
      <c r="F7" s="392" t="s">
        <v>219</v>
      </c>
      <c r="G7" s="392" t="s">
        <v>220</v>
      </c>
      <c r="H7" s="247"/>
      <c r="I7" s="247"/>
      <c r="J7" s="247"/>
      <c r="K7" s="247"/>
      <c r="L7" s="247"/>
      <c r="N7" s="248"/>
      <c r="O7" s="248"/>
      <c r="P7" s="249"/>
      <c r="Q7" s="248"/>
      <c r="S7" s="7"/>
      <c r="T7" s="7"/>
    </row>
    <row r="8" spans="1:154" ht="15" customHeight="1" thickBot="1" x14ac:dyDescent="0.3">
      <c r="A8" s="8"/>
      <c r="B8" s="393"/>
      <c r="C8" s="393"/>
      <c r="D8" s="393"/>
      <c r="E8" s="394"/>
      <c r="F8" s="394"/>
      <c r="G8" s="394"/>
      <c r="I8" s="7"/>
      <c r="J8" s="263" t="s">
        <v>152</v>
      </c>
      <c r="K8" s="7"/>
      <c r="L8" s="7"/>
      <c r="N8" s="250"/>
      <c r="O8" s="251"/>
      <c r="P8" s="58"/>
      <c r="Q8" s="58"/>
      <c r="S8" s="7"/>
      <c r="T8" s="7"/>
    </row>
    <row r="9" spans="1:154" ht="3" customHeight="1" x14ac:dyDescent="0.25">
      <c r="A9" s="8"/>
      <c r="B9" s="210"/>
      <c r="C9" s="239"/>
      <c r="D9" s="239"/>
      <c r="E9" s="260"/>
      <c r="F9" s="260"/>
      <c r="G9" s="260"/>
      <c r="I9" s="7"/>
      <c r="J9" s="7"/>
      <c r="K9" s="7"/>
      <c r="L9" s="7"/>
      <c r="N9" s="252"/>
      <c r="O9" s="253"/>
      <c r="P9" s="254"/>
      <c r="Q9" s="252"/>
      <c r="S9" s="7"/>
      <c r="T9" s="7"/>
    </row>
    <row r="10" spans="1:154" ht="15" customHeight="1" x14ac:dyDescent="0.25">
      <c r="A10" s="8"/>
      <c r="B10" s="392" t="s">
        <v>221</v>
      </c>
      <c r="C10" s="239" t="s">
        <v>8</v>
      </c>
      <c r="D10" s="239" t="s">
        <v>157</v>
      </c>
      <c r="E10" s="261">
        <v>48689.963421120003</v>
      </c>
      <c r="F10" s="262">
        <v>-39335.444281236902</v>
      </c>
      <c r="G10" s="262">
        <v>444817.00960903999</v>
      </c>
      <c r="I10" s="7"/>
      <c r="J10" s="7" t="s">
        <v>222</v>
      </c>
      <c r="K10" s="7"/>
      <c r="L10" s="7"/>
      <c r="M10" s="255"/>
      <c r="S10" s="7"/>
      <c r="T10" s="7"/>
    </row>
    <row r="11" spans="1:154" ht="15" customHeight="1" x14ac:dyDescent="0.25">
      <c r="A11" s="8"/>
      <c r="B11" s="392"/>
      <c r="C11" s="239" t="s">
        <v>223</v>
      </c>
      <c r="D11" s="239" t="s">
        <v>163</v>
      </c>
      <c r="E11" s="261">
        <v>31576.710971519999</v>
      </c>
      <c r="F11" s="262">
        <v>67157.516517114695</v>
      </c>
      <c r="G11" s="262">
        <v>206929.84143685101</v>
      </c>
      <c r="I11" s="7"/>
      <c r="J11" s="7" t="s">
        <v>222</v>
      </c>
      <c r="K11" s="7"/>
      <c r="L11" s="7"/>
      <c r="S11" s="7"/>
      <c r="T11" s="7"/>
    </row>
    <row r="12" spans="1:154" ht="3" customHeight="1" x14ac:dyDescent="0.25">
      <c r="A12" s="8"/>
      <c r="B12" s="239"/>
      <c r="C12" s="239"/>
      <c r="D12" s="239"/>
      <c r="E12" s="262"/>
      <c r="F12" s="262"/>
      <c r="G12" s="262"/>
      <c r="I12" s="7"/>
      <c r="J12" s="7"/>
      <c r="K12" s="7"/>
      <c r="L12" s="7"/>
      <c r="S12" s="7"/>
      <c r="T12" s="7"/>
    </row>
    <row r="13" spans="1:154" ht="15" customHeight="1" x14ac:dyDescent="0.25">
      <c r="A13" s="8"/>
      <c r="B13" s="210"/>
      <c r="C13" s="239" t="s">
        <v>224</v>
      </c>
      <c r="D13" s="239"/>
      <c r="E13" s="262">
        <f>E10-E11</f>
        <v>17113.252449600004</v>
      </c>
      <c r="F13" s="262">
        <f>F10-F11</f>
        <v>-106492.96079835159</v>
      </c>
      <c r="G13" s="262">
        <f>G10-G11</f>
        <v>237887.16817218898</v>
      </c>
      <c r="I13" s="7"/>
      <c r="J13" s="7"/>
      <c r="K13" s="7"/>
      <c r="L13" s="7"/>
      <c r="S13" s="7"/>
      <c r="T13" s="7"/>
    </row>
    <row r="14" spans="1:154" ht="8.1" customHeight="1" x14ac:dyDescent="0.25">
      <c r="A14" s="8"/>
      <c r="B14" s="210"/>
      <c r="C14" s="239"/>
      <c r="D14" s="239"/>
      <c r="E14" s="262"/>
      <c r="F14" s="262"/>
      <c r="G14" s="262"/>
      <c r="I14" s="7"/>
      <c r="J14" s="7"/>
      <c r="K14" s="7"/>
      <c r="L14" s="7"/>
      <c r="S14" s="7"/>
      <c r="T14" s="7"/>
    </row>
    <row r="15" spans="1:154" ht="15" customHeight="1" x14ac:dyDescent="0.25">
      <c r="A15" s="8"/>
      <c r="B15" s="392" t="s">
        <v>269</v>
      </c>
      <c r="C15" s="239" t="s">
        <v>8</v>
      </c>
      <c r="D15" s="239" t="s">
        <v>272</v>
      </c>
      <c r="E15" s="262">
        <v>28627.9956978505</v>
      </c>
      <c r="F15" s="262">
        <v>-39335.444281236902</v>
      </c>
      <c r="G15" s="262">
        <v>0</v>
      </c>
      <c r="I15" s="7"/>
      <c r="J15" s="7" t="s">
        <v>268</v>
      </c>
      <c r="K15" s="7"/>
      <c r="L15" s="7"/>
      <c r="S15" s="7"/>
      <c r="T15" s="7"/>
    </row>
    <row r="16" spans="1:154" ht="15" customHeight="1" x14ac:dyDescent="0.25">
      <c r="A16" s="8"/>
      <c r="B16" s="392"/>
      <c r="C16" s="239" t="s">
        <v>223</v>
      </c>
      <c r="D16" s="239" t="s">
        <v>272</v>
      </c>
      <c r="E16" s="262">
        <v>23990.4381986648</v>
      </c>
      <c r="F16" s="262">
        <v>35812.289327847502</v>
      </c>
      <c r="G16" s="262">
        <v>0</v>
      </c>
      <c r="I16" s="7"/>
      <c r="J16" s="7" t="s">
        <v>268</v>
      </c>
      <c r="K16" s="7"/>
      <c r="L16" s="7"/>
      <c r="S16" s="7"/>
      <c r="T16" s="7"/>
    </row>
    <row r="17" spans="1:20" ht="3" customHeight="1" x14ac:dyDescent="0.25">
      <c r="A17" s="8"/>
      <c r="B17" s="239"/>
      <c r="C17" s="239"/>
      <c r="D17" s="239"/>
      <c r="E17" s="262"/>
      <c r="F17" s="262"/>
      <c r="G17" s="262"/>
      <c r="I17" s="7"/>
      <c r="J17" s="7"/>
      <c r="K17" s="7"/>
      <c r="L17" s="7"/>
      <c r="S17" s="7"/>
      <c r="T17" s="7"/>
    </row>
    <row r="18" spans="1:20" ht="15" customHeight="1" x14ac:dyDescent="0.25">
      <c r="A18" s="8"/>
      <c r="B18" s="239"/>
      <c r="C18" s="239" t="s">
        <v>224</v>
      </c>
      <c r="D18" s="239"/>
      <c r="E18" s="262">
        <f>E15-E16</f>
        <v>4637.5574991856993</v>
      </c>
      <c r="F18" s="262">
        <f>F15-F16</f>
        <v>-75147.733609084404</v>
      </c>
      <c r="G18" s="262">
        <f>G15-G16</f>
        <v>0</v>
      </c>
      <c r="I18" s="7"/>
      <c r="J18" s="7">
        <f>E13/E18</f>
        <v>3.6901434543086293</v>
      </c>
      <c r="K18" s="7"/>
      <c r="L18" s="7"/>
      <c r="S18" s="7"/>
      <c r="T18" s="7"/>
    </row>
    <row r="19" spans="1:20" ht="8.1" customHeight="1" x14ac:dyDescent="0.25">
      <c r="A19" s="8"/>
      <c r="B19" s="320"/>
      <c r="C19" s="319"/>
      <c r="D19" s="319"/>
      <c r="E19" s="262"/>
      <c r="F19" s="262"/>
      <c r="G19" s="262"/>
      <c r="I19" s="7"/>
      <c r="J19" s="7"/>
      <c r="K19" s="7"/>
      <c r="L19" s="7"/>
      <c r="S19" s="7"/>
      <c r="T19" s="7"/>
    </row>
    <row r="20" spans="1:20" ht="15" customHeight="1" x14ac:dyDescent="0.25">
      <c r="A20" s="8"/>
      <c r="B20" s="392" t="s">
        <v>287</v>
      </c>
      <c r="C20" s="319" t="s">
        <v>8</v>
      </c>
      <c r="D20" s="319" t="s">
        <v>289</v>
      </c>
      <c r="E20" s="261">
        <v>48689.963421120003</v>
      </c>
      <c r="F20" s="262">
        <v>-39335.444281236902</v>
      </c>
      <c r="G20" s="262">
        <v>113550.21</v>
      </c>
      <c r="I20" s="7"/>
      <c r="J20" s="7" t="s">
        <v>286</v>
      </c>
      <c r="K20" s="7"/>
      <c r="L20" s="7"/>
      <c r="S20" s="7"/>
      <c r="T20" s="7"/>
    </row>
    <row r="21" spans="1:20" ht="15" customHeight="1" x14ac:dyDescent="0.25">
      <c r="A21" s="8"/>
      <c r="B21" s="392"/>
      <c r="C21" s="319" t="s">
        <v>223</v>
      </c>
      <c r="D21" s="319" t="s">
        <v>289</v>
      </c>
      <c r="E21" s="261">
        <v>31576.710971519999</v>
      </c>
      <c r="F21" s="262">
        <v>67157.516517114695</v>
      </c>
      <c r="G21" s="262">
        <v>113550.21</v>
      </c>
      <c r="I21" s="7"/>
      <c r="J21" s="7" t="s">
        <v>286</v>
      </c>
      <c r="K21" s="7"/>
      <c r="L21" s="7"/>
      <c r="S21" s="7"/>
      <c r="T21" s="7"/>
    </row>
    <row r="22" spans="1:20" ht="3" customHeight="1" x14ac:dyDescent="0.25">
      <c r="A22" s="8"/>
      <c r="B22" s="319"/>
      <c r="C22" s="319"/>
      <c r="D22" s="319"/>
      <c r="E22" s="262"/>
      <c r="F22" s="262"/>
      <c r="G22" s="262"/>
      <c r="I22" s="7"/>
      <c r="J22" s="7"/>
      <c r="K22" s="7"/>
      <c r="L22" s="7"/>
      <c r="S22" s="7"/>
      <c r="T22" s="7"/>
    </row>
    <row r="23" spans="1:20" ht="15" customHeight="1" x14ac:dyDescent="0.25">
      <c r="A23" s="8"/>
      <c r="B23" s="319"/>
      <c r="C23" s="319" t="s">
        <v>224</v>
      </c>
      <c r="D23" s="319"/>
      <c r="E23" s="262">
        <f>E20-E21</f>
        <v>17113.252449600004</v>
      </c>
      <c r="F23" s="262">
        <f>F20-F21</f>
        <v>-106492.96079835159</v>
      </c>
      <c r="G23" s="262">
        <f>G20-G21</f>
        <v>0</v>
      </c>
      <c r="I23" s="7"/>
      <c r="J23" s="7">
        <f>E28/E23</f>
        <v>1</v>
      </c>
      <c r="K23" s="7"/>
      <c r="L23" s="7"/>
      <c r="S23" s="7"/>
      <c r="T23" s="7"/>
    </row>
    <row r="24" spans="1:20" ht="8.1" customHeight="1" x14ac:dyDescent="0.25">
      <c r="A24" s="8"/>
      <c r="B24" s="210"/>
      <c r="C24" s="239"/>
      <c r="D24" s="239"/>
      <c r="E24" s="262"/>
      <c r="F24" s="262"/>
      <c r="G24" s="262"/>
      <c r="I24" s="7"/>
      <c r="J24" s="7"/>
      <c r="K24" s="7"/>
      <c r="L24" s="7"/>
      <c r="S24" s="7"/>
      <c r="T24" s="7"/>
    </row>
    <row r="25" spans="1:20" ht="15" customHeight="1" x14ac:dyDescent="0.25">
      <c r="A25" s="8"/>
      <c r="B25" s="392" t="s">
        <v>270</v>
      </c>
      <c r="C25" s="239" t="s">
        <v>8</v>
      </c>
      <c r="D25" s="239" t="s">
        <v>157</v>
      </c>
      <c r="E25" s="261">
        <v>48689.963421120003</v>
      </c>
      <c r="F25" s="262">
        <v>0</v>
      </c>
      <c r="G25" s="262">
        <v>515080.659496343</v>
      </c>
      <c r="I25" s="7"/>
      <c r="J25" s="7" t="s">
        <v>268</v>
      </c>
      <c r="K25" s="7"/>
      <c r="L25" s="7"/>
      <c r="M25" s="255"/>
      <c r="S25" s="7"/>
      <c r="T25" s="7"/>
    </row>
    <row r="26" spans="1:20" ht="15" customHeight="1" x14ac:dyDescent="0.25">
      <c r="A26" s="8"/>
      <c r="B26" s="392"/>
      <c r="C26" s="239" t="s">
        <v>223</v>
      </c>
      <c r="D26" s="239" t="s">
        <v>163</v>
      </c>
      <c r="E26" s="261">
        <v>31576.710971519999</v>
      </c>
      <c r="F26" s="262">
        <v>67157.516517114695</v>
      </c>
      <c r="G26" s="262">
        <v>206929.84143685101</v>
      </c>
      <c r="I26" s="7"/>
      <c r="J26" s="7" t="s">
        <v>222</v>
      </c>
      <c r="K26" s="7"/>
      <c r="L26" s="7"/>
      <c r="S26" s="7"/>
      <c r="T26" s="7"/>
    </row>
    <row r="27" spans="1:20" ht="3" customHeight="1" x14ac:dyDescent="0.25">
      <c r="A27" s="8"/>
      <c r="B27" s="239"/>
      <c r="C27" s="239"/>
      <c r="D27" s="239"/>
      <c r="E27" s="262"/>
      <c r="F27" s="262"/>
      <c r="G27" s="262"/>
      <c r="I27" s="7"/>
      <c r="J27" s="7"/>
      <c r="K27" s="7"/>
      <c r="L27" s="7"/>
      <c r="S27" s="7"/>
      <c r="T27" s="7"/>
    </row>
    <row r="28" spans="1:20" ht="15" customHeight="1" x14ac:dyDescent="0.25">
      <c r="A28" s="8"/>
      <c r="B28" s="210"/>
      <c r="C28" s="239" t="s">
        <v>224</v>
      </c>
      <c r="D28" s="239"/>
      <c r="E28" s="262">
        <f>E25-E26</f>
        <v>17113.252449600004</v>
      </c>
      <c r="F28" s="262">
        <f>F25-F26</f>
        <v>-67157.516517114695</v>
      </c>
      <c r="G28" s="262">
        <f>G25-G26</f>
        <v>308150.81805949198</v>
      </c>
      <c r="I28" s="7"/>
      <c r="J28" s="330"/>
      <c r="K28" s="7"/>
      <c r="L28" s="7"/>
      <c r="S28" s="7"/>
      <c r="T28" s="7"/>
    </row>
    <row r="29" spans="1:20" ht="8.1" customHeight="1" x14ac:dyDescent="0.25">
      <c r="A29" s="8"/>
      <c r="B29" s="210"/>
      <c r="C29" s="239"/>
      <c r="D29" s="239"/>
      <c r="E29" s="262"/>
      <c r="F29" s="262"/>
      <c r="G29" s="262"/>
      <c r="I29" s="7"/>
      <c r="J29" s="7"/>
      <c r="K29" s="7"/>
      <c r="L29" s="7"/>
      <c r="S29" s="7"/>
      <c r="T29" s="7"/>
    </row>
    <row r="30" spans="1:20" ht="15" customHeight="1" x14ac:dyDescent="0.25">
      <c r="A30" s="8"/>
      <c r="B30" s="392" t="s">
        <v>290</v>
      </c>
      <c r="C30" s="239" t="s">
        <v>8</v>
      </c>
      <c r="D30" s="239" t="s">
        <v>290</v>
      </c>
      <c r="E30" s="261">
        <v>37843.017042578504</v>
      </c>
      <c r="F30" s="262">
        <v>-39335.444281236902</v>
      </c>
      <c r="G30" s="262">
        <v>206929.841436849</v>
      </c>
      <c r="I30" s="7"/>
      <c r="J30" s="7" t="s">
        <v>268</v>
      </c>
      <c r="K30" s="7"/>
      <c r="L30" s="7"/>
      <c r="S30" s="7"/>
      <c r="T30" s="7"/>
    </row>
    <row r="31" spans="1:20" ht="15" customHeight="1" x14ac:dyDescent="0.25">
      <c r="A31" s="8"/>
      <c r="B31" s="392"/>
      <c r="C31" s="239" t="s">
        <v>223</v>
      </c>
      <c r="D31" s="239" t="s">
        <v>163</v>
      </c>
      <c r="E31" s="261">
        <v>31576.710971519999</v>
      </c>
      <c r="F31" s="262">
        <v>67157.516517114695</v>
      </c>
      <c r="G31" s="262">
        <v>206929.841436849</v>
      </c>
      <c r="I31" s="7"/>
      <c r="J31" s="7" t="s">
        <v>222</v>
      </c>
      <c r="K31" s="7"/>
      <c r="L31" s="7"/>
      <c r="S31" s="7"/>
      <c r="T31" s="7"/>
    </row>
    <row r="32" spans="1:20" ht="3" customHeight="1" x14ac:dyDescent="0.25">
      <c r="A32" s="8"/>
      <c r="B32" s="239"/>
      <c r="C32" s="239"/>
      <c r="D32" s="239"/>
      <c r="E32" s="262"/>
      <c r="F32" s="262"/>
      <c r="G32" s="262"/>
      <c r="I32" s="7"/>
      <c r="J32" s="7"/>
      <c r="K32" s="7"/>
      <c r="L32" s="7"/>
      <c r="S32" s="7"/>
      <c r="T32" s="7"/>
    </row>
    <row r="33" spans="1:21" ht="15" customHeight="1" x14ac:dyDescent="0.25">
      <c r="A33" s="8"/>
      <c r="B33" s="239"/>
      <c r="C33" s="239" t="s">
        <v>224</v>
      </c>
      <c r="D33" s="239"/>
      <c r="E33" s="262">
        <f>E30-E31</f>
        <v>6266.306071058505</v>
      </c>
      <c r="F33" s="262">
        <f>F30-F31</f>
        <v>-106492.96079835159</v>
      </c>
      <c r="G33" s="262">
        <f>G30-G31</f>
        <v>0</v>
      </c>
      <c r="I33" s="7"/>
      <c r="J33" s="7">
        <f>E13/E33</f>
        <v>2.7309953033796246</v>
      </c>
      <c r="K33" s="7"/>
      <c r="L33" s="7"/>
      <c r="S33" s="7"/>
      <c r="T33" s="7"/>
    </row>
    <row r="34" spans="1:21" ht="8.1" customHeight="1" x14ac:dyDescent="0.25">
      <c r="A34" s="8"/>
      <c r="B34" s="320"/>
      <c r="C34" s="319"/>
      <c r="D34" s="319"/>
      <c r="E34" s="262"/>
      <c r="F34" s="262"/>
      <c r="G34" s="262"/>
      <c r="I34" s="7"/>
      <c r="J34" s="7"/>
      <c r="K34" s="7"/>
      <c r="L34" s="7"/>
      <c r="S34" s="7"/>
      <c r="T34" s="7"/>
    </row>
    <row r="35" spans="1:21" ht="15" customHeight="1" x14ac:dyDescent="0.25">
      <c r="A35" s="8"/>
      <c r="B35" s="392" t="s">
        <v>291</v>
      </c>
      <c r="C35" s="319" t="s">
        <v>8</v>
      </c>
      <c r="D35" s="319" t="s">
        <v>291</v>
      </c>
      <c r="E35" s="261">
        <v>48689.963421120003</v>
      </c>
      <c r="F35" s="262">
        <v>-171193.12199179499</v>
      </c>
      <c r="G35" s="262">
        <v>206929.841436849</v>
      </c>
      <c r="I35" s="7"/>
      <c r="J35" s="7" t="s">
        <v>286</v>
      </c>
      <c r="K35" s="7"/>
      <c r="L35" s="7"/>
      <c r="R35" s="7" t="s">
        <v>132</v>
      </c>
      <c r="S35" s="7" t="s">
        <v>288</v>
      </c>
      <c r="T35" s="7"/>
      <c r="U35" s="2" t="s">
        <v>84</v>
      </c>
    </row>
    <row r="36" spans="1:21" ht="15" customHeight="1" x14ac:dyDescent="0.25">
      <c r="A36" s="8"/>
      <c r="B36" s="392"/>
      <c r="C36" s="319" t="s">
        <v>223</v>
      </c>
      <c r="D36" s="319" t="s">
        <v>163</v>
      </c>
      <c r="E36" s="261">
        <v>31576.710971519999</v>
      </c>
      <c r="F36" s="262">
        <v>67157.516517114695</v>
      </c>
      <c r="G36" s="262">
        <v>206929.841436849</v>
      </c>
      <c r="I36" s="7"/>
      <c r="J36" s="7" t="s">
        <v>286</v>
      </c>
      <c r="K36" s="7"/>
      <c r="L36" s="7"/>
      <c r="R36" s="7">
        <v>-171193.12199179499</v>
      </c>
      <c r="S36" s="7"/>
      <c r="T36" s="7" t="s">
        <v>9</v>
      </c>
      <c r="U36" s="2">
        <v>67157.516517114724</v>
      </c>
    </row>
    <row r="37" spans="1:21" ht="3" customHeight="1" x14ac:dyDescent="0.25">
      <c r="A37" s="8"/>
      <c r="B37" s="319"/>
      <c r="C37" s="319"/>
      <c r="D37" s="319"/>
      <c r="E37" s="262"/>
      <c r="F37" s="262"/>
      <c r="G37" s="262"/>
      <c r="I37" s="7"/>
      <c r="J37" s="7"/>
      <c r="K37" s="7"/>
      <c r="L37" s="7"/>
      <c r="S37" s="7"/>
      <c r="T37" s="7"/>
    </row>
    <row r="38" spans="1:21" ht="15" customHeight="1" x14ac:dyDescent="0.25">
      <c r="A38" s="8"/>
      <c r="B38" s="319"/>
      <c r="C38" s="319" t="s">
        <v>224</v>
      </c>
      <c r="D38" s="319"/>
      <c r="E38" s="262">
        <f>E35-E36</f>
        <v>17113.252449600004</v>
      </c>
      <c r="F38" s="262">
        <f>F35-F36</f>
        <v>-238350.63850890967</v>
      </c>
      <c r="G38" s="262">
        <f>G35-G36</f>
        <v>0</v>
      </c>
      <c r="I38" s="7"/>
      <c r="J38" s="7"/>
      <c r="K38" s="7"/>
      <c r="L38" s="7"/>
      <c r="S38" s="7"/>
      <c r="T38" s="7"/>
    </row>
    <row r="39" spans="1:21" ht="8.1" customHeight="1" x14ac:dyDescent="0.25">
      <c r="A39" s="8"/>
      <c r="B39" s="210"/>
      <c r="C39" s="239"/>
      <c r="D39" s="239"/>
      <c r="E39" s="262"/>
      <c r="F39" s="262"/>
      <c r="G39" s="262"/>
      <c r="I39" s="7"/>
      <c r="J39" s="7"/>
      <c r="K39" s="7"/>
      <c r="L39" s="7"/>
      <c r="S39" s="7"/>
      <c r="T39" s="7"/>
    </row>
    <row r="40" spans="1:21" s="216" customFormat="1" ht="15" customHeight="1" x14ac:dyDescent="0.25">
      <c r="A40" s="214"/>
      <c r="B40" s="388" t="s">
        <v>273</v>
      </c>
      <c r="C40" s="388"/>
      <c r="D40" s="388"/>
      <c r="E40" s="388"/>
      <c r="F40" s="388"/>
      <c r="G40" s="388"/>
      <c r="H40" s="215"/>
      <c r="I40" s="215"/>
      <c r="J40" s="215"/>
      <c r="K40" s="215"/>
    </row>
    <row r="41" spans="1:21" s="216" customFormat="1" ht="3" customHeight="1" x14ac:dyDescent="0.25">
      <c r="A41" s="214"/>
      <c r="B41" s="214"/>
      <c r="C41" s="214"/>
      <c r="D41" s="239"/>
      <c r="E41" s="214"/>
      <c r="F41" s="214"/>
      <c r="G41" s="211"/>
      <c r="H41" s="215"/>
      <c r="I41" s="215"/>
      <c r="J41" s="215"/>
      <c r="K41" s="215"/>
    </row>
    <row r="42" spans="1:21" ht="15" customHeight="1" x14ac:dyDescent="0.25">
      <c r="A42" s="8"/>
      <c r="B42" s="391" t="s">
        <v>120</v>
      </c>
      <c r="C42" s="391" t="s">
        <v>216</v>
      </c>
      <c r="D42" s="391" t="s">
        <v>217</v>
      </c>
      <c r="E42" s="392" t="s">
        <v>218</v>
      </c>
      <c r="F42" s="392" t="s">
        <v>219</v>
      </c>
      <c r="G42" s="392" t="s">
        <v>220</v>
      </c>
      <c r="H42" s="247"/>
      <c r="I42" s="247"/>
      <c r="J42" s="247"/>
      <c r="K42" s="247"/>
      <c r="L42" s="247"/>
      <c r="N42" s="248"/>
      <c r="O42" s="248"/>
      <c r="P42" s="249"/>
      <c r="Q42" s="248"/>
      <c r="S42" s="7"/>
      <c r="T42" s="7"/>
    </row>
    <row r="43" spans="1:21" ht="15" customHeight="1" thickBot="1" x14ac:dyDescent="0.3">
      <c r="A43" s="8"/>
      <c r="B43" s="393"/>
      <c r="C43" s="393"/>
      <c r="D43" s="393"/>
      <c r="E43" s="394"/>
      <c r="F43" s="394"/>
      <c r="G43" s="394"/>
      <c r="I43" s="7"/>
      <c r="J43" s="7"/>
      <c r="K43" s="7"/>
      <c r="L43" s="7"/>
      <c r="N43" s="250"/>
      <c r="O43" s="251"/>
      <c r="P43" s="58"/>
      <c r="Q43" s="58"/>
      <c r="S43" s="7"/>
      <c r="T43" s="7"/>
    </row>
    <row r="44" spans="1:21" ht="3" customHeight="1" x14ac:dyDescent="0.25">
      <c r="A44" s="8"/>
      <c r="B44" s="210"/>
      <c r="C44" s="239"/>
      <c r="D44" s="239"/>
      <c r="E44" s="260"/>
      <c r="F44" s="260"/>
      <c r="G44" s="260"/>
      <c r="I44" s="7"/>
      <c r="J44" s="7"/>
      <c r="K44" s="7"/>
      <c r="L44" s="7"/>
      <c r="N44" s="252"/>
      <c r="O44" s="253"/>
      <c r="P44" s="254"/>
      <c r="Q44" s="252"/>
      <c r="S44" s="7"/>
      <c r="T44" s="7"/>
    </row>
    <row r="45" spans="1:21" ht="15" customHeight="1" x14ac:dyDescent="0.25">
      <c r="A45" s="8"/>
      <c r="B45" s="391" t="s">
        <v>225</v>
      </c>
      <c r="C45" s="239" t="s">
        <v>8</v>
      </c>
      <c r="D45" s="239" t="s">
        <v>226</v>
      </c>
      <c r="E45" s="262">
        <v>68450</v>
      </c>
      <c r="F45" s="262">
        <v>-39335.444281236902</v>
      </c>
      <c r="G45" s="262">
        <v>854251.40469124797</v>
      </c>
      <c r="I45" s="7"/>
      <c r="J45" s="256" t="s">
        <v>227</v>
      </c>
      <c r="K45" s="7"/>
      <c r="L45" s="7"/>
      <c r="S45" s="7"/>
      <c r="T45" s="7"/>
    </row>
    <row r="46" spans="1:21" ht="15" customHeight="1" x14ac:dyDescent="0.25">
      <c r="A46" s="8"/>
      <c r="B46" s="388"/>
      <c r="C46" s="239" t="s">
        <v>223</v>
      </c>
      <c r="D46" s="239" t="s">
        <v>228</v>
      </c>
      <c r="E46" s="262">
        <v>30920</v>
      </c>
      <c r="F46" s="262">
        <v>64585.271157863397</v>
      </c>
      <c r="G46" s="262">
        <v>189948.808850531</v>
      </c>
      <c r="I46" s="7"/>
      <c r="J46" s="256" t="s">
        <v>229</v>
      </c>
      <c r="K46" s="7"/>
      <c r="L46" s="7"/>
      <c r="S46" s="7"/>
      <c r="T46" s="7"/>
    </row>
    <row r="47" spans="1:21" ht="3" customHeight="1" x14ac:dyDescent="0.25">
      <c r="A47" s="8"/>
      <c r="B47" s="239"/>
      <c r="C47" s="239"/>
      <c r="D47" s="239"/>
      <c r="E47" s="262"/>
      <c r="F47" s="262"/>
      <c r="G47" s="262"/>
      <c r="I47" s="7"/>
      <c r="J47" s="7"/>
      <c r="K47" s="7"/>
      <c r="L47" s="7"/>
      <c r="S47" s="7"/>
      <c r="T47" s="7"/>
    </row>
    <row r="48" spans="1:21" ht="15" customHeight="1" x14ac:dyDescent="0.25">
      <c r="A48" s="8"/>
      <c r="B48" s="239"/>
      <c r="C48" s="239" t="s">
        <v>224</v>
      </c>
      <c r="D48" s="239"/>
      <c r="E48" s="262">
        <f>E45-E46</f>
        <v>37530</v>
      </c>
      <c r="F48" s="262">
        <f>F45-F46</f>
        <v>-103920.7154391003</v>
      </c>
      <c r="G48" s="262">
        <f>G45-G46</f>
        <v>664302.59584071697</v>
      </c>
      <c r="I48" s="7"/>
      <c r="J48" s="7"/>
      <c r="K48" s="7"/>
      <c r="L48" s="7"/>
      <c r="S48" s="7"/>
      <c r="T48" s="7"/>
    </row>
    <row r="49" spans="1:20" ht="8.1" customHeight="1" x14ac:dyDescent="0.25">
      <c r="A49" s="8"/>
      <c r="B49" s="210"/>
      <c r="C49" s="239"/>
      <c r="D49" s="239"/>
      <c r="E49" s="262"/>
      <c r="F49" s="262"/>
      <c r="G49" s="262"/>
      <c r="I49" s="7"/>
      <c r="J49" s="7"/>
      <c r="K49" s="7"/>
      <c r="L49" s="7"/>
      <c r="S49" s="7"/>
      <c r="T49" s="7"/>
    </row>
    <row r="50" spans="1:20" ht="15" customHeight="1" x14ac:dyDescent="0.25">
      <c r="A50" s="8"/>
      <c r="B50" s="391" t="s">
        <v>230</v>
      </c>
      <c r="C50" s="239" t="s">
        <v>8</v>
      </c>
      <c r="D50" s="239" t="s">
        <v>231</v>
      </c>
      <c r="E50" s="262">
        <v>81760</v>
      </c>
      <c r="F50" s="262">
        <v>-39335.444281236902</v>
      </c>
      <c r="G50" s="262">
        <v>1106223.2963538701</v>
      </c>
      <c r="I50" s="7"/>
      <c r="J50" s="256" t="s">
        <v>232</v>
      </c>
      <c r="K50" s="7"/>
      <c r="L50" s="7"/>
      <c r="S50" s="7"/>
      <c r="T50" s="7"/>
    </row>
    <row r="51" spans="1:20" ht="15" customHeight="1" x14ac:dyDescent="0.25">
      <c r="A51" s="8"/>
      <c r="B51" s="391"/>
      <c r="C51" s="239" t="s">
        <v>223</v>
      </c>
      <c r="D51" s="239" t="s">
        <v>233</v>
      </c>
      <c r="E51" s="262">
        <v>27260</v>
      </c>
      <c r="F51" s="262">
        <v>49488.639999999999</v>
      </c>
      <c r="G51" s="262">
        <v>90286.316192515806</v>
      </c>
      <c r="I51" s="7"/>
      <c r="J51" s="256" t="s">
        <v>234</v>
      </c>
      <c r="K51" s="7"/>
      <c r="L51" s="7"/>
      <c r="S51" s="7"/>
      <c r="T51" s="7"/>
    </row>
    <row r="52" spans="1:20" ht="3" customHeight="1" x14ac:dyDescent="0.25">
      <c r="A52" s="8"/>
      <c r="B52" s="210"/>
      <c r="C52" s="239"/>
      <c r="D52" s="239"/>
      <c r="E52" s="262"/>
      <c r="F52" s="262"/>
      <c r="G52" s="262"/>
      <c r="I52" s="7"/>
      <c r="J52" s="7"/>
      <c r="K52" s="7"/>
      <c r="L52" s="7"/>
      <c r="S52" s="7"/>
      <c r="T52" s="7"/>
    </row>
    <row r="53" spans="1:20" ht="15" customHeight="1" x14ac:dyDescent="0.25">
      <c r="A53" s="8"/>
      <c r="B53" s="210"/>
      <c r="C53" s="239" t="s">
        <v>224</v>
      </c>
      <c r="D53" s="239"/>
      <c r="E53" s="262">
        <f>E50-E51</f>
        <v>54500</v>
      </c>
      <c r="F53" s="262">
        <f>F50-F51</f>
        <v>-88824.084281236894</v>
      </c>
      <c r="G53" s="262">
        <f>G50-G51</f>
        <v>1015936.9801613543</v>
      </c>
      <c r="I53" s="7"/>
      <c r="J53" s="7"/>
      <c r="K53" s="7"/>
      <c r="L53" s="7"/>
      <c r="S53" s="7"/>
      <c r="T53" s="7"/>
    </row>
    <row r="54" spans="1:20" ht="8.1" customHeight="1" x14ac:dyDescent="0.25">
      <c r="A54" s="8"/>
      <c r="B54" s="210"/>
      <c r="C54" s="239"/>
      <c r="D54" s="239"/>
      <c r="E54" s="262"/>
      <c r="F54" s="262"/>
      <c r="G54" s="262"/>
      <c r="I54" s="7"/>
      <c r="J54" s="7"/>
      <c r="K54" s="7"/>
      <c r="L54" s="7"/>
      <c r="S54" s="7"/>
      <c r="T54" s="7"/>
    </row>
    <row r="55" spans="1:20" ht="15" customHeight="1" x14ac:dyDescent="0.25">
      <c r="A55" s="8"/>
      <c r="B55" s="392" t="s">
        <v>235</v>
      </c>
      <c r="C55" s="239" t="s">
        <v>8</v>
      </c>
      <c r="D55" s="239" t="s">
        <v>236</v>
      </c>
      <c r="E55" s="262">
        <v>41070</v>
      </c>
      <c r="F55" s="262">
        <v>-39335.444281236902</v>
      </c>
      <c r="G55" s="262">
        <v>129940.12347130501</v>
      </c>
      <c r="I55" s="257"/>
      <c r="J55" s="256" t="s">
        <v>237</v>
      </c>
      <c r="K55" s="7"/>
      <c r="L55" s="7"/>
      <c r="S55" s="7"/>
      <c r="T55" s="7"/>
    </row>
    <row r="56" spans="1:20" ht="15" customHeight="1" x14ac:dyDescent="0.25">
      <c r="A56" s="8"/>
      <c r="B56" s="392"/>
      <c r="C56" s="239" t="s">
        <v>223</v>
      </c>
      <c r="D56" s="239" t="s">
        <v>238</v>
      </c>
      <c r="E56" s="262">
        <v>48820</v>
      </c>
      <c r="F56" s="262">
        <v>134666.23300047999</v>
      </c>
      <c r="G56" s="262">
        <v>358187.80149904301</v>
      </c>
      <c r="I56" s="7"/>
      <c r="J56" s="256" t="s">
        <v>239</v>
      </c>
      <c r="K56" s="7"/>
      <c r="L56" s="7"/>
      <c r="S56" s="7"/>
      <c r="T56" s="7"/>
    </row>
    <row r="57" spans="1:20" ht="3" customHeight="1" x14ac:dyDescent="0.25">
      <c r="A57" s="8"/>
      <c r="B57" s="239"/>
      <c r="C57" s="239"/>
      <c r="D57" s="239"/>
      <c r="E57" s="262"/>
      <c r="F57" s="262"/>
      <c r="G57" s="262"/>
      <c r="I57" s="7"/>
      <c r="J57" s="7"/>
      <c r="K57" s="7"/>
      <c r="L57" s="7"/>
      <c r="S57" s="7"/>
      <c r="T57" s="7"/>
    </row>
    <row r="58" spans="1:20" ht="15" customHeight="1" x14ac:dyDescent="0.25">
      <c r="A58" s="8"/>
      <c r="B58" s="239"/>
      <c r="C58" s="239" t="s">
        <v>224</v>
      </c>
      <c r="D58" s="239"/>
      <c r="E58" s="262">
        <f>E55-E56</f>
        <v>-7750</v>
      </c>
      <c r="F58" s="262">
        <f>F55-F56</f>
        <v>-174001.6772817169</v>
      </c>
      <c r="G58" s="262">
        <f>G55-G56</f>
        <v>-228247.678027738</v>
      </c>
      <c r="I58" s="7"/>
      <c r="J58" s="7"/>
      <c r="K58" s="7"/>
      <c r="L58" s="7"/>
      <c r="S58" s="7"/>
      <c r="T58" s="7"/>
    </row>
    <row r="59" spans="1:20" ht="15" customHeight="1" x14ac:dyDescent="0.25">
      <c r="A59" s="8"/>
      <c r="B59" s="8"/>
      <c r="C59" s="8"/>
      <c r="D59" s="8"/>
      <c r="E59" s="8"/>
      <c r="F59" s="8"/>
      <c r="G59" s="8"/>
    </row>
    <row r="60" spans="1:20" ht="15" customHeight="1" x14ac:dyDescent="0.25"/>
    <row r="61" spans="1:20" ht="15" customHeight="1" x14ac:dyDescent="0.25"/>
    <row r="62" spans="1:20" ht="15" customHeight="1" x14ac:dyDescent="0.25"/>
    <row r="63" spans="1:20" ht="15" customHeight="1" x14ac:dyDescent="0.25"/>
  </sheetData>
  <mergeCells count="25">
    <mergeCell ref="F42:F43"/>
    <mergeCell ref="G42:G43"/>
    <mergeCell ref="B10:B11"/>
    <mergeCell ref="B30:B31"/>
    <mergeCell ref="C42:C43"/>
    <mergeCell ref="D42:D43"/>
    <mergeCell ref="E42:E43"/>
    <mergeCell ref="B20:B21"/>
    <mergeCell ref="B35:B36"/>
    <mergeCell ref="B45:B46"/>
    <mergeCell ref="B50:B51"/>
    <mergeCell ref="B55:B56"/>
    <mergeCell ref="B42:B43"/>
    <mergeCell ref="B2:G2"/>
    <mergeCell ref="B4:G4"/>
    <mergeCell ref="B7:B8"/>
    <mergeCell ref="C7:C8"/>
    <mergeCell ref="D7:D8"/>
    <mergeCell ref="E7:E8"/>
    <mergeCell ref="F7:F8"/>
    <mergeCell ref="G7:G8"/>
    <mergeCell ref="B15:B16"/>
    <mergeCell ref="B25:B26"/>
    <mergeCell ref="B5:G5"/>
    <mergeCell ref="B40:G40"/>
  </mergeCells>
  <hyperlinks>
    <hyperlink ref="J45" r:id="rId1" xr:uid="{00000000-0004-0000-0600-000000000000}"/>
    <hyperlink ref="J50" r:id="rId2" xr:uid="{00000000-0004-0000-0600-000001000000}"/>
    <hyperlink ref="J51" r:id="rId3" xr:uid="{00000000-0004-0000-0600-000002000000}"/>
    <hyperlink ref="J46" r:id="rId4" xr:uid="{00000000-0004-0000-0600-000003000000}"/>
    <hyperlink ref="J55" r:id="rId5" xr:uid="{00000000-0004-0000-0600-000004000000}"/>
  </hyperlinks>
  <pageMargins left="0.7" right="0.7" top="0.75" bottom="0.75" header="0.3" footer="0.3"/>
  <pageSetup orientation="portrait" r:id="rId6"/>
  <drawing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87F24-40B9-4257-81A0-F5F80C2237AA}">
  <dimension ref="A1:B25"/>
  <sheetViews>
    <sheetView tabSelected="1" workbookViewId="0">
      <selection activeCell="E8" sqref="E8"/>
    </sheetView>
  </sheetViews>
  <sheetFormatPr defaultRowHeight="15" x14ac:dyDescent="0.25"/>
  <cols>
    <col min="1" max="1" width="18.42578125" bestFit="1" customWidth="1"/>
    <col min="2" max="2" width="9.5703125" bestFit="1" customWidth="1"/>
  </cols>
  <sheetData>
    <row r="1" spans="1:2" x14ac:dyDescent="0.25">
      <c r="A1" t="s">
        <v>318</v>
      </c>
      <c r="B1" t="s">
        <v>319</v>
      </c>
    </row>
    <row r="2" spans="1:2" x14ac:dyDescent="0.25">
      <c r="A2" t="s">
        <v>320</v>
      </c>
      <c r="B2" t="s">
        <v>321</v>
      </c>
    </row>
    <row r="3" spans="1:2" x14ac:dyDescent="0.25">
      <c r="A3" t="s">
        <v>322</v>
      </c>
      <c r="B3" t="s">
        <v>323</v>
      </c>
    </row>
    <row r="4" spans="1:2" x14ac:dyDescent="0.25">
      <c r="A4" t="s">
        <v>325</v>
      </c>
      <c r="B4" s="400">
        <v>50000</v>
      </c>
    </row>
    <row r="5" spans="1:2" x14ac:dyDescent="0.25">
      <c r="A5" t="s">
        <v>326</v>
      </c>
      <c r="B5" s="400">
        <v>30000</v>
      </c>
    </row>
    <row r="6" spans="1:2" x14ac:dyDescent="0.25">
      <c r="A6" t="s">
        <v>327</v>
      </c>
      <c r="B6" s="400">
        <v>5000</v>
      </c>
    </row>
    <row r="7" spans="1:2" x14ac:dyDescent="0.25">
      <c r="A7" t="s">
        <v>328</v>
      </c>
      <c r="B7" s="400">
        <v>7000</v>
      </c>
    </row>
    <row r="8" spans="1:2" x14ac:dyDescent="0.25">
      <c r="A8" t="s">
        <v>329</v>
      </c>
      <c r="B8" s="400">
        <v>5000</v>
      </c>
    </row>
    <row r="9" spans="1:2" x14ac:dyDescent="0.25">
      <c r="A9" t="s">
        <v>330</v>
      </c>
      <c r="B9" s="400">
        <v>12000</v>
      </c>
    </row>
    <row r="10" spans="1:2" x14ac:dyDescent="0.25">
      <c r="A10" t="s">
        <v>331</v>
      </c>
      <c r="B10" s="400">
        <f ca="1">'Career Comparison'!C24</f>
        <v>-99428.040348529583</v>
      </c>
    </row>
    <row r="11" spans="1:2" x14ac:dyDescent="0.25">
      <c r="A11" t="s">
        <v>332</v>
      </c>
      <c r="B11" s="400">
        <f ca="1">'Career Comparison'!F24</f>
        <v>51251.686010205674</v>
      </c>
    </row>
    <row r="12" spans="1:2" x14ac:dyDescent="0.25">
      <c r="A12" t="s">
        <v>333</v>
      </c>
      <c r="B12" s="400">
        <f ca="1">'Career Comparison'!D28</f>
        <v>190421.6663416512</v>
      </c>
    </row>
    <row r="13" spans="1:2" x14ac:dyDescent="0.25">
      <c r="A13" t="s">
        <v>334</v>
      </c>
      <c r="B13" s="400">
        <f>'Career Comparison'!F28</f>
        <v>247.79504764726747</v>
      </c>
    </row>
    <row r="14" spans="1:2" x14ac:dyDescent="0.25">
      <c r="A14" t="s">
        <v>335</v>
      </c>
      <c r="B14" s="400">
        <f>'Career Comparison'!D31</f>
        <v>4547.5699797384568</v>
      </c>
    </row>
    <row r="15" spans="1:2" x14ac:dyDescent="0.25">
      <c r="A15" t="s">
        <v>341</v>
      </c>
      <c r="B15" s="400">
        <f ca="1">'Career Comparison'!E31</f>
        <v>1470.0707670557126</v>
      </c>
    </row>
    <row r="16" spans="1:2" x14ac:dyDescent="0.25">
      <c r="A16" t="s">
        <v>342</v>
      </c>
      <c r="B16" s="400">
        <f ca="1">'Career Comparison'!F31</f>
        <v>1072779.8001086949</v>
      </c>
    </row>
    <row r="17" spans="1:2" x14ac:dyDescent="0.25">
      <c r="A17" t="s">
        <v>336</v>
      </c>
      <c r="B17" s="400">
        <f ca="1">'Career Comparison'!G31</f>
        <v>415256.5438136069</v>
      </c>
    </row>
    <row r="18" spans="1:2" x14ac:dyDescent="0.25">
      <c r="A18" t="s">
        <v>337</v>
      </c>
      <c r="B18" s="400">
        <f>'Career Comparison'!D32</f>
        <v>2728.5419878430744</v>
      </c>
    </row>
    <row r="19" spans="1:2" x14ac:dyDescent="0.25">
      <c r="A19" t="s">
        <v>338</v>
      </c>
      <c r="B19" s="400">
        <f>'Career Comparison'!E32</f>
        <v>311.69534751316178</v>
      </c>
    </row>
    <row r="20" spans="1:2" x14ac:dyDescent="0.25">
      <c r="A20" t="s">
        <v>339</v>
      </c>
      <c r="B20" s="400">
        <f ca="1">'Career Comparison'!F32</f>
        <v>280171.85325638467</v>
      </c>
    </row>
    <row r="21" spans="1:2" x14ac:dyDescent="0.25">
      <c r="A21" t="s">
        <v>340</v>
      </c>
      <c r="B21" s="400">
        <f ca="1">'Career Comparison'!G32</f>
        <v>154068.84870114081</v>
      </c>
    </row>
    <row r="22" spans="1:2" x14ac:dyDescent="0.25">
      <c r="A22" t="s">
        <v>343</v>
      </c>
      <c r="B22" s="400">
        <f>'Career Comparison'!D34</f>
        <v>1819.0279918953825</v>
      </c>
    </row>
    <row r="23" spans="1:2" x14ac:dyDescent="0.25">
      <c r="A23" t="s">
        <v>344</v>
      </c>
      <c r="B23" s="400">
        <f ca="1">'Career Comparison'!E34</f>
        <v>1158.3754195425508</v>
      </c>
    </row>
    <row r="24" spans="1:2" x14ac:dyDescent="0.25">
      <c r="A24" t="s">
        <v>345</v>
      </c>
      <c r="B24" s="400">
        <f ca="1">'Career Comparison'!F34</f>
        <v>792607.94685231033</v>
      </c>
    </row>
    <row r="25" spans="1:2" x14ac:dyDescent="0.25">
      <c r="A25" t="s">
        <v>346</v>
      </c>
      <c r="B25" s="400">
        <f ca="1">'Career Comparison'!G34</f>
        <v>261187.69511246608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Career Comparison</vt:lpstr>
      <vt:lpstr>Government Figures</vt:lpstr>
      <vt:lpstr>Cost of Living</vt:lpstr>
      <vt:lpstr>College Schedule</vt:lpstr>
      <vt:lpstr>Career Schedule</vt:lpstr>
      <vt:lpstr>T1 Default Settings</vt:lpstr>
      <vt:lpstr>T2 Examples</vt:lpstr>
      <vt:lpstr>InsertedValues</vt:lpstr>
      <vt:lpstr>'Career Comparison'!Print_Area</vt:lpstr>
      <vt:lpstr>'Career Schedule'!Print_Area</vt:lpstr>
      <vt:lpstr>'College Schedule'!Print_Area</vt:lpstr>
      <vt:lpstr>'Cost of Living'!Print_Area</vt:lpstr>
      <vt:lpstr>'Government Figures'!Print_Area</vt:lpstr>
    </vt:vector>
  </TitlesOfParts>
  <Manager/>
  <Company>Toshiba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Matthew M. Ross</dc:creator>
  <cp:keywords/>
  <dc:description/>
  <cp:lastModifiedBy>Austin Lemacks</cp:lastModifiedBy>
  <cp:revision/>
  <cp:lastPrinted>2017-04-05T19:15:17Z</cp:lastPrinted>
  <dcterms:created xsi:type="dcterms:W3CDTF">2014-08-26T19:27:53Z</dcterms:created>
  <dcterms:modified xsi:type="dcterms:W3CDTF">2018-03-20T19:13:08Z</dcterms:modified>
  <cp:category/>
  <cp:contentStatus/>
</cp:coreProperties>
</file>